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2\Desktop\"/>
    </mc:Choice>
  </mc:AlternateContent>
  <bookViews>
    <workbookView xWindow="0" yWindow="0" windowWidth="28800" windowHeight="12435"/>
  </bookViews>
  <sheets>
    <sheet name="MAIN" sheetId="1" r:id="rId1"/>
    <sheet name="M2M" sheetId="4" r:id="rId2"/>
    <sheet name="FACTOR" sheetId="2" r:id="rId3"/>
  </sheets>
  <definedNames>
    <definedName name="_xlnm._FilterDatabase" localSheetId="0" hidden="1">MAIN!$A$17:$AI$17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6" i="1" l="1"/>
  <c r="Q56" i="1"/>
  <c r="AG2159" i="4" l="1"/>
  <c r="AC2158" i="4"/>
  <c r="AF2150" i="4"/>
  <c r="AC2157" i="4"/>
  <c r="Y2157" i="4" l="1"/>
  <c r="W2157" i="4"/>
  <c r="U2157" i="4"/>
  <c r="T2157" i="4"/>
  <c r="X2156" i="4"/>
  <c r="V2156" i="4"/>
  <c r="X2155" i="4"/>
  <c r="V2155" i="4"/>
  <c r="X2154" i="4"/>
  <c r="V2154" i="4"/>
  <c r="X2153" i="4"/>
  <c r="V2153" i="4"/>
  <c r="X2152" i="4"/>
  <c r="V2152" i="4"/>
  <c r="X2151" i="4"/>
  <c r="V2151" i="4"/>
  <c r="X2150" i="4"/>
  <c r="V2150" i="4"/>
  <c r="X2149" i="4"/>
  <c r="V2149" i="4"/>
  <c r="X2148" i="4"/>
  <c r="V2148" i="4"/>
  <c r="X2147" i="4"/>
  <c r="V2147" i="4"/>
  <c r="X2146" i="4"/>
  <c r="V2146" i="4"/>
  <c r="X2145" i="4"/>
  <c r="V2145" i="4"/>
  <c r="X2157" i="4" l="1"/>
  <c r="V2157" i="4"/>
  <c r="P2157" i="4"/>
  <c r="N2157" i="4"/>
  <c r="L2157" i="4"/>
  <c r="K2157" i="4"/>
  <c r="O2156" i="4"/>
  <c r="M2156" i="4"/>
  <c r="O2155" i="4"/>
  <c r="M2155" i="4"/>
  <c r="O2154" i="4"/>
  <c r="M2154" i="4"/>
  <c r="O2153" i="4"/>
  <c r="M2153" i="4"/>
  <c r="O2152" i="4"/>
  <c r="M2152" i="4"/>
  <c r="O2151" i="4"/>
  <c r="M2151" i="4"/>
  <c r="O2150" i="4"/>
  <c r="M2150" i="4"/>
  <c r="O2149" i="4"/>
  <c r="M2149" i="4"/>
  <c r="O2148" i="4"/>
  <c r="M2148" i="4"/>
  <c r="O2147" i="4"/>
  <c r="M2147" i="4"/>
  <c r="O2146" i="4"/>
  <c r="M2146" i="4"/>
  <c r="O2145" i="4"/>
  <c r="M2145" i="4"/>
  <c r="I38" i="2"/>
  <c r="B38" i="2"/>
  <c r="B42" i="2"/>
  <c r="O2157" i="4" l="1"/>
  <c r="M2157" i="4"/>
  <c r="C39" i="2"/>
  <c r="C38" i="2"/>
  <c r="D2153" i="4"/>
  <c r="D2154" i="4"/>
  <c r="D2155" i="4"/>
  <c r="D2156" i="4"/>
  <c r="F2153" i="4"/>
  <c r="F2154" i="4"/>
  <c r="F2155" i="4"/>
  <c r="F2156" i="4"/>
  <c r="G2157" i="4"/>
  <c r="E2157" i="4"/>
  <c r="C2157" i="4"/>
  <c r="B2157" i="4"/>
  <c r="F2152" i="4"/>
  <c r="D2152" i="4"/>
  <c r="F2151" i="4"/>
  <c r="D2151" i="4"/>
  <c r="F2150" i="4"/>
  <c r="D2150" i="4"/>
  <c r="F2149" i="4"/>
  <c r="D2149" i="4"/>
  <c r="F2148" i="4"/>
  <c r="D2148" i="4"/>
  <c r="F2147" i="4"/>
  <c r="D2147" i="4"/>
  <c r="F2146" i="4"/>
  <c r="D2146" i="4"/>
  <c r="F2145" i="4"/>
  <c r="D2145" i="4"/>
  <c r="Q243" i="1"/>
  <c r="Q244" i="1"/>
  <c r="Q245" i="1"/>
  <c r="A2" i="1"/>
  <c r="B2" i="1"/>
  <c r="D2" i="1"/>
  <c r="E2" i="1"/>
  <c r="E39" i="2"/>
  <c r="D38" i="2"/>
  <c r="E14" i="1"/>
  <c r="E9" i="1"/>
  <c r="E12" i="1"/>
  <c r="E5" i="1"/>
  <c r="E8" i="1"/>
  <c r="E13" i="1"/>
  <c r="E7" i="1"/>
  <c r="E6" i="1"/>
  <c r="E10" i="1"/>
  <c r="E11" i="1"/>
  <c r="F2157" i="4" l="1"/>
  <c r="D2157" i="4"/>
  <c r="L242" i="1"/>
  <c r="L243" i="1" s="1"/>
  <c r="E38" i="2"/>
  <c r="D43" i="2"/>
  <c r="E43" i="2"/>
  <c r="D42" i="2"/>
  <c r="E42" i="2"/>
  <c r="D39" i="2"/>
  <c r="A243" i="1"/>
  <c r="M243" i="1"/>
  <c r="B243" i="1"/>
  <c r="H243" i="1"/>
  <c r="E243" i="1"/>
  <c r="I243" i="1"/>
  <c r="D243" i="1"/>
  <c r="C243" i="1"/>
  <c r="F243" i="1"/>
  <c r="J243" i="1"/>
  <c r="K243" i="1"/>
  <c r="G243" i="1"/>
  <c r="F43" i="2" l="1"/>
  <c r="F42" i="2"/>
  <c r="J42" i="2" s="1"/>
  <c r="K42" i="2" s="1"/>
  <c r="F39" i="2"/>
  <c r="F38" i="2"/>
  <c r="Z243" i="1"/>
  <c r="P2127" i="4"/>
  <c r="N2127" i="4"/>
  <c r="L2127" i="4"/>
  <c r="K2127" i="4"/>
  <c r="O2126" i="4"/>
  <c r="M2126" i="4"/>
  <c r="O2125" i="4"/>
  <c r="M2125" i="4"/>
  <c r="O2124" i="4"/>
  <c r="M2124" i="4"/>
  <c r="O2123" i="4"/>
  <c r="M2123" i="4"/>
  <c r="O2122" i="4"/>
  <c r="M2122" i="4"/>
  <c r="O2121" i="4"/>
  <c r="M2121" i="4"/>
  <c r="O2120" i="4"/>
  <c r="M2120" i="4"/>
  <c r="O2119" i="4"/>
  <c r="M2119" i="4"/>
  <c r="O2118" i="4"/>
  <c r="M2118" i="4"/>
  <c r="O2117" i="4"/>
  <c r="M2117" i="4"/>
  <c r="K19" i="1"/>
  <c r="G43" i="2" l="1"/>
  <c r="G39" i="2"/>
  <c r="L244" i="1"/>
  <c r="M2127" i="4"/>
  <c r="O2127" i="4"/>
  <c r="G2127" i="4"/>
  <c r="E2127" i="4"/>
  <c r="C2127" i="4"/>
  <c r="B2127" i="4"/>
  <c r="F2126" i="4"/>
  <c r="D2126" i="4"/>
  <c r="F2125" i="4"/>
  <c r="D2125" i="4"/>
  <c r="F2124" i="4"/>
  <c r="D2124" i="4"/>
  <c r="F2123" i="4"/>
  <c r="D2123" i="4"/>
  <c r="F2122" i="4"/>
  <c r="D2122" i="4"/>
  <c r="F2121" i="4"/>
  <c r="D2121" i="4"/>
  <c r="F2120" i="4"/>
  <c r="D2120" i="4"/>
  <c r="F2119" i="4"/>
  <c r="D2119" i="4"/>
  <c r="F2118" i="4"/>
  <c r="D2118" i="4"/>
  <c r="F2117" i="4"/>
  <c r="D2117" i="4"/>
  <c r="Q87" i="1"/>
  <c r="Q88" i="1"/>
  <c r="Q89" i="1"/>
  <c r="A244" i="1"/>
  <c r="B244" i="1"/>
  <c r="M244" i="1"/>
  <c r="E244" i="1"/>
  <c r="K244" i="1"/>
  <c r="D244" i="1"/>
  <c r="I244" i="1"/>
  <c r="G244" i="1"/>
  <c r="F244" i="1"/>
  <c r="H244" i="1"/>
  <c r="J244" i="1"/>
  <c r="C244" i="1"/>
  <c r="Z244" i="1" l="1"/>
  <c r="L245" i="1"/>
  <c r="D2127" i="4"/>
  <c r="F2127" i="4"/>
  <c r="P2110" i="4"/>
  <c r="N2110" i="4"/>
  <c r="L2110" i="4"/>
  <c r="K2110" i="4"/>
  <c r="O2109" i="4"/>
  <c r="M2109" i="4"/>
  <c r="O2108" i="4"/>
  <c r="M2108" i="4"/>
  <c r="O2107" i="4"/>
  <c r="M2107" i="4"/>
  <c r="O2106" i="4"/>
  <c r="M2106" i="4"/>
  <c r="O2105" i="4"/>
  <c r="M2105" i="4"/>
  <c r="O2104" i="4"/>
  <c r="M2104" i="4"/>
  <c r="O2103" i="4"/>
  <c r="M2103" i="4"/>
  <c r="O2102" i="4"/>
  <c r="M2102" i="4"/>
  <c r="O2101" i="4"/>
  <c r="M2101" i="4"/>
  <c r="O2100" i="4"/>
  <c r="M2100" i="4"/>
  <c r="B245" i="1"/>
  <c r="A245" i="1"/>
  <c r="M245" i="1"/>
  <c r="K245" i="1"/>
  <c r="I245" i="1"/>
  <c r="G245" i="1"/>
  <c r="J245" i="1"/>
  <c r="C245" i="1"/>
  <c r="D245" i="1"/>
  <c r="H245" i="1"/>
  <c r="E245" i="1"/>
  <c r="F245" i="1"/>
  <c r="Z245" i="1" l="1"/>
  <c r="L246" i="1"/>
  <c r="L247" i="1" s="1"/>
  <c r="L248" i="1" s="1"/>
  <c r="M2110" i="4"/>
  <c r="O2110" i="4"/>
  <c r="G2110" i="4"/>
  <c r="E2110" i="4"/>
  <c r="C2110" i="4"/>
  <c r="B2110" i="4"/>
  <c r="F2109" i="4"/>
  <c r="D2109" i="4"/>
  <c r="F2108" i="4"/>
  <c r="D2108" i="4"/>
  <c r="F2107" i="4"/>
  <c r="D2107" i="4"/>
  <c r="F2106" i="4"/>
  <c r="D2106" i="4"/>
  <c r="F2105" i="4"/>
  <c r="D2105" i="4"/>
  <c r="F2104" i="4"/>
  <c r="D2104" i="4"/>
  <c r="F2103" i="4"/>
  <c r="D2103" i="4"/>
  <c r="F2102" i="4"/>
  <c r="D2102" i="4"/>
  <c r="F2101" i="4"/>
  <c r="D2101" i="4"/>
  <c r="F2100" i="4"/>
  <c r="D2100" i="4"/>
  <c r="W1" i="1"/>
  <c r="D2110" i="4" l="1"/>
  <c r="F2110" i="4"/>
  <c r="Q202" i="1"/>
  <c r="Q203" i="1"/>
  <c r="Q204" i="1"/>
  <c r="L196" i="1"/>
  <c r="L197" i="1" s="1"/>
  <c r="L198" i="1" s="1"/>
  <c r="L199" i="1" s="1"/>
  <c r="L200" i="1" s="1"/>
  <c r="L201" i="1" s="1"/>
  <c r="Q105" i="1"/>
  <c r="Q106" i="1"/>
  <c r="L101" i="1"/>
  <c r="L102" i="1" s="1"/>
  <c r="L103" i="1" s="1"/>
  <c r="L104" i="1" s="1"/>
  <c r="L105" i="1" s="1"/>
  <c r="L106" i="1" s="1"/>
  <c r="L107" i="1" s="1"/>
  <c r="L108" i="1" s="1"/>
  <c r="L109" i="1" s="1"/>
  <c r="L111" i="1" s="1"/>
  <c r="L112" i="1" s="1"/>
  <c r="L113" i="1" s="1"/>
  <c r="L114" i="1" s="1"/>
  <c r="L81" i="1"/>
  <c r="L82" i="1" s="1"/>
  <c r="L83" i="1" s="1"/>
  <c r="L84" i="1" s="1"/>
  <c r="L85" i="1" s="1"/>
  <c r="L86" i="1" s="1"/>
  <c r="Q66" i="1"/>
  <c r="Q67" i="1"/>
  <c r="Q68" i="1"/>
  <c r="Q47" i="1"/>
  <c r="Q48" i="1"/>
  <c r="L42" i="1"/>
  <c r="L43" i="1" s="1"/>
  <c r="L44" i="1" s="1"/>
  <c r="L45" i="1" s="1"/>
  <c r="L46" i="1" s="1"/>
  <c r="P2094" i="4"/>
  <c r="N2094" i="4"/>
  <c r="L2094" i="4"/>
  <c r="K2094" i="4"/>
  <c r="O2093" i="4"/>
  <c r="M2093" i="4"/>
  <c r="O2092" i="4"/>
  <c r="M2092" i="4"/>
  <c r="O2091" i="4"/>
  <c r="M2091" i="4"/>
  <c r="O2090" i="4"/>
  <c r="M2090" i="4"/>
  <c r="O2089" i="4"/>
  <c r="M2089" i="4"/>
  <c r="O2088" i="4"/>
  <c r="M2088" i="4"/>
  <c r="O2087" i="4"/>
  <c r="M2087" i="4"/>
  <c r="O2086" i="4"/>
  <c r="M2086" i="4"/>
  <c r="O2085" i="4"/>
  <c r="M2085" i="4"/>
  <c r="O2084" i="4"/>
  <c r="M2084" i="4"/>
  <c r="Q143" i="1"/>
  <c r="Q144" i="1"/>
  <c r="Q145" i="1"/>
  <c r="L137" i="1"/>
  <c r="L138" i="1" s="1"/>
  <c r="L139" i="1" s="1"/>
  <c r="L140" i="1" s="1"/>
  <c r="L141" i="1" s="1"/>
  <c r="L142" i="1" s="1"/>
  <c r="A105" i="1"/>
  <c r="F105" i="1"/>
  <c r="H105" i="1"/>
  <c r="J105" i="1"/>
  <c r="G105" i="1"/>
  <c r="L92" i="1" l="1"/>
  <c r="L93" i="1" s="1"/>
  <c r="L94" i="1" s="1"/>
  <c r="L95" i="1" s="1"/>
  <c r="L87" i="1"/>
  <c r="L207" i="1"/>
  <c r="L208" i="1" s="1"/>
  <c r="L209" i="1" s="1"/>
  <c r="L210" i="1" s="1"/>
  <c r="L202" i="1"/>
  <c r="L52" i="1"/>
  <c r="L53" i="1" s="1"/>
  <c r="L54" i="1" s="1"/>
  <c r="L55" i="1" s="1"/>
  <c r="L47" i="1"/>
  <c r="L48" i="1" s="1"/>
  <c r="L49" i="1" s="1"/>
  <c r="L50" i="1" s="1"/>
  <c r="O2094" i="4"/>
  <c r="M2094" i="4"/>
  <c r="L148" i="1"/>
  <c r="L149" i="1" s="1"/>
  <c r="L150" i="1" s="1"/>
  <c r="L151" i="1" s="1"/>
  <c r="L143" i="1"/>
  <c r="Q162" i="1"/>
  <c r="Q163" i="1"/>
  <c r="Q164" i="1"/>
  <c r="L157" i="1"/>
  <c r="L158" i="1" s="1"/>
  <c r="L159" i="1" s="1"/>
  <c r="L160" i="1" s="1"/>
  <c r="L161" i="1" s="1"/>
  <c r="G2094" i="4"/>
  <c r="E2094" i="4"/>
  <c r="C2094" i="4"/>
  <c r="F2093" i="4"/>
  <c r="D2093" i="4"/>
  <c r="F2092" i="4"/>
  <c r="D2092" i="4"/>
  <c r="D2091" i="4"/>
  <c r="F2091" i="4"/>
  <c r="F2090" i="4"/>
  <c r="D2090" i="4"/>
  <c r="F2089" i="4"/>
  <c r="D2089" i="4"/>
  <c r="F2088" i="4"/>
  <c r="D2088" i="4"/>
  <c r="F2087" i="4"/>
  <c r="D2087" i="4"/>
  <c r="F2086" i="4"/>
  <c r="D2086" i="4"/>
  <c r="F2085" i="4"/>
  <c r="D2085" i="4"/>
  <c r="F2084" i="4"/>
  <c r="D2084" i="4"/>
  <c r="M47" i="1"/>
  <c r="B47" i="1"/>
  <c r="A47" i="1"/>
  <c r="M105" i="1"/>
  <c r="A87" i="1"/>
  <c r="M143" i="1"/>
  <c r="B143" i="1"/>
  <c r="A202" i="1"/>
  <c r="A143" i="1"/>
  <c r="B105" i="1"/>
  <c r="M87" i="1"/>
  <c r="B202" i="1"/>
  <c r="B87" i="1"/>
  <c r="M202" i="1"/>
  <c r="C202" i="1"/>
  <c r="I105" i="1"/>
  <c r="J143" i="1"/>
  <c r="F143" i="1"/>
  <c r="J87" i="1"/>
  <c r="F87" i="1"/>
  <c r="F202" i="1"/>
  <c r="J47" i="1"/>
  <c r="E105" i="1"/>
  <c r="I87" i="1"/>
  <c r="E3" i="1"/>
  <c r="C143" i="1"/>
  <c r="K87" i="1"/>
  <c r="I143" i="1"/>
  <c r="K202" i="1"/>
  <c r="D143" i="1"/>
  <c r="G47" i="1"/>
  <c r="E202" i="1"/>
  <c r="G202" i="1"/>
  <c r="C105" i="1"/>
  <c r="E143" i="1"/>
  <c r="H143" i="1"/>
  <c r="I202" i="1"/>
  <c r="G143" i="1"/>
  <c r="H87" i="1"/>
  <c r="E4" i="1"/>
  <c r="D202" i="1"/>
  <c r="G87" i="1"/>
  <c r="D105" i="1"/>
  <c r="K47" i="1"/>
  <c r="K105" i="1"/>
  <c r="C47" i="1"/>
  <c r="E87" i="1"/>
  <c r="H202" i="1"/>
  <c r="J202" i="1"/>
  <c r="E47" i="1"/>
  <c r="K143" i="1"/>
  <c r="D87" i="1"/>
  <c r="H47" i="1"/>
  <c r="C87" i="1"/>
  <c r="Z87" i="1" l="1"/>
  <c r="L88" i="1"/>
  <c r="L89" i="1" s="1"/>
  <c r="L90" i="1" s="1"/>
  <c r="L203" i="1"/>
  <c r="Z202" i="1"/>
  <c r="Z105" i="1"/>
  <c r="Z47" i="1"/>
  <c r="L144" i="1"/>
  <c r="Z143" i="1"/>
  <c r="L168" i="1"/>
  <c r="L169" i="1" s="1"/>
  <c r="L170" i="1" s="1"/>
  <c r="L171" i="1" s="1"/>
  <c r="L162" i="1"/>
  <c r="D2094" i="4"/>
  <c r="F2094" i="4"/>
  <c r="B2094" i="4"/>
  <c r="A203" i="1"/>
  <c r="A88" i="1"/>
  <c r="M203" i="1"/>
  <c r="B203" i="1"/>
  <c r="A162" i="1"/>
  <c r="B48" i="1"/>
  <c r="A48" i="1"/>
  <c r="A106" i="1"/>
  <c r="M106" i="1"/>
  <c r="B106" i="1"/>
  <c r="A144" i="1"/>
  <c r="B88" i="1"/>
  <c r="M162" i="1"/>
  <c r="M144" i="1"/>
  <c r="C106" i="1"/>
  <c r="B162" i="1"/>
  <c r="M88" i="1"/>
  <c r="B144" i="1"/>
  <c r="M48" i="1"/>
  <c r="F203" i="1"/>
  <c r="G162" i="1"/>
  <c r="F48" i="1"/>
  <c r="H88" i="1"/>
  <c r="K48" i="1"/>
  <c r="H162" i="1"/>
  <c r="J162" i="1"/>
  <c r="K106" i="1"/>
  <c r="D162" i="1"/>
  <c r="C48" i="1"/>
  <c r="K203" i="1"/>
  <c r="J203" i="1"/>
  <c r="F144" i="1"/>
  <c r="C203" i="1"/>
  <c r="D88" i="1"/>
  <c r="K88" i="1"/>
  <c r="J144" i="1"/>
  <c r="C162" i="1"/>
  <c r="J48" i="1"/>
  <c r="E203" i="1"/>
  <c r="F106" i="1"/>
  <c r="J88" i="1"/>
  <c r="I48" i="1"/>
  <c r="I144" i="1"/>
  <c r="E88" i="1"/>
  <c r="F47" i="1"/>
  <c r="K162" i="1"/>
  <c r="G106" i="1"/>
  <c r="C144" i="1"/>
  <c r="H48" i="1"/>
  <c r="C88" i="1"/>
  <c r="H144" i="1"/>
  <c r="K144" i="1"/>
  <c r="I162" i="1"/>
  <c r="F88" i="1"/>
  <c r="H106" i="1"/>
  <c r="I88" i="1"/>
  <c r="G48" i="1"/>
  <c r="E162" i="1"/>
  <c r="E144" i="1"/>
  <c r="G88" i="1"/>
  <c r="F162" i="1"/>
  <c r="D144" i="1"/>
  <c r="D48" i="1"/>
  <c r="G203" i="1"/>
  <c r="I106" i="1"/>
  <c r="H203" i="1"/>
  <c r="E48" i="1"/>
  <c r="D106" i="1"/>
  <c r="G144" i="1"/>
  <c r="I47" i="1"/>
  <c r="J106" i="1"/>
  <c r="D203" i="1"/>
  <c r="E106" i="1"/>
  <c r="I203" i="1"/>
  <c r="D47" i="1"/>
  <c r="Z88" i="1" l="1"/>
  <c r="Z203" i="1"/>
  <c r="L204" i="1"/>
  <c r="L205" i="1" s="1"/>
  <c r="Z106" i="1"/>
  <c r="Z48" i="1"/>
  <c r="Z144" i="1"/>
  <c r="L145" i="1"/>
  <c r="L163" i="1"/>
  <c r="Z162" i="1"/>
  <c r="K2075" i="4"/>
  <c r="M2075" i="4" s="1"/>
  <c r="S2075" i="4" s="1"/>
  <c r="P2078" i="4"/>
  <c r="N2078" i="4"/>
  <c r="L2078" i="4"/>
  <c r="O2077" i="4"/>
  <c r="M2077" i="4"/>
  <c r="S2077" i="4" s="1"/>
  <c r="O2076" i="4"/>
  <c r="M2076" i="4"/>
  <c r="S2076" i="4" s="1"/>
  <c r="O2074" i="4"/>
  <c r="M2074" i="4"/>
  <c r="S2074" i="4" s="1"/>
  <c r="O2073" i="4"/>
  <c r="M2073" i="4"/>
  <c r="S2073" i="4" s="1"/>
  <c r="O2072" i="4"/>
  <c r="M2072" i="4"/>
  <c r="S2072" i="4" s="1"/>
  <c r="O2071" i="4"/>
  <c r="M2071" i="4"/>
  <c r="S2071" i="4" s="1"/>
  <c r="O2070" i="4"/>
  <c r="M2070" i="4"/>
  <c r="S2070" i="4" s="1"/>
  <c r="O2069" i="4"/>
  <c r="M2069" i="4"/>
  <c r="S2069" i="4" s="1"/>
  <c r="O2068" i="4"/>
  <c r="M2068" i="4"/>
  <c r="S2068" i="4" s="1"/>
  <c r="L177" i="1"/>
  <c r="L178" i="1" s="1"/>
  <c r="L179" i="1" s="1"/>
  <c r="L180" i="1" s="1"/>
  <c r="L181" i="1" s="1"/>
  <c r="L182" i="1" s="1"/>
  <c r="L183" i="1" s="1"/>
  <c r="L184" i="1" s="1"/>
  <c r="L185" i="1" s="1"/>
  <c r="L187" i="1" s="1"/>
  <c r="L188" i="1" s="1"/>
  <c r="L189" i="1" s="1"/>
  <c r="L190" i="1" s="1"/>
  <c r="A163" i="1"/>
  <c r="M145" i="1"/>
  <c r="M89" i="1"/>
  <c r="B89" i="1"/>
  <c r="B145" i="1"/>
  <c r="A145" i="1"/>
  <c r="M204" i="1"/>
  <c r="B204" i="1"/>
  <c r="M163" i="1"/>
  <c r="A89" i="1"/>
  <c r="A204" i="1"/>
  <c r="B163" i="1"/>
  <c r="D89" i="1"/>
  <c r="I145" i="1"/>
  <c r="E163" i="1"/>
  <c r="C145" i="1"/>
  <c r="F89" i="1"/>
  <c r="J145" i="1"/>
  <c r="G204" i="1"/>
  <c r="D145" i="1"/>
  <c r="H145" i="1"/>
  <c r="F204" i="1"/>
  <c r="G145" i="1"/>
  <c r="J204" i="1"/>
  <c r="I89" i="1"/>
  <c r="E204" i="1"/>
  <c r="I163" i="1"/>
  <c r="K204" i="1"/>
  <c r="J163" i="1"/>
  <c r="H89" i="1"/>
  <c r="G163" i="1"/>
  <c r="K145" i="1"/>
  <c r="K163" i="1"/>
  <c r="C204" i="1"/>
  <c r="K89" i="1"/>
  <c r="G89" i="1"/>
  <c r="E145" i="1"/>
  <c r="F163" i="1"/>
  <c r="C89" i="1"/>
  <c r="I204" i="1"/>
  <c r="H163" i="1"/>
  <c r="F145" i="1"/>
  <c r="D163" i="1"/>
  <c r="J89" i="1"/>
  <c r="E89" i="1"/>
  <c r="C163" i="1"/>
  <c r="D204" i="1"/>
  <c r="H204" i="1"/>
  <c r="Z89" i="1" l="1"/>
  <c r="Z204" i="1"/>
  <c r="Z145" i="1"/>
  <c r="L146" i="1"/>
  <c r="Z163" i="1"/>
  <c r="L164" i="1"/>
  <c r="O2075" i="4"/>
  <c r="O2078" i="4" s="1"/>
  <c r="K2078" i="4"/>
  <c r="M2078" i="4"/>
  <c r="M164" i="1"/>
  <c r="B164" i="1"/>
  <c r="A164" i="1"/>
  <c r="H164" i="1"/>
  <c r="D164" i="1"/>
  <c r="E164" i="1"/>
  <c r="F164" i="1"/>
  <c r="G164" i="1"/>
  <c r="C164" i="1"/>
  <c r="K164" i="1"/>
  <c r="J164" i="1"/>
  <c r="I164" i="1"/>
  <c r="Z164" i="1" l="1"/>
  <c r="L165" i="1"/>
  <c r="L166" i="1" s="1"/>
  <c r="G2078" i="4"/>
  <c r="E2078" i="4" l="1"/>
  <c r="C2078" i="4"/>
  <c r="B2078" i="4"/>
  <c r="F2077" i="4"/>
  <c r="D2077" i="4"/>
  <c r="F2076" i="4"/>
  <c r="D2076" i="4"/>
  <c r="F2075" i="4"/>
  <c r="D2075" i="4"/>
  <c r="F2074" i="4"/>
  <c r="D2074" i="4"/>
  <c r="F2073" i="4"/>
  <c r="D2073" i="4"/>
  <c r="F2072" i="4"/>
  <c r="D2072" i="4"/>
  <c r="F2071" i="4"/>
  <c r="D2071" i="4"/>
  <c r="F2070" i="4"/>
  <c r="D2070" i="4"/>
  <c r="F2069" i="4"/>
  <c r="D2069" i="4"/>
  <c r="F2068" i="4"/>
  <c r="D2068" i="4"/>
  <c r="D2078" i="4" l="1"/>
  <c r="F2078" i="4"/>
  <c r="L2037" i="4"/>
  <c r="N2037" i="4" s="1"/>
  <c r="Q2049" i="4"/>
  <c r="O2049" i="4"/>
  <c r="M2049" i="4"/>
  <c r="P2048" i="4"/>
  <c r="N2048" i="4"/>
  <c r="P2047" i="4"/>
  <c r="P2046" i="4"/>
  <c r="N2046" i="4"/>
  <c r="P2045" i="4"/>
  <c r="N2045" i="4"/>
  <c r="P2044" i="4"/>
  <c r="N2044" i="4"/>
  <c r="P2043" i="4"/>
  <c r="N2043" i="4"/>
  <c r="P2042" i="4"/>
  <c r="P2041" i="4"/>
  <c r="N2041" i="4"/>
  <c r="P2040" i="4"/>
  <c r="N2040" i="4"/>
  <c r="P2039" i="4"/>
  <c r="N2039" i="4"/>
  <c r="P2038" i="4"/>
  <c r="N2038" i="4"/>
  <c r="P2036" i="4"/>
  <c r="N2036" i="4"/>
  <c r="Q182" i="1"/>
  <c r="Q183" i="1"/>
  <c r="P2037" i="4" l="1"/>
  <c r="P2049" i="4" s="1"/>
  <c r="L2049" i="4"/>
  <c r="N2042" i="4"/>
  <c r="N2047" i="4"/>
  <c r="B2047" i="4"/>
  <c r="D2047" i="4" s="1"/>
  <c r="B2042" i="4"/>
  <c r="D2042" i="4" s="1"/>
  <c r="G2049" i="4"/>
  <c r="E2049" i="4"/>
  <c r="C2049" i="4"/>
  <c r="F2048" i="4"/>
  <c r="D2048" i="4"/>
  <c r="F2046" i="4"/>
  <c r="D2046" i="4"/>
  <c r="F2045" i="4"/>
  <c r="D2045" i="4"/>
  <c r="F2044" i="4"/>
  <c r="D2044" i="4"/>
  <c r="F2043" i="4"/>
  <c r="D2043" i="4"/>
  <c r="F2041" i="4"/>
  <c r="D2041" i="4"/>
  <c r="F2040" i="4"/>
  <c r="D2040" i="4"/>
  <c r="F2039" i="4"/>
  <c r="D2039" i="4"/>
  <c r="F2038" i="4"/>
  <c r="D2038" i="4"/>
  <c r="F2037" i="4"/>
  <c r="D2037" i="4"/>
  <c r="F2036" i="4"/>
  <c r="D2036" i="4"/>
  <c r="N2049" i="4" l="1"/>
  <c r="F2047" i="4"/>
  <c r="B2049" i="4"/>
  <c r="F2042" i="4"/>
  <c r="D2049" i="4"/>
  <c r="Q2030" i="4"/>
  <c r="O2030" i="4"/>
  <c r="M2030" i="4"/>
  <c r="L2030" i="4"/>
  <c r="P2029" i="4"/>
  <c r="N2029" i="4"/>
  <c r="P2028" i="4"/>
  <c r="N2028" i="4"/>
  <c r="P2027" i="4"/>
  <c r="N2027" i="4"/>
  <c r="P2026" i="4"/>
  <c r="N2026" i="4"/>
  <c r="P2025" i="4"/>
  <c r="N2025" i="4"/>
  <c r="P2024" i="4"/>
  <c r="N2024" i="4"/>
  <c r="P2023" i="4"/>
  <c r="N2023" i="4"/>
  <c r="P2022" i="4"/>
  <c r="N2022" i="4"/>
  <c r="P2021" i="4"/>
  <c r="N2021" i="4"/>
  <c r="P2020" i="4"/>
  <c r="N2020" i="4"/>
  <c r="P2019" i="4"/>
  <c r="N2019" i="4"/>
  <c r="P2018" i="4"/>
  <c r="N2018" i="4"/>
  <c r="P2017" i="4"/>
  <c r="N2017" i="4"/>
  <c r="Q261" i="1"/>
  <c r="Q262" i="1"/>
  <c r="Q263" i="1"/>
  <c r="F2049" i="4" l="1"/>
  <c r="N2030" i="4"/>
  <c r="P2030" i="4"/>
  <c r="L61" i="1"/>
  <c r="L62" i="1" s="1"/>
  <c r="L63" i="1" s="1"/>
  <c r="L64" i="1" s="1"/>
  <c r="L65" i="1" s="1"/>
  <c r="L33" i="1"/>
  <c r="L34" i="1" s="1"/>
  <c r="L35" i="1" s="1"/>
  <c r="L36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Q27" i="1"/>
  <c r="Q28" i="1"/>
  <c r="Q29" i="1"/>
  <c r="L72" i="1" l="1"/>
  <c r="L73" i="1" s="1"/>
  <c r="L74" i="1" s="1"/>
  <c r="L75" i="1" s="1"/>
  <c r="L66" i="1"/>
  <c r="D2029" i="4"/>
  <c r="F2029" i="4"/>
  <c r="G2030" i="4"/>
  <c r="E2030" i="4"/>
  <c r="B2030" i="4"/>
  <c r="C2030" i="4"/>
  <c r="F2028" i="4"/>
  <c r="D2028" i="4"/>
  <c r="F2027" i="4"/>
  <c r="D2027" i="4"/>
  <c r="F2026" i="4"/>
  <c r="D2026" i="4"/>
  <c r="F2025" i="4"/>
  <c r="D2025" i="4"/>
  <c r="F2024" i="4"/>
  <c r="D2024" i="4"/>
  <c r="F2023" i="4"/>
  <c r="D2023" i="4"/>
  <c r="F2022" i="4"/>
  <c r="D2022" i="4"/>
  <c r="F2021" i="4"/>
  <c r="D2021" i="4"/>
  <c r="F2020" i="4"/>
  <c r="D2020" i="4"/>
  <c r="F2019" i="4"/>
  <c r="D2019" i="4"/>
  <c r="F2018" i="4"/>
  <c r="D2018" i="4"/>
  <c r="F2017" i="4"/>
  <c r="D2017" i="4"/>
  <c r="A66" i="1"/>
  <c r="M66" i="1"/>
  <c r="B66" i="1"/>
  <c r="E66" i="1"/>
  <c r="G66" i="1"/>
  <c r="H66" i="1"/>
  <c r="C66" i="1"/>
  <c r="J66" i="1"/>
  <c r="F66" i="1"/>
  <c r="D66" i="1"/>
  <c r="I66" i="1"/>
  <c r="K66" i="1"/>
  <c r="Z66" i="1" l="1"/>
  <c r="L67" i="1"/>
  <c r="D2030" i="4"/>
  <c r="F2030" i="4"/>
  <c r="Q2012" i="4"/>
  <c r="O2012" i="4"/>
  <c r="M2012" i="4"/>
  <c r="L2012" i="4"/>
  <c r="P2011" i="4"/>
  <c r="N2011" i="4"/>
  <c r="P2010" i="4"/>
  <c r="N2010" i="4"/>
  <c r="P2009" i="4"/>
  <c r="N2009" i="4"/>
  <c r="P2008" i="4"/>
  <c r="N2008" i="4"/>
  <c r="P2007" i="4"/>
  <c r="N2007" i="4"/>
  <c r="P2006" i="4"/>
  <c r="N2006" i="4"/>
  <c r="P2005" i="4"/>
  <c r="N2005" i="4"/>
  <c r="P2004" i="4"/>
  <c r="N2004" i="4"/>
  <c r="P2003" i="4"/>
  <c r="N2003" i="4"/>
  <c r="P2002" i="4"/>
  <c r="N2002" i="4"/>
  <c r="P2001" i="4"/>
  <c r="N2001" i="4"/>
  <c r="P2000" i="4"/>
  <c r="N2000" i="4"/>
  <c r="M67" i="1"/>
  <c r="B67" i="1"/>
  <c r="A67" i="1"/>
  <c r="C67" i="1"/>
  <c r="F67" i="1"/>
  <c r="G67" i="1"/>
  <c r="H67" i="1"/>
  <c r="K67" i="1"/>
  <c r="I67" i="1"/>
  <c r="E67" i="1"/>
  <c r="J67" i="1"/>
  <c r="D67" i="1"/>
  <c r="Z67" i="1" l="1"/>
  <c r="L68" i="1"/>
  <c r="L69" i="1" s="1"/>
  <c r="L70" i="1" s="1"/>
  <c r="N2012" i="4"/>
  <c r="P2012" i="4"/>
  <c r="G2012" i="4"/>
  <c r="E2012" i="4"/>
  <c r="C2012" i="4"/>
  <c r="F2011" i="4"/>
  <c r="U2011" i="4" s="1"/>
  <c r="D2011" i="4"/>
  <c r="F2010" i="4"/>
  <c r="U2010" i="4" s="1"/>
  <c r="D2010" i="4"/>
  <c r="F2009" i="4"/>
  <c r="U2009" i="4" s="1"/>
  <c r="D2009" i="4"/>
  <c r="F2008" i="4"/>
  <c r="U2008" i="4" s="1"/>
  <c r="D2008" i="4"/>
  <c r="F2007" i="4"/>
  <c r="U2007" i="4" s="1"/>
  <c r="D2007" i="4"/>
  <c r="F2006" i="4"/>
  <c r="U2006" i="4" s="1"/>
  <c r="F2005" i="4"/>
  <c r="U2005" i="4" s="1"/>
  <c r="D2005" i="4"/>
  <c r="F2004" i="4"/>
  <c r="U2004" i="4" s="1"/>
  <c r="D2004" i="4"/>
  <c r="F2003" i="4"/>
  <c r="U2003" i="4" s="1"/>
  <c r="D2003" i="4"/>
  <c r="F2002" i="4"/>
  <c r="U2002" i="4" s="1"/>
  <c r="D2002" i="4"/>
  <c r="F2001" i="4"/>
  <c r="U2001" i="4" s="1"/>
  <c r="D2001" i="4"/>
  <c r="B2012" i="4"/>
  <c r="X3" i="1"/>
  <c r="X7" i="1"/>
  <c r="X4" i="1"/>
  <c r="X14" i="1"/>
  <c r="X6" i="1"/>
  <c r="X15" i="1"/>
  <c r="X13" i="1"/>
  <c r="X12" i="1"/>
  <c r="X11" i="1"/>
  <c r="X9" i="1"/>
  <c r="L255" i="1"/>
  <c r="L256" i="1" s="1"/>
  <c r="L257" i="1" s="1"/>
  <c r="L258" i="1" s="1"/>
  <c r="L259" i="1" s="1"/>
  <c r="L260" i="1" s="1"/>
  <c r="L261" i="1" s="1"/>
  <c r="Q257" i="1"/>
  <c r="Q256" i="1"/>
  <c r="Q255" i="1"/>
  <c r="Q259" i="1"/>
  <c r="Q258" i="1"/>
  <c r="Q254" i="1"/>
  <c r="L15" i="1"/>
  <c r="E261" i="1"/>
  <c r="J261" i="1"/>
  <c r="I261" i="1"/>
  <c r="M261" i="1"/>
  <c r="C261" i="1"/>
  <c r="B261" i="1"/>
  <c r="K261" i="1"/>
  <c r="A261" i="1"/>
  <c r="D261" i="1"/>
  <c r="H261" i="1"/>
  <c r="F261" i="1"/>
  <c r="G261" i="1"/>
  <c r="A186" i="1"/>
  <c r="A257" i="1"/>
  <c r="A254" i="1"/>
  <c r="M68" i="1"/>
  <c r="A255" i="1"/>
  <c r="B68" i="1"/>
  <c r="A127" i="1"/>
  <c r="M256" i="1"/>
  <c r="A110" i="1"/>
  <c r="A147" i="1"/>
  <c r="A265" i="1"/>
  <c r="A241" i="1"/>
  <c r="A32" i="1"/>
  <c r="A68" i="1"/>
  <c r="A259" i="1"/>
  <c r="A71" i="1"/>
  <c r="A260" i="1"/>
  <c r="A206" i="1"/>
  <c r="A167" i="1"/>
  <c r="M255" i="1"/>
  <c r="A51" i="1"/>
  <c r="A223" i="1"/>
  <c r="A256" i="1"/>
  <c r="A258" i="1"/>
  <c r="J259" i="1"/>
  <c r="A91" i="1"/>
  <c r="G255" i="1"/>
  <c r="C259" i="1"/>
  <c r="E68" i="1"/>
  <c r="H257" i="1"/>
  <c r="H256" i="1"/>
  <c r="G68" i="1"/>
  <c r="F68" i="1"/>
  <c r="E256" i="1"/>
  <c r="I68" i="1"/>
  <c r="F255" i="1"/>
  <c r="H255" i="1"/>
  <c r="F256" i="1"/>
  <c r="H68" i="1"/>
  <c r="E255" i="1"/>
  <c r="G257" i="1"/>
  <c r="J68" i="1"/>
  <c r="G256" i="1"/>
  <c r="K68" i="1"/>
  <c r="D68" i="1"/>
  <c r="C68" i="1"/>
  <c r="K256" i="1"/>
  <c r="Z68" i="1" l="1"/>
  <c r="Z261" i="1"/>
  <c r="L262" i="1"/>
  <c r="D2000" i="4"/>
  <c r="F2000" i="4"/>
  <c r="D2006" i="4"/>
  <c r="X10" i="1"/>
  <c r="X5" i="1"/>
  <c r="AB4" i="1" s="1"/>
  <c r="X8" i="1"/>
  <c r="I26" i="2"/>
  <c r="L266" i="1"/>
  <c r="L267" i="1" s="1"/>
  <c r="L268" i="1" s="1"/>
  <c r="L269" i="1" s="1"/>
  <c r="Q269" i="1"/>
  <c r="Q268" i="1"/>
  <c r="Q267" i="1"/>
  <c r="Q266" i="1"/>
  <c r="Q265" i="1"/>
  <c r="Q264" i="1"/>
  <c r="Q260" i="1"/>
  <c r="Q253" i="1"/>
  <c r="Q252" i="1"/>
  <c r="B251" i="1"/>
  <c r="M266" i="1"/>
  <c r="H259" i="1"/>
  <c r="B257" i="1"/>
  <c r="M262" i="1"/>
  <c r="G259" i="1"/>
  <c r="H260" i="1"/>
  <c r="J260" i="1"/>
  <c r="B262" i="1"/>
  <c r="K260" i="1"/>
  <c r="B256" i="1"/>
  <c r="J262" i="1"/>
  <c r="B266" i="1"/>
  <c r="L252" i="1"/>
  <c r="M265" i="1"/>
  <c r="B265" i="1"/>
  <c r="M259" i="1"/>
  <c r="A266" i="1"/>
  <c r="K262" i="1"/>
  <c r="B255" i="1"/>
  <c r="A262" i="1"/>
  <c r="H262" i="1"/>
  <c r="B259" i="1"/>
  <c r="M257" i="1"/>
  <c r="A252" i="1"/>
  <c r="K259" i="1"/>
  <c r="F262" i="1"/>
  <c r="G262" i="1"/>
  <c r="B260" i="1"/>
  <c r="M260" i="1"/>
  <c r="B252" i="1"/>
  <c r="E262" i="1"/>
  <c r="H252" i="1"/>
  <c r="D265" i="1"/>
  <c r="C265" i="1"/>
  <c r="D255" i="1"/>
  <c r="I265" i="1"/>
  <c r="E257" i="1"/>
  <c r="C15" i="1"/>
  <c r="G253" i="1"/>
  <c r="I259" i="1"/>
  <c r="D266" i="1"/>
  <c r="K266" i="1"/>
  <c r="J255" i="1"/>
  <c r="D256" i="1"/>
  <c r="C252" i="1"/>
  <c r="I256" i="1"/>
  <c r="H266" i="1"/>
  <c r="G265" i="1"/>
  <c r="K257" i="1"/>
  <c r="D15" i="1"/>
  <c r="I257" i="1"/>
  <c r="I255" i="1"/>
  <c r="E252" i="1"/>
  <c r="E265" i="1"/>
  <c r="J257" i="1"/>
  <c r="J266" i="1"/>
  <c r="F265" i="1"/>
  <c r="D260" i="1"/>
  <c r="G266" i="1"/>
  <c r="K252" i="1"/>
  <c r="C255" i="1"/>
  <c r="D252" i="1"/>
  <c r="I262" i="1"/>
  <c r="F266" i="1"/>
  <c r="F260" i="1"/>
  <c r="J252" i="1"/>
  <c r="E15" i="1"/>
  <c r="J265" i="1"/>
  <c r="E266" i="1"/>
  <c r="E260" i="1"/>
  <c r="G252" i="1"/>
  <c r="F259" i="1"/>
  <c r="F257" i="1"/>
  <c r="H265" i="1"/>
  <c r="B15" i="1"/>
  <c r="C260" i="1"/>
  <c r="J256" i="1"/>
  <c r="C257" i="1"/>
  <c r="C266" i="1"/>
  <c r="D262" i="1"/>
  <c r="A15" i="1"/>
  <c r="D259" i="1"/>
  <c r="D257" i="1"/>
  <c r="K255" i="1"/>
  <c r="E259" i="1"/>
  <c r="I252" i="1"/>
  <c r="I260" i="1"/>
  <c r="G260" i="1"/>
  <c r="F252" i="1"/>
  <c r="K265" i="1"/>
  <c r="C262" i="1"/>
  <c r="C256" i="1"/>
  <c r="I266" i="1"/>
  <c r="F2012" i="4" l="1"/>
  <c r="U2000" i="4"/>
  <c r="U2012" i="4" s="1"/>
  <c r="AB1" i="1"/>
  <c r="Z262" i="1"/>
  <c r="L263" i="1"/>
  <c r="D2012" i="4"/>
  <c r="Z252" i="1"/>
  <c r="Z265" i="1"/>
  <c r="Z266" i="1"/>
  <c r="B18" i="1"/>
  <c r="B38" i="1"/>
  <c r="B57" i="1"/>
  <c r="B77" i="1"/>
  <c r="B97" i="1"/>
  <c r="B116" i="1"/>
  <c r="B133" i="1"/>
  <c r="B153" i="1"/>
  <c r="B173" i="1"/>
  <c r="B192" i="1"/>
  <c r="Q237" i="1"/>
  <c r="B212" i="1"/>
  <c r="A263" i="1"/>
  <c r="E263" i="1"/>
  <c r="F263" i="1"/>
  <c r="M263" i="1"/>
  <c r="B263" i="1"/>
  <c r="J263" i="1"/>
  <c r="I263" i="1"/>
  <c r="H263" i="1"/>
  <c r="K263" i="1"/>
  <c r="G263" i="1"/>
  <c r="C263" i="1"/>
  <c r="D263" i="1"/>
  <c r="J26" i="2"/>
  <c r="B174" i="1"/>
  <c r="B267" i="1"/>
  <c r="M195" i="1"/>
  <c r="M267" i="1"/>
  <c r="M223" i="1"/>
  <c r="L117" i="1"/>
  <c r="H80" i="1"/>
  <c r="L154" i="1"/>
  <c r="B21" i="1"/>
  <c r="B176" i="1"/>
  <c r="J156" i="1"/>
  <c r="A19" i="1"/>
  <c r="A195" i="1"/>
  <c r="L134" i="1"/>
  <c r="B119" i="1"/>
  <c r="M80" i="1"/>
  <c r="L58" i="1"/>
  <c r="B60" i="1"/>
  <c r="M119" i="1"/>
  <c r="B215" i="1"/>
  <c r="H267" i="1"/>
  <c r="L174" i="1"/>
  <c r="G267" i="1"/>
  <c r="A193" i="1"/>
  <c r="M51" i="1"/>
  <c r="B80" i="1"/>
  <c r="K80" i="1"/>
  <c r="B147" i="1"/>
  <c r="H60" i="1"/>
  <c r="A154" i="1"/>
  <c r="B156" i="1"/>
  <c r="B91" i="1"/>
  <c r="L98" i="1"/>
  <c r="K60" i="1"/>
  <c r="B206" i="1"/>
  <c r="M136" i="1"/>
  <c r="M176" i="1"/>
  <c r="B127" i="1"/>
  <c r="B32" i="1"/>
  <c r="A41" i="1"/>
  <c r="M258" i="1"/>
  <c r="M206" i="1"/>
  <c r="K71" i="1"/>
  <c r="G156" i="1"/>
  <c r="D156" i="1"/>
  <c r="J21" i="1"/>
  <c r="L78" i="1"/>
  <c r="B78" i="1"/>
  <c r="G21" i="1"/>
  <c r="M167" i="1"/>
  <c r="M91" i="1"/>
  <c r="B134" i="1"/>
  <c r="B117" i="1"/>
  <c r="A98" i="1"/>
  <c r="A215" i="1"/>
  <c r="A119" i="1"/>
  <c r="M110" i="1"/>
  <c r="M100" i="1"/>
  <c r="B19" i="1"/>
  <c r="B193" i="1"/>
  <c r="A58" i="1"/>
  <c r="J80" i="1"/>
  <c r="B71" i="1"/>
  <c r="K21" i="1"/>
  <c r="A267" i="1"/>
  <c r="D167" i="1"/>
  <c r="D21" i="1"/>
  <c r="L39" i="1"/>
  <c r="A253" i="1"/>
  <c r="B98" i="1"/>
  <c r="B51" i="1"/>
  <c r="M127" i="1"/>
  <c r="L253" i="1"/>
  <c r="B110" i="1"/>
  <c r="A39" i="1"/>
  <c r="B186" i="1"/>
  <c r="M32" i="1"/>
  <c r="B58" i="1"/>
  <c r="B41" i="1"/>
  <c r="J60" i="1"/>
  <c r="M60" i="1"/>
  <c r="B213" i="1"/>
  <c r="K267" i="1"/>
  <c r="A213" i="1"/>
  <c r="G258" i="1"/>
  <c r="A78" i="1"/>
  <c r="J267" i="1"/>
  <c r="A174" i="1"/>
  <c r="M21" i="1"/>
  <c r="M71" i="1"/>
  <c r="L19" i="1"/>
  <c r="A156" i="1"/>
  <c r="A60" i="1"/>
  <c r="L193" i="1"/>
  <c r="B223" i="1"/>
  <c r="M186" i="1"/>
  <c r="B154" i="1"/>
  <c r="A134" i="1"/>
  <c r="M156" i="1"/>
  <c r="B195" i="1"/>
  <c r="B39" i="1"/>
  <c r="A136" i="1"/>
  <c r="H21" i="1"/>
  <c r="G60" i="1"/>
  <c r="L213" i="1"/>
  <c r="B258" i="1"/>
  <c r="A117" i="1"/>
  <c r="E21" i="1"/>
  <c r="B136" i="1"/>
  <c r="G80" i="1"/>
  <c r="K156" i="1"/>
  <c r="M215" i="1"/>
  <c r="H156" i="1"/>
  <c r="E156" i="1"/>
  <c r="M147" i="1"/>
  <c r="A80" i="1"/>
  <c r="E267" i="1"/>
  <c r="J41" i="1"/>
  <c r="B167" i="1"/>
  <c r="B100" i="1"/>
  <c r="A100" i="1"/>
  <c r="B253" i="1"/>
  <c r="A176" i="1"/>
  <c r="D41" i="1"/>
  <c r="M41" i="1"/>
  <c r="A21" i="1"/>
  <c r="D258" i="1"/>
  <c r="C80" i="1"/>
  <c r="K147" i="1"/>
  <c r="I167" i="1"/>
  <c r="I136" i="1"/>
  <c r="E91" i="1"/>
  <c r="K193" i="1"/>
  <c r="C147" i="1"/>
  <c r="I78" i="1"/>
  <c r="H134" i="1"/>
  <c r="F167" i="1"/>
  <c r="C100" i="1"/>
  <c r="C41" i="1"/>
  <c r="H117" i="1"/>
  <c r="J176" i="1"/>
  <c r="G71" i="1"/>
  <c r="J100" i="1"/>
  <c r="F119" i="1"/>
  <c r="J58" i="1"/>
  <c r="D110" i="1"/>
  <c r="G206" i="1"/>
  <c r="G154" i="1"/>
  <c r="I156" i="1"/>
  <c r="J39" i="1"/>
  <c r="E58" i="1"/>
  <c r="G186" i="1"/>
  <c r="J195" i="1"/>
  <c r="J78" i="1"/>
  <c r="I154" i="1"/>
  <c r="K176" i="1"/>
  <c r="G147" i="1"/>
  <c r="C127" i="1"/>
  <c r="K110" i="1"/>
  <c r="F193" i="1"/>
  <c r="K117" i="1"/>
  <c r="K206" i="1"/>
  <c r="J98" i="1"/>
  <c r="H154" i="1"/>
  <c r="D253" i="1"/>
  <c r="D176" i="1"/>
  <c r="F60" i="1"/>
  <c r="H39" i="1"/>
  <c r="K253" i="1"/>
  <c r="E186" i="1"/>
  <c r="E51" i="1"/>
  <c r="D60" i="1"/>
  <c r="H174" i="1"/>
  <c r="G58" i="1"/>
  <c r="K223" i="1"/>
  <c r="J127" i="1"/>
  <c r="K154" i="1"/>
  <c r="D119" i="1"/>
  <c r="K32" i="1"/>
  <c r="K41" i="1"/>
  <c r="D154" i="1"/>
  <c r="C134" i="1"/>
  <c r="I21" i="1"/>
  <c r="I127" i="1"/>
  <c r="K186" i="1"/>
  <c r="E174" i="1"/>
  <c r="E206" i="1"/>
  <c r="D174" i="1"/>
  <c r="F58" i="1"/>
  <c r="I100" i="1"/>
  <c r="F41" i="1"/>
  <c r="E176" i="1"/>
  <c r="I39" i="1"/>
  <c r="I147" i="1"/>
  <c r="I186" i="1"/>
  <c r="C58" i="1"/>
  <c r="J206" i="1"/>
  <c r="D39" i="1"/>
  <c r="C51" i="1"/>
  <c r="F127" i="1"/>
  <c r="F258" i="1"/>
  <c r="K78" i="1"/>
  <c r="F117" i="1"/>
  <c r="H176" i="1"/>
  <c r="D100" i="1"/>
  <c r="H78" i="1"/>
  <c r="E32" i="1"/>
  <c r="E60" i="1"/>
  <c r="F136" i="1"/>
  <c r="D213" i="1"/>
  <c r="D186" i="1"/>
  <c r="E119" i="1"/>
  <c r="G213" i="1"/>
  <c r="D195" i="1"/>
  <c r="E253" i="1"/>
  <c r="E71" i="1"/>
  <c r="H206" i="1"/>
  <c r="G91" i="1"/>
  <c r="I134" i="1"/>
  <c r="H136" i="1"/>
  <c r="J19" i="1"/>
  <c r="D127" i="1"/>
  <c r="D71" i="1"/>
  <c r="I174" i="1"/>
  <c r="J117" i="1"/>
  <c r="K258" i="1"/>
  <c r="F156" i="1"/>
  <c r="C32" i="1"/>
  <c r="K167" i="1"/>
  <c r="F51" i="1"/>
  <c r="G136" i="1"/>
  <c r="F80" i="1"/>
  <c r="E136" i="1"/>
  <c r="F91" i="1"/>
  <c r="J223" i="1"/>
  <c r="K174" i="1"/>
  <c r="D98" i="1"/>
  <c r="E167" i="1"/>
  <c r="F134" i="1"/>
  <c r="H41" i="1"/>
  <c r="H258" i="1"/>
  <c r="I119" i="1"/>
  <c r="I80" i="1"/>
  <c r="G100" i="1"/>
  <c r="J186" i="1"/>
  <c r="I110" i="1"/>
  <c r="K51" i="1"/>
  <c r="H167" i="1"/>
  <c r="H98" i="1"/>
  <c r="I258" i="1"/>
  <c r="D206" i="1"/>
  <c r="C60" i="1"/>
  <c r="F195" i="1"/>
  <c r="F147" i="1"/>
  <c r="C19" i="1"/>
  <c r="E193" i="1"/>
  <c r="J32" i="1"/>
  <c r="D193" i="1"/>
  <c r="J91" i="1"/>
  <c r="G78" i="1"/>
  <c r="D215" i="1"/>
  <c r="K39" i="1"/>
  <c r="D136" i="1"/>
  <c r="E117" i="1"/>
  <c r="C253" i="1"/>
  <c r="J110" i="1"/>
  <c r="F21" i="1"/>
  <c r="F176" i="1"/>
  <c r="F32" i="1"/>
  <c r="E19" i="1"/>
  <c r="F223" i="1"/>
  <c r="J253" i="1"/>
  <c r="J154" i="1"/>
  <c r="F215" i="1"/>
  <c r="H223" i="1"/>
  <c r="C206" i="1"/>
  <c r="G98" i="1"/>
  <c r="K58" i="1"/>
  <c r="K100" i="1"/>
  <c r="G51" i="1"/>
  <c r="I223" i="1"/>
  <c r="C215" i="1"/>
  <c r="F100" i="1"/>
  <c r="G32" i="1"/>
  <c r="E223" i="1"/>
  <c r="H100" i="1"/>
  <c r="D91" i="1"/>
  <c r="J134" i="1"/>
  <c r="E127" i="1"/>
  <c r="K98" i="1"/>
  <c r="D147" i="1"/>
  <c r="I267" i="1"/>
  <c r="H110" i="1"/>
  <c r="H127" i="1"/>
  <c r="E100" i="1"/>
  <c r="C167" i="1"/>
  <c r="D267" i="1"/>
  <c r="F154" i="1"/>
  <c r="G195" i="1"/>
  <c r="G19" i="1"/>
  <c r="C156" i="1"/>
  <c r="K127" i="1"/>
  <c r="D134" i="1"/>
  <c r="C154" i="1"/>
  <c r="H195" i="1"/>
  <c r="C98" i="1"/>
  <c r="I215" i="1"/>
  <c r="I91" i="1"/>
  <c r="F186" i="1"/>
  <c r="E78" i="1"/>
  <c r="G134" i="1"/>
  <c r="G223" i="1"/>
  <c r="F71" i="1"/>
  <c r="E147" i="1"/>
  <c r="J213" i="1"/>
  <c r="C119" i="1"/>
  <c r="H71" i="1"/>
  <c r="C136" i="1"/>
  <c r="G127" i="1"/>
  <c r="D223" i="1"/>
  <c r="I71" i="1"/>
  <c r="C223" i="1"/>
  <c r="F78" i="1"/>
  <c r="C213" i="1"/>
  <c r="I98" i="1"/>
  <c r="J167" i="1"/>
  <c r="G215" i="1"/>
  <c r="D58" i="1"/>
  <c r="J193" i="1"/>
  <c r="C39" i="1"/>
  <c r="I41" i="1"/>
  <c r="I58" i="1"/>
  <c r="C174" i="1"/>
  <c r="H19" i="1"/>
  <c r="G119" i="1"/>
  <c r="H193" i="1"/>
  <c r="H215" i="1"/>
  <c r="J258" i="1"/>
  <c r="I213" i="1"/>
  <c r="E154" i="1"/>
  <c r="I206" i="1"/>
  <c r="F206" i="1"/>
  <c r="J136" i="1"/>
  <c r="F98" i="1"/>
  <c r="I32" i="1"/>
  <c r="I117" i="1"/>
  <c r="C258" i="1"/>
  <c r="F253" i="1"/>
  <c r="C195" i="1"/>
  <c r="D80" i="1"/>
  <c r="G41" i="1"/>
  <c r="F267" i="1"/>
  <c r="E110" i="1"/>
  <c r="F174" i="1"/>
  <c r="H91" i="1"/>
  <c r="C71" i="1"/>
  <c r="E213" i="1"/>
  <c r="E98" i="1"/>
  <c r="F39" i="1"/>
  <c r="F19" i="1"/>
  <c r="G110" i="1"/>
  <c r="H51" i="1"/>
  <c r="C21" i="1"/>
  <c r="K119" i="1"/>
  <c r="D19" i="1"/>
  <c r="E134" i="1"/>
  <c r="G174" i="1"/>
  <c r="D117" i="1"/>
  <c r="J174" i="1"/>
  <c r="J147" i="1"/>
  <c r="F213" i="1"/>
  <c r="I193" i="1"/>
  <c r="C186" i="1"/>
  <c r="K91" i="1"/>
  <c r="J119" i="1"/>
  <c r="I19" i="1"/>
  <c r="I195" i="1"/>
  <c r="E258" i="1"/>
  <c r="G193" i="1"/>
  <c r="E41" i="1"/>
  <c r="D51" i="1"/>
  <c r="D32" i="1"/>
  <c r="E80" i="1"/>
  <c r="I253" i="1"/>
  <c r="E215" i="1"/>
  <c r="G39" i="1"/>
  <c r="G117" i="1"/>
  <c r="C267" i="1"/>
  <c r="I176" i="1"/>
  <c r="I51" i="1"/>
  <c r="D78" i="1"/>
  <c r="I60" i="1"/>
  <c r="K213" i="1"/>
  <c r="H58" i="1"/>
  <c r="C91" i="1"/>
  <c r="H253" i="1"/>
  <c r="K134" i="1"/>
  <c r="E195" i="1"/>
  <c r="K215" i="1"/>
  <c r="K195" i="1"/>
  <c r="J215" i="1"/>
  <c r="C193" i="1"/>
  <c r="G167" i="1"/>
  <c r="G176" i="1"/>
  <c r="F110" i="1"/>
  <c r="H213" i="1"/>
  <c r="H119" i="1"/>
  <c r="C110" i="1"/>
  <c r="J51" i="1"/>
  <c r="H147" i="1"/>
  <c r="K136" i="1"/>
  <c r="H32" i="1"/>
  <c r="C78" i="1"/>
  <c r="E39" i="1"/>
  <c r="J71" i="1"/>
  <c r="H186" i="1"/>
  <c r="C117" i="1"/>
  <c r="C176" i="1"/>
  <c r="Z263" i="1" l="1"/>
  <c r="L264" i="1"/>
  <c r="Z255" i="1"/>
  <c r="K27" i="2"/>
  <c r="K26" i="2"/>
  <c r="Z253" i="1"/>
  <c r="I22" i="2"/>
  <c r="I17" i="2"/>
  <c r="I13" i="2"/>
  <c r="I8" i="2"/>
  <c r="I3" i="2"/>
  <c r="A31" i="2"/>
  <c r="A26" i="2"/>
  <c r="A21" i="2"/>
  <c r="A16" i="2"/>
  <c r="A12" i="2"/>
  <c r="A7" i="2"/>
  <c r="A3" i="2"/>
  <c r="L14" i="1"/>
  <c r="L13" i="1"/>
  <c r="L12" i="1"/>
  <c r="L11" i="1"/>
  <c r="L10" i="1"/>
  <c r="L9" i="1"/>
  <c r="L8" i="1"/>
  <c r="L7" i="1"/>
  <c r="L6" i="1"/>
  <c r="L5" i="1"/>
  <c r="L4" i="1"/>
  <c r="L3" i="1"/>
  <c r="Q246" i="1"/>
  <c r="B3" i="2"/>
  <c r="B26" i="2"/>
  <c r="J22" i="2"/>
  <c r="J13" i="2"/>
  <c r="B31" i="2"/>
  <c r="H264" i="1"/>
  <c r="B241" i="1"/>
  <c r="M264" i="1"/>
  <c r="H268" i="1"/>
  <c r="B264" i="1"/>
  <c r="B254" i="1"/>
  <c r="A268" i="1"/>
  <c r="B268" i="1"/>
  <c r="K268" i="1"/>
  <c r="M254" i="1"/>
  <c r="A232" i="1"/>
  <c r="D264" i="1"/>
  <c r="L230" i="1"/>
  <c r="M232" i="1"/>
  <c r="M241" i="1"/>
  <c r="E264" i="1"/>
  <c r="A264" i="1"/>
  <c r="K264" i="1"/>
  <c r="M268" i="1"/>
  <c r="J268" i="1"/>
  <c r="A230" i="1"/>
  <c r="B230" i="1"/>
  <c r="B232" i="1"/>
  <c r="F254" i="1"/>
  <c r="E254" i="1"/>
  <c r="H241" i="1"/>
  <c r="H232" i="1"/>
  <c r="G232" i="1"/>
  <c r="G241" i="1"/>
  <c r="F232" i="1"/>
  <c r="F268" i="1"/>
  <c r="E268" i="1"/>
  <c r="G268" i="1"/>
  <c r="D232" i="1"/>
  <c r="K232" i="1"/>
  <c r="I230" i="1"/>
  <c r="C230" i="1"/>
  <c r="J230" i="1"/>
  <c r="C254" i="1"/>
  <c r="C241" i="1"/>
  <c r="J232" i="1"/>
  <c r="K254" i="1"/>
  <c r="I254" i="1"/>
  <c r="I268" i="1"/>
  <c r="G264" i="1"/>
  <c r="E230" i="1"/>
  <c r="J264" i="1"/>
  <c r="D268" i="1"/>
  <c r="K230" i="1"/>
  <c r="J254" i="1"/>
  <c r="G254" i="1"/>
  <c r="I232" i="1"/>
  <c r="C268" i="1"/>
  <c r="D230" i="1"/>
  <c r="J241" i="1"/>
  <c r="F241" i="1"/>
  <c r="I264" i="1"/>
  <c r="H254" i="1"/>
  <c r="F264" i="1"/>
  <c r="K241" i="1"/>
  <c r="D254" i="1"/>
  <c r="D241" i="1"/>
  <c r="C264" i="1"/>
  <c r="I241" i="1"/>
  <c r="G230" i="1"/>
  <c r="F230" i="1"/>
  <c r="E241" i="1"/>
  <c r="C232" i="1"/>
  <c r="H230" i="1"/>
  <c r="E232" i="1"/>
  <c r="Z254" i="1" l="1"/>
  <c r="Z267" i="1"/>
  <c r="Z256" i="1"/>
  <c r="C3" i="2"/>
  <c r="K23" i="2"/>
  <c r="K22" i="2"/>
  <c r="K13" i="2"/>
  <c r="K14" i="2"/>
  <c r="C32" i="2"/>
  <c r="C31" i="2"/>
  <c r="C26" i="2"/>
  <c r="C27" i="2"/>
  <c r="C4" i="2"/>
  <c r="B21" i="2"/>
  <c r="M27" i="2"/>
  <c r="J8" i="2"/>
  <c r="L27" i="2"/>
  <c r="L22" i="2"/>
  <c r="E32" i="2"/>
  <c r="J3" i="2"/>
  <c r="M14" i="2"/>
  <c r="B16" i="2"/>
  <c r="E27" i="2"/>
  <c r="D31" i="2"/>
  <c r="D26" i="2"/>
  <c r="B12" i="2"/>
  <c r="J17" i="2"/>
  <c r="L26" i="2"/>
  <c r="M26" i="2"/>
  <c r="L23" i="2"/>
  <c r="L13" i="2"/>
  <c r="B7" i="2"/>
  <c r="B269" i="1"/>
  <c r="M269" i="1"/>
  <c r="K269" i="1"/>
  <c r="H269" i="1"/>
  <c r="G269" i="1"/>
  <c r="J269" i="1"/>
  <c r="A269" i="1"/>
  <c r="F269" i="1"/>
  <c r="C269" i="1"/>
  <c r="E269" i="1"/>
  <c r="D269" i="1"/>
  <c r="I269" i="1"/>
  <c r="C8" i="2" l="1"/>
  <c r="C7" i="2"/>
  <c r="Z260" i="1"/>
  <c r="Z264" i="1"/>
  <c r="N27" i="2"/>
  <c r="N26" i="2"/>
  <c r="Z257" i="1"/>
  <c r="Z268" i="1"/>
  <c r="K18" i="2"/>
  <c r="K17" i="2"/>
  <c r="K8" i="2"/>
  <c r="K9" i="2"/>
  <c r="K3" i="2"/>
  <c r="K4" i="2"/>
  <c r="C21" i="2"/>
  <c r="C22" i="2"/>
  <c r="C17" i="2"/>
  <c r="C16" i="2"/>
  <c r="C13" i="2"/>
  <c r="C12" i="2"/>
  <c r="L224" i="1"/>
  <c r="L14" i="2"/>
  <c r="E26" i="2"/>
  <c r="D32" i="2"/>
  <c r="M23" i="2"/>
  <c r="M18" i="2"/>
  <c r="E31" i="2"/>
  <c r="M13" i="2"/>
  <c r="M22" i="2"/>
  <c r="D27" i="2"/>
  <c r="B224" i="1"/>
  <c r="M224" i="1"/>
  <c r="A224" i="1"/>
  <c r="H224" i="1"/>
  <c r="F224" i="1"/>
  <c r="E224" i="1"/>
  <c r="G224" i="1"/>
  <c r="C224" i="1"/>
  <c r="D224" i="1"/>
  <c r="K224" i="1"/>
  <c r="I224" i="1"/>
  <c r="J224" i="1"/>
  <c r="O27" i="2" l="1"/>
  <c r="T252" i="1" s="1"/>
  <c r="Z269" i="1"/>
  <c r="Z258" i="1"/>
  <c r="N23" i="2"/>
  <c r="N22" i="2"/>
  <c r="N13" i="2"/>
  <c r="N14" i="2"/>
  <c r="F32" i="2"/>
  <c r="F31" i="2"/>
  <c r="F27" i="2"/>
  <c r="F26" i="2"/>
  <c r="L225" i="1"/>
  <c r="E17" i="2"/>
  <c r="E13" i="2"/>
  <c r="L3" i="2"/>
  <c r="M17" i="2"/>
  <c r="D21" i="2"/>
  <c r="D16" i="2"/>
  <c r="M4" i="2"/>
  <c r="L8" i="2"/>
  <c r="D12" i="2"/>
  <c r="M3" i="2"/>
  <c r="E16" i="2"/>
  <c r="M9" i="2"/>
  <c r="D22" i="2"/>
  <c r="L18" i="2"/>
  <c r="M8" i="2"/>
  <c r="L4" i="2"/>
  <c r="D17" i="2"/>
  <c r="E21" i="2"/>
  <c r="L9" i="2"/>
  <c r="E22" i="2"/>
  <c r="D13" i="2"/>
  <c r="E12" i="2"/>
  <c r="L17" i="2"/>
  <c r="D7" i="2"/>
  <c r="E8" i="2"/>
  <c r="D8" i="2"/>
  <c r="E7" i="2"/>
  <c r="B225" i="1"/>
  <c r="M225" i="1"/>
  <c r="A225" i="1"/>
  <c r="I225" i="1"/>
  <c r="H225" i="1"/>
  <c r="C225" i="1"/>
  <c r="D225" i="1"/>
  <c r="G225" i="1"/>
  <c r="E225" i="1"/>
  <c r="F225" i="1"/>
  <c r="J225" i="1"/>
  <c r="K225" i="1"/>
  <c r="N18" i="2" l="1"/>
  <c r="S15" i="1"/>
  <c r="U15" i="1" s="1"/>
  <c r="S252" i="1"/>
  <c r="Z259" i="1"/>
  <c r="G27" i="2"/>
  <c r="T117" i="1" s="1"/>
  <c r="S8" i="1" s="1"/>
  <c r="G32" i="2"/>
  <c r="O23" i="2"/>
  <c r="T230" i="1" s="1"/>
  <c r="S14" i="1" s="1"/>
  <c r="O14" i="2"/>
  <c r="T193" i="1" s="1"/>
  <c r="S12" i="1" s="1"/>
  <c r="N17" i="2"/>
  <c r="N8" i="2"/>
  <c r="N9" i="2"/>
  <c r="N4" i="2"/>
  <c r="N3" i="2"/>
  <c r="F21" i="2"/>
  <c r="F22" i="2"/>
  <c r="F16" i="2"/>
  <c r="F17" i="2"/>
  <c r="F12" i="2"/>
  <c r="F13" i="2"/>
  <c r="F8" i="2"/>
  <c r="F7" i="2"/>
  <c r="L226" i="1"/>
  <c r="B226" i="1"/>
  <c r="A226" i="1"/>
  <c r="M226" i="1"/>
  <c r="C226" i="1"/>
  <c r="F226" i="1"/>
  <c r="H226" i="1"/>
  <c r="E226" i="1"/>
  <c r="K226" i="1"/>
  <c r="I226" i="1"/>
  <c r="J226" i="1"/>
  <c r="D226" i="1"/>
  <c r="G226" i="1"/>
  <c r="T134" i="1" l="1"/>
  <c r="S9" i="1" s="1"/>
  <c r="O18" i="2"/>
  <c r="T213" i="1" s="1"/>
  <c r="S13" i="1" s="1"/>
  <c r="N261" i="1"/>
  <c r="R261" i="1" s="1"/>
  <c r="N262" i="1"/>
  <c r="R262" i="1" s="1"/>
  <c r="N263" i="1"/>
  <c r="R263" i="1" s="1"/>
  <c r="N252" i="1"/>
  <c r="N253" i="1"/>
  <c r="N264" i="1"/>
  <c r="N254" i="1"/>
  <c r="N265" i="1"/>
  <c r="N268" i="1"/>
  <c r="N255" i="1"/>
  <c r="N266" i="1"/>
  <c r="N256" i="1"/>
  <c r="N267" i="1"/>
  <c r="N257" i="1"/>
  <c r="N258" i="1"/>
  <c r="N269" i="1"/>
  <c r="N260" i="1"/>
  <c r="N259" i="1"/>
  <c r="AA269" i="1"/>
  <c r="K15" i="1" s="1"/>
  <c r="R15" i="1"/>
  <c r="G8" i="2"/>
  <c r="T39" i="1" s="1"/>
  <c r="S4" i="1" s="1"/>
  <c r="O4" i="2"/>
  <c r="T154" i="1" s="1"/>
  <c r="S10" i="1" s="1"/>
  <c r="G17" i="2"/>
  <c r="T78" i="1" s="1"/>
  <c r="S6" i="1" s="1"/>
  <c r="O9" i="2"/>
  <c r="T174" i="1" s="1"/>
  <c r="S11" i="1" s="1"/>
  <c r="G22" i="2"/>
  <c r="T98" i="1" s="1"/>
  <c r="S7" i="1" s="1"/>
  <c r="G13" i="2"/>
  <c r="T58" i="1" s="1"/>
  <c r="S5" i="1" s="1"/>
  <c r="L227" i="1"/>
  <c r="L216" i="1"/>
  <c r="A216" i="1"/>
  <c r="M227" i="1"/>
  <c r="B227" i="1"/>
  <c r="A227" i="1"/>
  <c r="M216" i="1"/>
  <c r="B216" i="1"/>
  <c r="E216" i="1"/>
  <c r="I227" i="1"/>
  <c r="G227" i="1"/>
  <c r="I216" i="1"/>
  <c r="J227" i="1"/>
  <c r="D216" i="1"/>
  <c r="E227" i="1"/>
  <c r="J216" i="1"/>
  <c r="C227" i="1"/>
  <c r="C216" i="1"/>
  <c r="H216" i="1"/>
  <c r="H227" i="1"/>
  <c r="D227" i="1"/>
  <c r="F227" i="1"/>
  <c r="G216" i="1"/>
  <c r="K216" i="1"/>
  <c r="K227" i="1"/>
  <c r="F216" i="1"/>
  <c r="L217" i="1" l="1"/>
  <c r="S213" i="1"/>
  <c r="Q213" i="1"/>
  <c r="A217" i="1"/>
  <c r="B217" i="1"/>
  <c r="M217" i="1"/>
  <c r="H217" i="1"/>
  <c r="C217" i="1"/>
  <c r="D217" i="1"/>
  <c r="I217" i="1"/>
  <c r="K217" i="1"/>
  <c r="J217" i="1"/>
  <c r="E217" i="1"/>
  <c r="F217" i="1"/>
  <c r="G217" i="1"/>
  <c r="N213" i="1" l="1"/>
  <c r="N215" i="1"/>
  <c r="N223" i="1"/>
  <c r="N216" i="1"/>
  <c r="N224" i="1"/>
  <c r="N226" i="1"/>
  <c r="N217" i="1"/>
  <c r="N225" i="1"/>
  <c r="N227" i="1"/>
  <c r="Z213" i="1"/>
  <c r="L218" i="1"/>
  <c r="Q210" i="1"/>
  <c r="L214" i="1"/>
  <c r="M218" i="1"/>
  <c r="B214" i="1"/>
  <c r="B218" i="1"/>
  <c r="A218" i="1"/>
  <c r="A214" i="1"/>
  <c r="G218" i="1"/>
  <c r="J214" i="1"/>
  <c r="H214" i="1"/>
  <c r="G214" i="1"/>
  <c r="F218" i="1"/>
  <c r="H218" i="1"/>
  <c r="C214" i="1"/>
  <c r="K214" i="1"/>
  <c r="I218" i="1"/>
  <c r="E214" i="1"/>
  <c r="I214" i="1"/>
  <c r="C218" i="1"/>
  <c r="K218" i="1"/>
  <c r="D218" i="1"/>
  <c r="D214" i="1"/>
  <c r="J218" i="1"/>
  <c r="E218" i="1"/>
  <c r="F214" i="1"/>
  <c r="N214" i="1" l="1"/>
  <c r="N218" i="1"/>
  <c r="L219" i="1"/>
  <c r="M219" i="1"/>
  <c r="B219" i="1"/>
  <c r="A219" i="1"/>
  <c r="C219" i="1"/>
  <c r="J219" i="1"/>
  <c r="I219" i="1"/>
  <c r="H219" i="1"/>
  <c r="E219" i="1"/>
  <c r="K219" i="1"/>
  <c r="F219" i="1"/>
  <c r="G219" i="1"/>
  <c r="D219" i="1"/>
  <c r="N219" i="1" l="1"/>
  <c r="L220" i="1"/>
  <c r="Q209" i="1"/>
  <c r="A220" i="1"/>
  <c r="M220" i="1"/>
  <c r="B220" i="1"/>
  <c r="C220" i="1"/>
  <c r="J220" i="1"/>
  <c r="H220" i="1"/>
  <c r="G220" i="1"/>
  <c r="D220" i="1"/>
  <c r="F220" i="1"/>
  <c r="I220" i="1"/>
  <c r="E220" i="1"/>
  <c r="K220" i="1"/>
  <c r="N220" i="1" l="1"/>
  <c r="L221" i="1"/>
  <c r="A221" i="1"/>
  <c r="M221" i="1"/>
  <c r="B221" i="1"/>
  <c r="C221" i="1"/>
  <c r="I221" i="1"/>
  <c r="J221" i="1"/>
  <c r="K221" i="1"/>
  <c r="G221" i="1"/>
  <c r="H221" i="1"/>
  <c r="F221" i="1"/>
  <c r="E221" i="1"/>
  <c r="D221" i="1"/>
  <c r="N221" i="1" l="1"/>
  <c r="L222" i="1"/>
  <c r="Q208" i="1"/>
  <c r="Q207" i="1"/>
  <c r="B222" i="1"/>
  <c r="A222" i="1"/>
  <c r="M222" i="1"/>
  <c r="E222" i="1"/>
  <c r="C222" i="1"/>
  <c r="K222" i="1"/>
  <c r="H222" i="1"/>
  <c r="D222" i="1"/>
  <c r="J222" i="1"/>
  <c r="F222" i="1"/>
  <c r="G222" i="1"/>
  <c r="I222" i="1"/>
  <c r="N222" i="1" l="1"/>
  <c r="A207" i="1"/>
  <c r="B207" i="1"/>
  <c r="K207" i="1"/>
  <c r="M207" i="1"/>
  <c r="I207" i="1"/>
  <c r="H207" i="1"/>
  <c r="F207" i="1"/>
  <c r="C207" i="1"/>
  <c r="G207" i="1"/>
  <c r="E207" i="1"/>
  <c r="D207" i="1"/>
  <c r="J207" i="1"/>
  <c r="Z207" i="1" l="1"/>
  <c r="Q206" i="1"/>
  <c r="A208" i="1"/>
  <c r="M208" i="1"/>
  <c r="B208" i="1"/>
  <c r="G208" i="1"/>
  <c r="C208" i="1"/>
  <c r="H208" i="1"/>
  <c r="I208" i="1"/>
  <c r="D208" i="1"/>
  <c r="J208" i="1"/>
  <c r="K208" i="1"/>
  <c r="F208" i="1"/>
  <c r="E208" i="1"/>
  <c r="Z206" i="1" l="1"/>
  <c r="Z208" i="1"/>
  <c r="Q205" i="1"/>
  <c r="M209" i="1"/>
  <c r="A209" i="1"/>
  <c r="B209" i="1"/>
  <c r="K209" i="1"/>
  <c r="C209" i="1"/>
  <c r="F209" i="1"/>
  <c r="I209" i="1"/>
  <c r="G209" i="1"/>
  <c r="J209" i="1"/>
  <c r="D209" i="1"/>
  <c r="E209" i="1"/>
  <c r="H209" i="1"/>
  <c r="Z209" i="1" l="1"/>
  <c r="K210" i="1"/>
  <c r="M210" i="1"/>
  <c r="A210" i="1"/>
  <c r="B210" i="1"/>
  <c r="F210" i="1"/>
  <c r="G210" i="1"/>
  <c r="I210" i="1"/>
  <c r="H210" i="1"/>
  <c r="J210" i="1"/>
  <c r="C210" i="1"/>
  <c r="E210" i="1"/>
  <c r="D210" i="1"/>
  <c r="Z210" i="1" l="1"/>
  <c r="Q201" i="1"/>
  <c r="Q131" i="1" l="1"/>
  <c r="G24" i="1"/>
  <c r="B22" i="1"/>
  <c r="B35" i="1"/>
  <c r="M34" i="1"/>
  <c r="A20" i="1"/>
  <c r="M22" i="1"/>
  <c r="M36" i="1"/>
  <c r="A22" i="1"/>
  <c r="M33" i="1"/>
  <c r="A33" i="1"/>
  <c r="K23" i="1"/>
  <c r="B23" i="1"/>
  <c r="M24" i="1"/>
  <c r="A34" i="1"/>
  <c r="A36" i="1"/>
  <c r="B20" i="1"/>
  <c r="A23" i="1"/>
  <c r="B36" i="1"/>
  <c r="B24" i="1"/>
  <c r="H22" i="1"/>
  <c r="A35" i="1"/>
  <c r="B33" i="1"/>
  <c r="B34" i="1"/>
  <c r="L20" i="1"/>
  <c r="A24" i="1"/>
  <c r="M23" i="1"/>
  <c r="K22" i="1"/>
  <c r="M35" i="1"/>
  <c r="J22" i="1"/>
  <c r="G22" i="1"/>
  <c r="F33" i="1"/>
  <c r="H34" i="1"/>
  <c r="D35" i="1"/>
  <c r="K33" i="1"/>
  <c r="D13" i="1"/>
  <c r="E35" i="1"/>
  <c r="C36" i="1"/>
  <c r="C34" i="1"/>
  <c r="C3" i="1"/>
  <c r="D20" i="1"/>
  <c r="J35" i="1"/>
  <c r="J24" i="1"/>
  <c r="I23" i="1"/>
  <c r="E23" i="1"/>
  <c r="G34" i="1"/>
  <c r="D24" i="1"/>
  <c r="G35" i="1"/>
  <c r="H20" i="1"/>
  <c r="I20" i="1"/>
  <c r="B13" i="1"/>
  <c r="C33" i="1"/>
  <c r="C22" i="1"/>
  <c r="F36" i="1"/>
  <c r="K35" i="1"/>
  <c r="G36" i="1"/>
  <c r="E22" i="1"/>
  <c r="E24" i="1"/>
  <c r="E36" i="1"/>
  <c r="H24" i="1"/>
  <c r="K36" i="1"/>
  <c r="C23" i="1"/>
  <c r="J20" i="1"/>
  <c r="C20" i="1"/>
  <c r="G20" i="1"/>
  <c r="E34" i="1"/>
  <c r="C13" i="1"/>
  <c r="B3" i="1"/>
  <c r="H36" i="1"/>
  <c r="D36" i="1"/>
  <c r="F23" i="1"/>
  <c r="C35" i="1"/>
  <c r="E33" i="1"/>
  <c r="J33" i="1"/>
  <c r="F34" i="1"/>
  <c r="K20" i="1"/>
  <c r="D33" i="1"/>
  <c r="K24" i="1"/>
  <c r="I24" i="1"/>
  <c r="I35" i="1"/>
  <c r="H35" i="1"/>
  <c r="F22" i="1"/>
  <c r="D23" i="1"/>
  <c r="F24" i="1"/>
  <c r="E20" i="1"/>
  <c r="I36" i="1"/>
  <c r="F35" i="1"/>
  <c r="I34" i="1"/>
  <c r="K34" i="1"/>
  <c r="D3" i="1"/>
  <c r="A3" i="1"/>
  <c r="I22" i="1"/>
  <c r="H23" i="1"/>
  <c r="J34" i="1"/>
  <c r="J23" i="1"/>
  <c r="I33" i="1"/>
  <c r="H33" i="1"/>
  <c r="G33" i="1"/>
  <c r="F20" i="1"/>
  <c r="J36" i="1"/>
  <c r="D34" i="1"/>
  <c r="C24" i="1"/>
  <c r="D22" i="1"/>
  <c r="A13" i="1"/>
  <c r="G23" i="1"/>
  <c r="U4" i="1" l="1"/>
  <c r="U5" i="1"/>
  <c r="U6" i="1"/>
  <c r="U7" i="1"/>
  <c r="U8" i="1"/>
  <c r="U9" i="1"/>
  <c r="U10" i="1"/>
  <c r="U11" i="1"/>
  <c r="U12" i="1"/>
  <c r="U13" i="1"/>
  <c r="U14" i="1"/>
  <c r="B27" i="1"/>
  <c r="H25" i="1"/>
  <c r="K25" i="1"/>
  <c r="A27" i="1"/>
  <c r="M25" i="1"/>
  <c r="B25" i="1"/>
  <c r="A25" i="1"/>
  <c r="M27" i="1"/>
  <c r="J25" i="1"/>
  <c r="F27" i="1"/>
  <c r="D10" i="1"/>
  <c r="D25" i="1"/>
  <c r="B12" i="1"/>
  <c r="B4" i="1"/>
  <c r="J27" i="1"/>
  <c r="D7" i="1"/>
  <c r="I25" i="1"/>
  <c r="B11" i="1"/>
  <c r="B6" i="1"/>
  <c r="A14" i="1"/>
  <c r="D5" i="1"/>
  <c r="A5" i="1"/>
  <c r="B10" i="1"/>
  <c r="D4" i="1"/>
  <c r="D8" i="1"/>
  <c r="D9" i="1"/>
  <c r="H27" i="1"/>
  <c r="F25" i="1"/>
  <c r="B8" i="1"/>
  <c r="E25" i="1"/>
  <c r="C27" i="1"/>
  <c r="B7" i="1"/>
  <c r="K27" i="1"/>
  <c r="G27" i="1"/>
  <c r="B5" i="1"/>
  <c r="D11" i="1"/>
  <c r="A12" i="1"/>
  <c r="A4" i="1"/>
  <c r="A9" i="1"/>
  <c r="D14" i="1"/>
  <c r="A7" i="1"/>
  <c r="A8" i="1"/>
  <c r="A10" i="1"/>
  <c r="B9" i="1"/>
  <c r="B14" i="1"/>
  <c r="A11" i="1"/>
  <c r="E27" i="1"/>
  <c r="D6" i="1"/>
  <c r="A6" i="1"/>
  <c r="G25" i="1"/>
  <c r="C25" i="1"/>
  <c r="D12" i="1"/>
  <c r="I27" i="1"/>
  <c r="D27" i="1"/>
  <c r="Z27" i="1" l="1"/>
  <c r="Q248" i="1"/>
  <c r="Q247" i="1"/>
  <c r="Q242" i="1"/>
  <c r="Q241" i="1"/>
  <c r="Q240" i="1"/>
  <c r="Q239" i="1"/>
  <c r="Q238" i="1"/>
  <c r="Q236" i="1"/>
  <c r="Q235" i="1"/>
  <c r="Q234" i="1"/>
  <c r="Q233" i="1"/>
  <c r="Q232" i="1"/>
  <c r="Q231" i="1"/>
  <c r="S230" i="1"/>
  <c r="N243" i="1" s="1"/>
  <c r="R243" i="1" s="1"/>
  <c r="Q230" i="1"/>
  <c r="B229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00" i="1"/>
  <c r="Q199" i="1"/>
  <c r="Q198" i="1"/>
  <c r="Q197" i="1"/>
  <c r="Q196" i="1"/>
  <c r="Q195" i="1"/>
  <c r="Q194" i="1"/>
  <c r="S193" i="1"/>
  <c r="Q193" i="1"/>
  <c r="Q190" i="1"/>
  <c r="Q189" i="1"/>
  <c r="Q188" i="1"/>
  <c r="Q187" i="1"/>
  <c r="Q186" i="1"/>
  <c r="Q185" i="1"/>
  <c r="Q184" i="1"/>
  <c r="Q181" i="1"/>
  <c r="Q180" i="1"/>
  <c r="Q179" i="1"/>
  <c r="Q178" i="1"/>
  <c r="Q177" i="1"/>
  <c r="Q176" i="1"/>
  <c r="Q175" i="1"/>
  <c r="S174" i="1"/>
  <c r="Q174" i="1"/>
  <c r="Q171" i="1"/>
  <c r="Q170" i="1"/>
  <c r="Q169" i="1"/>
  <c r="Q168" i="1"/>
  <c r="Q167" i="1"/>
  <c r="Q166" i="1"/>
  <c r="Q165" i="1"/>
  <c r="Q161" i="1"/>
  <c r="Q160" i="1"/>
  <c r="Q159" i="1"/>
  <c r="Q158" i="1"/>
  <c r="Q157" i="1"/>
  <c r="Q156" i="1"/>
  <c r="Q155" i="1"/>
  <c r="S154" i="1"/>
  <c r="Q154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S134" i="1"/>
  <c r="Q134" i="1"/>
  <c r="Q130" i="1"/>
  <c r="Q129" i="1"/>
  <c r="Q128" i="1"/>
  <c r="L128" i="1"/>
  <c r="Q127" i="1"/>
  <c r="Q126" i="1"/>
  <c r="Q125" i="1"/>
  <c r="Q124" i="1"/>
  <c r="Q123" i="1"/>
  <c r="Q122" i="1"/>
  <c r="Q121" i="1"/>
  <c r="Q120" i="1"/>
  <c r="L120" i="1"/>
  <c r="Q119" i="1"/>
  <c r="Q118" i="1"/>
  <c r="S117" i="1"/>
  <c r="Q117" i="1"/>
  <c r="Q114" i="1"/>
  <c r="Q113" i="1"/>
  <c r="Q112" i="1"/>
  <c r="Q111" i="1"/>
  <c r="Q110" i="1"/>
  <c r="Q109" i="1"/>
  <c r="Q108" i="1"/>
  <c r="Q107" i="1"/>
  <c r="Q104" i="1"/>
  <c r="Q103" i="1"/>
  <c r="Q102" i="1"/>
  <c r="Q101" i="1"/>
  <c r="Q100" i="1"/>
  <c r="Q99" i="1"/>
  <c r="S98" i="1"/>
  <c r="Q98" i="1"/>
  <c r="Q95" i="1"/>
  <c r="Q94" i="1"/>
  <c r="Q93" i="1"/>
  <c r="Q92" i="1"/>
  <c r="Q91" i="1"/>
  <c r="Q90" i="1"/>
  <c r="Q86" i="1"/>
  <c r="Q85" i="1"/>
  <c r="Q84" i="1"/>
  <c r="Q83" i="1"/>
  <c r="Q82" i="1"/>
  <c r="Q81" i="1"/>
  <c r="Q80" i="1"/>
  <c r="Q79" i="1"/>
  <c r="S78" i="1"/>
  <c r="Q78" i="1"/>
  <c r="Q75" i="1"/>
  <c r="Q74" i="1"/>
  <c r="Q73" i="1"/>
  <c r="Q72" i="1"/>
  <c r="Q71" i="1"/>
  <c r="Q70" i="1"/>
  <c r="Q69" i="1"/>
  <c r="Q65" i="1"/>
  <c r="Q64" i="1"/>
  <c r="Q63" i="1"/>
  <c r="Q62" i="1"/>
  <c r="Q61" i="1"/>
  <c r="Q60" i="1"/>
  <c r="Q59" i="1"/>
  <c r="S58" i="1"/>
  <c r="Q58" i="1"/>
  <c r="Q55" i="1"/>
  <c r="Q54" i="1"/>
  <c r="Q53" i="1"/>
  <c r="Q52" i="1"/>
  <c r="Q51" i="1"/>
  <c r="Q50" i="1"/>
  <c r="Q49" i="1"/>
  <c r="Q46" i="1"/>
  <c r="Q45" i="1"/>
  <c r="Q44" i="1"/>
  <c r="Q43" i="1"/>
  <c r="Q42" i="1"/>
  <c r="Q41" i="1"/>
  <c r="Q40" i="1"/>
  <c r="S39" i="1"/>
  <c r="Q39" i="1"/>
  <c r="G168" i="1"/>
  <c r="M28" i="1"/>
  <c r="A128" i="1"/>
  <c r="K196" i="1"/>
  <c r="A120" i="1"/>
  <c r="K137" i="1"/>
  <c r="B111" i="1"/>
  <c r="B92" i="1"/>
  <c r="M157" i="1"/>
  <c r="A194" i="1"/>
  <c r="A231" i="1"/>
  <c r="A155" i="1"/>
  <c r="A175" i="1"/>
  <c r="A135" i="1"/>
  <c r="B194" i="1"/>
  <c r="B168" i="1"/>
  <c r="M148" i="1"/>
  <c r="H157" i="1"/>
  <c r="M196" i="1"/>
  <c r="M137" i="1"/>
  <c r="M92" i="1"/>
  <c r="A187" i="1"/>
  <c r="H137" i="1"/>
  <c r="G157" i="1"/>
  <c r="M81" i="1"/>
  <c r="A101" i="1"/>
  <c r="A99" i="1"/>
  <c r="B42" i="1"/>
  <c r="J196" i="1"/>
  <c r="B157" i="1"/>
  <c r="B52" i="1"/>
  <c r="A26" i="1"/>
  <c r="J42" i="1"/>
  <c r="M187" i="1"/>
  <c r="B72" i="1"/>
  <c r="A81" i="1"/>
  <c r="K72" i="1"/>
  <c r="K28" i="1"/>
  <c r="M120" i="1"/>
  <c r="A59" i="1"/>
  <c r="A137" i="1"/>
  <c r="J157" i="1"/>
  <c r="H196" i="1"/>
  <c r="M168" i="1"/>
  <c r="G42" i="1"/>
  <c r="M42" i="1"/>
  <c r="A61" i="1"/>
  <c r="A72" i="1"/>
  <c r="B61" i="1"/>
  <c r="H42" i="1"/>
  <c r="A28" i="1"/>
  <c r="A40" i="1"/>
  <c r="K42" i="1"/>
  <c r="M128" i="1"/>
  <c r="B101" i="1"/>
  <c r="A168" i="1"/>
  <c r="B177" i="1"/>
  <c r="A52" i="1"/>
  <c r="A111" i="1"/>
  <c r="B196" i="1"/>
  <c r="B28" i="1"/>
  <c r="M72" i="1"/>
  <c r="J61" i="1"/>
  <c r="B187" i="1"/>
  <c r="M52" i="1"/>
  <c r="B26" i="1"/>
  <c r="B148" i="1"/>
  <c r="A92" i="1"/>
  <c r="A148" i="1"/>
  <c r="K157" i="1"/>
  <c r="B120" i="1"/>
  <c r="A196" i="1"/>
  <c r="M61" i="1"/>
  <c r="M26" i="1"/>
  <c r="B40" i="1"/>
  <c r="B99" i="1"/>
  <c r="J137" i="1"/>
  <c r="B79" i="1"/>
  <c r="M101" i="1"/>
  <c r="A177" i="1"/>
  <c r="B137" i="1"/>
  <c r="B128" i="1"/>
  <c r="A42" i="1"/>
  <c r="G137" i="1"/>
  <c r="A157" i="1"/>
  <c r="B81" i="1"/>
  <c r="M177" i="1"/>
  <c r="A79" i="1"/>
  <c r="L40" i="1"/>
  <c r="M111" i="1"/>
  <c r="B175" i="1"/>
  <c r="F111" i="1"/>
  <c r="F128" i="1"/>
  <c r="J168" i="1"/>
  <c r="K81" i="1"/>
  <c r="I196" i="1"/>
  <c r="F120" i="1"/>
  <c r="K92" i="1"/>
  <c r="F101" i="1"/>
  <c r="H26" i="1"/>
  <c r="C61" i="1"/>
  <c r="E61" i="1"/>
  <c r="I42" i="1"/>
  <c r="G196" i="1"/>
  <c r="C137" i="1"/>
  <c r="E120" i="1"/>
  <c r="I128" i="1"/>
  <c r="E177" i="1"/>
  <c r="C92" i="1"/>
  <c r="E148" i="1"/>
  <c r="D101" i="1"/>
  <c r="F26" i="1"/>
  <c r="C135" i="1"/>
  <c r="I40" i="1"/>
  <c r="F187" i="1"/>
  <c r="J187" i="1"/>
  <c r="K148" i="1"/>
  <c r="I120" i="1"/>
  <c r="D128" i="1"/>
  <c r="G111" i="1"/>
  <c r="F137" i="1"/>
  <c r="I72" i="1"/>
  <c r="D72" i="1"/>
  <c r="F92" i="1"/>
  <c r="D157" i="1"/>
  <c r="H148" i="1"/>
  <c r="F81" i="1"/>
  <c r="D52" i="1"/>
  <c r="C177" i="1"/>
  <c r="G81" i="1"/>
  <c r="D111" i="1"/>
  <c r="I187" i="1"/>
  <c r="I61" i="1"/>
  <c r="C168" i="1"/>
  <c r="J52" i="1"/>
  <c r="D148" i="1"/>
  <c r="G99" i="1"/>
  <c r="C99" i="1"/>
  <c r="K231" i="1"/>
  <c r="C7" i="1"/>
  <c r="C26" i="1"/>
  <c r="E26" i="1"/>
  <c r="K26" i="1"/>
  <c r="E101" i="1"/>
  <c r="K187" i="1"/>
  <c r="K52" i="1"/>
  <c r="I81" i="1"/>
  <c r="I157" i="1"/>
  <c r="C196" i="1"/>
  <c r="H111" i="1"/>
  <c r="J101" i="1"/>
  <c r="J120" i="1"/>
  <c r="H28" i="1"/>
  <c r="J148" i="1"/>
  <c r="H101" i="1"/>
  <c r="G26" i="1"/>
  <c r="F52" i="1"/>
  <c r="D28" i="1"/>
  <c r="I148" i="1"/>
  <c r="C42" i="1"/>
  <c r="D40" i="1"/>
  <c r="K135" i="1"/>
  <c r="G155" i="1"/>
  <c r="G231" i="1"/>
  <c r="H118" i="1"/>
  <c r="H135" i="1"/>
  <c r="I79" i="1"/>
  <c r="D42" i="1"/>
  <c r="E137" i="1"/>
  <c r="G148" i="1"/>
  <c r="I92" i="1"/>
  <c r="E28" i="1"/>
  <c r="D137" i="1"/>
  <c r="C72" i="1"/>
  <c r="D61" i="1"/>
  <c r="H61" i="1"/>
  <c r="H52" i="1"/>
  <c r="K101" i="1"/>
  <c r="J177" i="1"/>
  <c r="I177" i="1"/>
  <c r="E187" i="1"/>
  <c r="H128" i="1"/>
  <c r="K61" i="1"/>
  <c r="C120" i="1"/>
  <c r="I28" i="1"/>
  <c r="C11" i="1"/>
  <c r="H79" i="1"/>
  <c r="C231" i="1"/>
  <c r="C4" i="1"/>
  <c r="K99" i="1"/>
  <c r="K194" i="1"/>
  <c r="C12" i="1"/>
  <c r="G79" i="1"/>
  <c r="K111" i="1"/>
  <c r="G92" i="1"/>
  <c r="C28" i="1"/>
  <c r="E128" i="1"/>
  <c r="J28" i="1"/>
  <c r="J92" i="1"/>
  <c r="F148" i="1"/>
  <c r="G101" i="1"/>
  <c r="F168" i="1"/>
  <c r="D177" i="1"/>
  <c r="E157" i="1"/>
  <c r="H92" i="1"/>
  <c r="D92" i="1"/>
  <c r="G128" i="1"/>
  <c r="I168" i="1"/>
  <c r="J175" i="1"/>
  <c r="G59" i="1"/>
  <c r="C10" i="1"/>
  <c r="I135" i="1"/>
  <c r="I194" i="1"/>
  <c r="G40" i="1"/>
  <c r="G175" i="1"/>
  <c r="J194" i="1"/>
  <c r="I231" i="1"/>
  <c r="G118" i="1"/>
  <c r="J99" i="1"/>
  <c r="G194" i="1"/>
  <c r="H40" i="1"/>
  <c r="J111" i="1"/>
  <c r="I137" i="1"/>
  <c r="H81" i="1"/>
  <c r="J128" i="1"/>
  <c r="C111" i="1"/>
  <c r="D26" i="1"/>
  <c r="D168" i="1"/>
  <c r="F28" i="1"/>
  <c r="F196" i="1"/>
  <c r="K177" i="1"/>
  <c r="I52" i="1"/>
  <c r="D81" i="1"/>
  <c r="H177" i="1"/>
  <c r="G72" i="1"/>
  <c r="E52" i="1"/>
  <c r="D120" i="1"/>
  <c r="K168" i="1"/>
  <c r="D196" i="1"/>
  <c r="I175" i="1"/>
  <c r="J79" i="1"/>
  <c r="C175" i="1"/>
  <c r="K175" i="1"/>
  <c r="C128" i="1"/>
  <c r="E72" i="1"/>
  <c r="J26" i="1"/>
  <c r="K120" i="1"/>
  <c r="J81" i="1"/>
  <c r="G187" i="1"/>
  <c r="E81" i="1"/>
  <c r="F42" i="1"/>
  <c r="F61" i="1"/>
  <c r="E168" i="1"/>
  <c r="I26" i="1"/>
  <c r="C187" i="1"/>
  <c r="E111" i="1"/>
  <c r="F72" i="1"/>
  <c r="G177" i="1"/>
  <c r="C81" i="1"/>
  <c r="F157" i="1"/>
  <c r="C14" i="1"/>
  <c r="I59" i="1"/>
  <c r="C6" i="1"/>
  <c r="C40" i="1"/>
  <c r="C5" i="1"/>
  <c r="I111" i="1"/>
  <c r="E196" i="1"/>
  <c r="G28" i="1"/>
  <c r="H187" i="1"/>
  <c r="K128" i="1"/>
  <c r="E92" i="1"/>
  <c r="H120" i="1"/>
  <c r="G120" i="1"/>
  <c r="C101" i="1"/>
  <c r="I101" i="1"/>
  <c r="J72" i="1"/>
  <c r="H72" i="1"/>
  <c r="C157" i="1"/>
  <c r="G61" i="1"/>
  <c r="G52" i="1"/>
  <c r="C52" i="1"/>
  <c r="D187" i="1"/>
  <c r="E42" i="1"/>
  <c r="F177" i="1"/>
  <c r="H168" i="1"/>
  <c r="C148" i="1"/>
  <c r="C194" i="1"/>
  <c r="C8" i="1"/>
  <c r="I99" i="1"/>
  <c r="C9" i="1"/>
  <c r="I155" i="1"/>
  <c r="G135" i="1"/>
  <c r="N244" i="1" l="1"/>
  <c r="R244" i="1" s="1"/>
  <c r="N245" i="1"/>
  <c r="R245" i="1" s="1"/>
  <c r="N87" i="1"/>
  <c r="R87" i="1" s="1"/>
  <c r="N88" i="1"/>
  <c r="R88" i="1" s="1"/>
  <c r="N89" i="1"/>
  <c r="R89" i="1" s="1"/>
  <c r="N204" i="1"/>
  <c r="R204" i="1" s="1"/>
  <c r="N203" i="1"/>
  <c r="R203" i="1" s="1"/>
  <c r="N202" i="1"/>
  <c r="R202" i="1" s="1"/>
  <c r="N105" i="1"/>
  <c r="R105" i="1" s="1"/>
  <c r="N106" i="1"/>
  <c r="R106" i="1" s="1"/>
  <c r="N66" i="1"/>
  <c r="R66" i="1" s="1"/>
  <c r="N67" i="1"/>
  <c r="R67" i="1" s="1"/>
  <c r="N68" i="1"/>
  <c r="R68" i="1" s="1"/>
  <c r="N47" i="1"/>
  <c r="R47" i="1" s="1"/>
  <c r="N48" i="1"/>
  <c r="R48" i="1" s="1"/>
  <c r="N145" i="1"/>
  <c r="R145" i="1" s="1"/>
  <c r="N144" i="1"/>
  <c r="R144" i="1" s="1"/>
  <c r="N143" i="1"/>
  <c r="R143" i="1" s="1"/>
  <c r="N162" i="1"/>
  <c r="R162" i="1" s="1"/>
  <c r="N163" i="1"/>
  <c r="R163" i="1" s="1"/>
  <c r="N164" i="1"/>
  <c r="R164" i="1" s="1"/>
  <c r="Z28" i="1"/>
  <c r="N230" i="1"/>
  <c r="N232" i="1"/>
  <c r="N241" i="1"/>
  <c r="N231" i="1"/>
  <c r="N193" i="1"/>
  <c r="N194" i="1"/>
  <c r="N195" i="1"/>
  <c r="N206" i="1"/>
  <c r="N196" i="1"/>
  <c r="N207" i="1"/>
  <c r="N208" i="1"/>
  <c r="N209" i="1"/>
  <c r="N210" i="1"/>
  <c r="N174" i="1"/>
  <c r="N175" i="1"/>
  <c r="N176" i="1"/>
  <c r="N186" i="1"/>
  <c r="N177" i="1"/>
  <c r="N187" i="1"/>
  <c r="N154" i="1"/>
  <c r="N155" i="1"/>
  <c r="N156" i="1"/>
  <c r="N167" i="1"/>
  <c r="N157" i="1"/>
  <c r="N168" i="1"/>
  <c r="N134" i="1"/>
  <c r="N135" i="1"/>
  <c r="N136" i="1"/>
  <c r="N147" i="1"/>
  <c r="N137" i="1"/>
  <c r="N148" i="1"/>
  <c r="N117" i="1"/>
  <c r="N119" i="1"/>
  <c r="N127" i="1"/>
  <c r="N120" i="1"/>
  <c r="N128" i="1"/>
  <c r="N118" i="1"/>
  <c r="N98" i="1"/>
  <c r="N99" i="1"/>
  <c r="N110" i="1"/>
  <c r="N101" i="1"/>
  <c r="N111" i="1"/>
  <c r="N100" i="1"/>
  <c r="N78" i="1"/>
  <c r="N80" i="1"/>
  <c r="N91" i="1"/>
  <c r="N81" i="1"/>
  <c r="N92" i="1"/>
  <c r="N79" i="1"/>
  <c r="N58" i="1"/>
  <c r="N59" i="1"/>
  <c r="N60" i="1"/>
  <c r="N71" i="1"/>
  <c r="N61" i="1"/>
  <c r="N72" i="1"/>
  <c r="N39" i="1"/>
  <c r="N40" i="1"/>
  <c r="N41" i="1"/>
  <c r="N51" i="1"/>
  <c r="N42" i="1"/>
  <c r="N52" i="1"/>
  <c r="L129" i="1"/>
  <c r="L130" i="1" s="1"/>
  <c r="R8" i="1"/>
  <c r="R14" i="1"/>
  <c r="R6" i="1"/>
  <c r="R9" i="1"/>
  <c r="R11" i="1"/>
  <c r="R12" i="1"/>
  <c r="R4" i="1"/>
  <c r="R7" i="1"/>
  <c r="R10" i="1"/>
  <c r="R13" i="1"/>
  <c r="R5" i="1"/>
  <c r="Z230" i="1"/>
  <c r="Z241" i="1"/>
  <c r="Z231" i="1"/>
  <c r="Z223" i="1"/>
  <c r="Z216" i="1"/>
  <c r="Z214" i="1"/>
  <c r="Z215" i="1"/>
  <c r="Z194" i="1"/>
  <c r="Z195" i="1"/>
  <c r="Z196" i="1"/>
  <c r="Z193" i="1"/>
  <c r="Z174" i="1"/>
  <c r="Z186" i="1"/>
  <c r="Z175" i="1"/>
  <c r="Z176" i="1"/>
  <c r="Z177" i="1"/>
  <c r="Z167" i="1"/>
  <c r="Z156" i="1"/>
  <c r="Z157" i="1"/>
  <c r="Z154" i="1"/>
  <c r="Z147" i="1"/>
  <c r="Z135" i="1"/>
  <c r="Z136" i="1"/>
  <c r="Z137" i="1"/>
  <c r="Z134" i="1"/>
  <c r="Z117" i="1"/>
  <c r="Z127" i="1"/>
  <c r="Z119" i="1"/>
  <c r="L121" i="1"/>
  <c r="Z110" i="1"/>
  <c r="Z111" i="1"/>
  <c r="Z98" i="1"/>
  <c r="Z99" i="1"/>
  <c r="Z100" i="1"/>
  <c r="Z101" i="1"/>
  <c r="Z91" i="1"/>
  <c r="Z92" i="1"/>
  <c r="Z80" i="1"/>
  <c r="Z81" i="1"/>
  <c r="Z78" i="1"/>
  <c r="Z71" i="1"/>
  <c r="Z72" i="1"/>
  <c r="Z60" i="1"/>
  <c r="Z61" i="1"/>
  <c r="Z58" i="1"/>
  <c r="Z39" i="1"/>
  <c r="Z51" i="1"/>
  <c r="Z41" i="1"/>
  <c r="B149" i="1"/>
  <c r="B188" i="1"/>
  <c r="A169" i="1"/>
  <c r="B103" i="1"/>
  <c r="J138" i="1"/>
  <c r="B30" i="1"/>
  <c r="A53" i="1"/>
  <c r="M112" i="1"/>
  <c r="B82" i="1"/>
  <c r="M93" i="1"/>
  <c r="L135" i="1"/>
  <c r="B118" i="1"/>
  <c r="M197" i="1"/>
  <c r="B59" i="1"/>
  <c r="L155" i="1"/>
  <c r="A130" i="1"/>
  <c r="A112" i="1"/>
  <c r="B73" i="1"/>
  <c r="M158" i="1"/>
  <c r="M102" i="1"/>
  <c r="B169" i="1"/>
  <c r="J43" i="1"/>
  <c r="B138" i="1"/>
  <c r="A62" i="1"/>
  <c r="H138" i="1"/>
  <c r="B158" i="1"/>
  <c r="M82" i="1"/>
  <c r="A129" i="1"/>
  <c r="M30" i="1"/>
  <c r="B197" i="1"/>
  <c r="A43" i="1"/>
  <c r="A149" i="1"/>
  <c r="M188" i="1"/>
  <c r="M43" i="1"/>
  <c r="B178" i="1"/>
  <c r="A29" i="1"/>
  <c r="F178" i="1"/>
  <c r="A102" i="1"/>
  <c r="M29" i="1"/>
  <c r="B129" i="1"/>
  <c r="A30" i="1"/>
  <c r="L194" i="1"/>
  <c r="L99" i="1"/>
  <c r="M169" i="1"/>
  <c r="L231" i="1"/>
  <c r="B130" i="1"/>
  <c r="M121" i="1"/>
  <c r="A103" i="1"/>
  <c r="L79" i="1"/>
  <c r="A82" i="1"/>
  <c r="B93" i="1"/>
  <c r="K138" i="1"/>
  <c r="A121" i="1"/>
  <c r="B112" i="1"/>
  <c r="A73" i="1"/>
  <c r="M159" i="1"/>
  <c r="A188" i="1"/>
  <c r="J158" i="1"/>
  <c r="L118" i="1"/>
  <c r="L59" i="1"/>
  <c r="B135" i="1"/>
  <c r="A158" i="1"/>
  <c r="L175" i="1"/>
  <c r="M178" i="1"/>
  <c r="B231" i="1"/>
  <c r="M62" i="1"/>
  <c r="A93" i="1"/>
  <c r="K158" i="1"/>
  <c r="A178" i="1"/>
  <c r="M138" i="1"/>
  <c r="B62" i="1"/>
  <c r="M149" i="1"/>
  <c r="M130" i="1"/>
  <c r="A138" i="1"/>
  <c r="B121" i="1"/>
  <c r="A197" i="1"/>
  <c r="B155" i="1"/>
  <c r="B29" i="1"/>
  <c r="B198" i="1"/>
  <c r="M129" i="1"/>
  <c r="A198" i="1"/>
  <c r="H158" i="1"/>
  <c r="M198" i="1"/>
  <c r="B53" i="1"/>
  <c r="B159" i="1"/>
  <c r="B43" i="1"/>
  <c r="M73" i="1"/>
  <c r="A159" i="1"/>
  <c r="G158" i="1"/>
  <c r="A118" i="1"/>
  <c r="B102" i="1"/>
  <c r="J62" i="1"/>
  <c r="M53" i="1"/>
  <c r="M103" i="1"/>
  <c r="J103" i="1"/>
  <c r="J129" i="1"/>
  <c r="F62" i="1"/>
  <c r="C188" i="1"/>
  <c r="C129" i="1"/>
  <c r="C93" i="1"/>
  <c r="F159" i="1"/>
  <c r="I198" i="1"/>
  <c r="I103" i="1"/>
  <c r="C82" i="1"/>
  <c r="G121" i="1"/>
  <c r="G149" i="1"/>
  <c r="E121" i="1"/>
  <c r="J159" i="1"/>
  <c r="E169" i="1"/>
  <c r="G103" i="1"/>
  <c r="H62" i="1"/>
  <c r="D188" i="1"/>
  <c r="E188" i="1"/>
  <c r="D130" i="1"/>
  <c r="D93" i="1"/>
  <c r="G138" i="1"/>
  <c r="K82" i="1"/>
  <c r="G129" i="1"/>
  <c r="F121" i="1"/>
  <c r="J231" i="1"/>
  <c r="E155" i="1"/>
  <c r="F231" i="1"/>
  <c r="E59" i="1"/>
  <c r="H59" i="1"/>
  <c r="E118" i="1"/>
  <c r="F175" i="1"/>
  <c r="I118" i="1"/>
  <c r="K155" i="1"/>
  <c r="K73" i="1"/>
  <c r="K79" i="1"/>
  <c r="F99" i="1"/>
  <c r="E198" i="1"/>
  <c r="F79" i="1"/>
  <c r="J29" i="1"/>
  <c r="D197" i="1"/>
  <c r="K43" i="1"/>
  <c r="F82" i="1"/>
  <c r="D30" i="1"/>
  <c r="F30" i="1"/>
  <c r="J93" i="1"/>
  <c r="E158" i="1"/>
  <c r="H188" i="1"/>
  <c r="H121" i="1"/>
  <c r="J130" i="1"/>
  <c r="H93" i="1"/>
  <c r="I73" i="1"/>
  <c r="F29" i="1"/>
  <c r="E149" i="1"/>
  <c r="H169" i="1"/>
  <c r="I93" i="1"/>
  <c r="H82" i="1"/>
  <c r="H197" i="1"/>
  <c r="H30" i="1"/>
  <c r="C178" i="1"/>
  <c r="I149" i="1"/>
  <c r="K102" i="1"/>
  <c r="I62" i="1"/>
  <c r="E231" i="1"/>
  <c r="K59" i="1"/>
  <c r="E79" i="1"/>
  <c r="K53" i="1"/>
  <c r="E175" i="1"/>
  <c r="H99" i="1"/>
  <c r="H175" i="1"/>
  <c r="F40" i="1"/>
  <c r="K103" i="1"/>
  <c r="K118" i="1"/>
  <c r="C43" i="1"/>
  <c r="G102" i="1"/>
  <c r="G43" i="1"/>
  <c r="J112" i="1"/>
  <c r="G197" i="1"/>
  <c r="D43" i="1"/>
  <c r="I129" i="1"/>
  <c r="D73" i="1"/>
  <c r="J197" i="1"/>
  <c r="G62" i="1"/>
  <c r="D138" i="1"/>
  <c r="K112" i="1"/>
  <c r="D112" i="1"/>
  <c r="H112" i="1"/>
  <c r="C159" i="1"/>
  <c r="D82" i="1"/>
  <c r="D159" i="1"/>
  <c r="I197" i="1"/>
  <c r="F130" i="1"/>
  <c r="J188" i="1"/>
  <c r="I158" i="1"/>
  <c r="F43" i="1"/>
  <c r="E138" i="1"/>
  <c r="J121" i="1"/>
  <c r="H194" i="1"/>
  <c r="C118" i="1"/>
  <c r="D99" i="1"/>
  <c r="J40" i="1"/>
  <c r="F59" i="1"/>
  <c r="D62" i="1"/>
  <c r="C149" i="1"/>
  <c r="E43" i="1"/>
  <c r="C112" i="1"/>
  <c r="K159" i="1"/>
  <c r="C197" i="1"/>
  <c r="D149" i="1"/>
  <c r="K62" i="1"/>
  <c r="D198" i="1"/>
  <c r="E29" i="1"/>
  <c r="G198" i="1"/>
  <c r="F112" i="1"/>
  <c r="J178" i="1"/>
  <c r="H130" i="1"/>
  <c r="K188" i="1"/>
  <c r="I43" i="1"/>
  <c r="G178" i="1"/>
  <c r="H159" i="1"/>
  <c r="F188" i="1"/>
  <c r="D121" i="1"/>
  <c r="D178" i="1"/>
  <c r="C62" i="1"/>
  <c r="I169" i="1"/>
  <c r="H198" i="1"/>
  <c r="F129" i="1"/>
  <c r="J135" i="1"/>
  <c r="D155" i="1"/>
  <c r="H155" i="1"/>
  <c r="C79" i="1"/>
  <c r="D59" i="1"/>
  <c r="D175" i="1"/>
  <c r="K40" i="1"/>
  <c r="F194" i="1"/>
  <c r="D29" i="1"/>
  <c r="F158" i="1"/>
  <c r="H129" i="1"/>
  <c r="H43" i="1"/>
  <c r="K129" i="1"/>
  <c r="I53" i="1"/>
  <c r="G188" i="1"/>
  <c r="G130" i="1"/>
  <c r="J198" i="1"/>
  <c r="D158" i="1"/>
  <c r="E53" i="1"/>
  <c r="H149" i="1"/>
  <c r="K93" i="1"/>
  <c r="E102" i="1"/>
  <c r="K130" i="1"/>
  <c r="I102" i="1"/>
  <c r="D103" i="1"/>
  <c r="F197" i="1"/>
  <c r="I82" i="1"/>
  <c r="F53" i="1"/>
  <c r="C73" i="1"/>
  <c r="E40" i="1"/>
  <c r="F135" i="1"/>
  <c r="E194" i="1"/>
  <c r="F118" i="1"/>
  <c r="D135" i="1"/>
  <c r="J59" i="1"/>
  <c r="J118" i="1"/>
  <c r="E112" i="1"/>
  <c r="F103" i="1"/>
  <c r="E73" i="1"/>
  <c r="K198" i="1"/>
  <c r="J149" i="1"/>
  <c r="K30" i="1"/>
  <c r="F198" i="1"/>
  <c r="G93" i="1"/>
  <c r="J102" i="1"/>
  <c r="H178" i="1"/>
  <c r="C29" i="1"/>
  <c r="C158" i="1"/>
  <c r="D169" i="1"/>
  <c r="F138" i="1"/>
  <c r="I121" i="1"/>
  <c r="E62" i="1"/>
  <c r="J53" i="1"/>
  <c r="G29" i="1"/>
  <c r="C53" i="1"/>
  <c r="G73" i="1"/>
  <c r="H103" i="1"/>
  <c r="C138" i="1"/>
  <c r="K29" i="1"/>
  <c r="C169" i="1"/>
  <c r="G30" i="1"/>
  <c r="C130" i="1"/>
  <c r="J155" i="1"/>
  <c r="I30" i="1"/>
  <c r="J169" i="1"/>
  <c r="G159" i="1"/>
  <c r="D53" i="1"/>
  <c r="K149" i="1"/>
  <c r="I188" i="1"/>
  <c r="H29" i="1"/>
  <c r="C102" i="1"/>
  <c r="F169" i="1"/>
  <c r="H53" i="1"/>
  <c r="E30" i="1"/>
  <c r="G169" i="1"/>
  <c r="E159" i="1"/>
  <c r="E197" i="1"/>
  <c r="E130" i="1"/>
  <c r="E178" i="1"/>
  <c r="E103" i="1"/>
  <c r="D129" i="1"/>
  <c r="E129" i="1"/>
  <c r="D102" i="1"/>
  <c r="G82" i="1"/>
  <c r="I112" i="1"/>
  <c r="K178" i="1"/>
  <c r="C155" i="1"/>
  <c r="F102" i="1"/>
  <c r="I138" i="1"/>
  <c r="F93" i="1"/>
  <c r="C30" i="1"/>
  <c r="I29" i="1"/>
  <c r="G53" i="1"/>
  <c r="I130" i="1"/>
  <c r="E93" i="1"/>
  <c r="J30" i="1"/>
  <c r="C121" i="1"/>
  <c r="K121" i="1"/>
  <c r="G112" i="1"/>
  <c r="K169" i="1"/>
  <c r="K197" i="1"/>
  <c r="I178" i="1"/>
  <c r="J73" i="1"/>
  <c r="F73" i="1"/>
  <c r="H102" i="1"/>
  <c r="F149" i="1"/>
  <c r="E82" i="1"/>
  <c r="J82" i="1"/>
  <c r="C103" i="1"/>
  <c r="I159" i="1"/>
  <c r="C198" i="1"/>
  <c r="H73" i="1"/>
  <c r="E99" i="1"/>
  <c r="E135" i="1"/>
  <c r="F155" i="1"/>
  <c r="D194" i="1"/>
  <c r="D118" i="1"/>
  <c r="C59" i="1"/>
  <c r="D231" i="1"/>
  <c r="D79" i="1"/>
  <c r="H231" i="1"/>
  <c r="Z29" i="1" l="1"/>
  <c r="N53" i="1"/>
  <c r="N198" i="1"/>
  <c r="N197" i="1"/>
  <c r="N188" i="1"/>
  <c r="N178" i="1"/>
  <c r="N129" i="1"/>
  <c r="N121" i="1"/>
  <c r="N169" i="1"/>
  <c r="N158" i="1"/>
  <c r="N130" i="1"/>
  <c r="N159" i="1"/>
  <c r="N138" i="1"/>
  <c r="N149" i="1"/>
  <c r="N103" i="1"/>
  <c r="N102" i="1"/>
  <c r="N112" i="1"/>
  <c r="N93" i="1"/>
  <c r="N82" i="1"/>
  <c r="N73" i="1"/>
  <c r="N62" i="1"/>
  <c r="N43" i="1"/>
  <c r="Z52" i="1"/>
  <c r="Z224" i="1"/>
  <c r="Z197" i="1"/>
  <c r="Z187" i="1"/>
  <c r="Z168" i="1"/>
  <c r="Z158" i="1"/>
  <c r="Z155" i="1"/>
  <c r="Z148" i="1"/>
  <c r="Z118" i="1"/>
  <c r="Z129" i="1"/>
  <c r="Z128" i="1"/>
  <c r="Z120" i="1"/>
  <c r="L131" i="1"/>
  <c r="L122" i="1"/>
  <c r="Z102" i="1"/>
  <c r="Z79" i="1"/>
  <c r="Z62" i="1"/>
  <c r="Z59" i="1"/>
  <c r="Z42" i="1"/>
  <c r="Z53" i="1"/>
  <c r="Z40" i="1"/>
  <c r="Q36" i="1"/>
  <c r="Q35" i="1"/>
  <c r="Q34" i="1"/>
  <c r="Q33" i="1"/>
  <c r="Q32" i="1"/>
  <c r="Q31" i="1"/>
  <c r="Q30" i="1"/>
  <c r="Q26" i="1"/>
  <c r="Q25" i="1"/>
  <c r="Q24" i="1"/>
  <c r="Q23" i="1"/>
  <c r="Q22" i="1"/>
  <c r="Q21" i="1"/>
  <c r="Q20" i="1"/>
  <c r="Q19" i="1"/>
  <c r="E4" i="2"/>
  <c r="D3" i="2"/>
  <c r="D4" i="2"/>
  <c r="E3" i="2"/>
  <c r="A83" i="1"/>
  <c r="A55" i="1"/>
  <c r="M55" i="1"/>
  <c r="B160" i="1"/>
  <c r="A170" i="1"/>
  <c r="B55" i="1"/>
  <c r="B113" i="1"/>
  <c r="M83" i="1"/>
  <c r="M54" i="1"/>
  <c r="M31" i="1"/>
  <c r="B150" i="1"/>
  <c r="M131" i="1"/>
  <c r="M113" i="1"/>
  <c r="B63" i="1"/>
  <c r="A64" i="1"/>
  <c r="A199" i="1"/>
  <c r="A54" i="1"/>
  <c r="M179" i="1"/>
  <c r="A113" i="1"/>
  <c r="B54" i="1"/>
  <c r="A131" i="1"/>
  <c r="M139" i="1"/>
  <c r="A150" i="1"/>
  <c r="M94" i="1"/>
  <c r="B64" i="1"/>
  <c r="B74" i="1"/>
  <c r="B131" i="1"/>
  <c r="B44" i="1"/>
  <c r="A179" i="1"/>
  <c r="B139" i="1"/>
  <c r="M63" i="1"/>
  <c r="A104" i="1"/>
  <c r="M122" i="1"/>
  <c r="A74" i="1"/>
  <c r="B122" i="1"/>
  <c r="B83" i="1"/>
  <c r="B199" i="1"/>
  <c r="B170" i="1"/>
  <c r="A139" i="1"/>
  <c r="A189" i="1"/>
  <c r="M199" i="1"/>
  <c r="A31" i="1"/>
  <c r="M74" i="1"/>
  <c r="B179" i="1"/>
  <c r="M189" i="1"/>
  <c r="B31" i="1"/>
  <c r="B94" i="1"/>
  <c r="M170" i="1"/>
  <c r="B189" i="1"/>
  <c r="M104" i="1"/>
  <c r="B104" i="1"/>
  <c r="A160" i="1"/>
  <c r="M160" i="1"/>
  <c r="A44" i="1"/>
  <c r="M44" i="1"/>
  <c r="A122" i="1"/>
  <c r="M150" i="1"/>
  <c r="M64" i="1"/>
  <c r="A63" i="1"/>
  <c r="A94" i="1"/>
  <c r="D160" i="1"/>
  <c r="J179" i="1"/>
  <c r="F31" i="1"/>
  <c r="J131" i="1"/>
  <c r="H64" i="1"/>
  <c r="D113" i="1"/>
  <c r="J94" i="1"/>
  <c r="E122" i="1"/>
  <c r="H189" i="1"/>
  <c r="C55" i="1"/>
  <c r="I160" i="1"/>
  <c r="K63" i="1"/>
  <c r="E54" i="1"/>
  <c r="D150" i="1"/>
  <c r="K139" i="1"/>
  <c r="D199" i="1"/>
  <c r="D122" i="1"/>
  <c r="J139" i="1"/>
  <c r="C189" i="1"/>
  <c r="D74" i="1"/>
  <c r="J170" i="1"/>
  <c r="C170" i="1"/>
  <c r="E179" i="1"/>
  <c r="K54" i="1"/>
  <c r="K64" i="1"/>
  <c r="C179" i="1"/>
  <c r="G31" i="1"/>
  <c r="H170" i="1"/>
  <c r="G139" i="1"/>
  <c r="G199" i="1"/>
  <c r="J104" i="1"/>
  <c r="K83" i="1"/>
  <c r="F199" i="1"/>
  <c r="I179" i="1"/>
  <c r="J83" i="1"/>
  <c r="C150" i="1"/>
  <c r="H74" i="1"/>
  <c r="G122" i="1"/>
  <c r="K94" i="1"/>
  <c r="I74" i="1"/>
  <c r="F150" i="1"/>
  <c r="E63" i="1"/>
  <c r="J113" i="1"/>
  <c r="K189" i="1"/>
  <c r="G113" i="1"/>
  <c r="F83" i="1"/>
  <c r="D104" i="1"/>
  <c r="I189" i="1"/>
  <c r="H179" i="1"/>
  <c r="F170" i="1"/>
  <c r="D83" i="1"/>
  <c r="E74" i="1"/>
  <c r="F44" i="1"/>
  <c r="F139" i="1"/>
  <c r="I122" i="1"/>
  <c r="I104" i="1"/>
  <c r="D94" i="1"/>
  <c r="J44" i="1"/>
  <c r="G189" i="1"/>
  <c r="E170" i="1"/>
  <c r="H104" i="1"/>
  <c r="D139" i="1"/>
  <c r="G94" i="1"/>
  <c r="J150" i="1"/>
  <c r="G160" i="1"/>
  <c r="I94" i="1"/>
  <c r="J160" i="1"/>
  <c r="K104" i="1"/>
  <c r="H44" i="1"/>
  <c r="F54" i="1"/>
  <c r="F113" i="1"/>
  <c r="J122" i="1"/>
  <c r="K150" i="1"/>
  <c r="D179" i="1"/>
  <c r="G44" i="1"/>
  <c r="D54" i="1"/>
  <c r="K160" i="1"/>
  <c r="F104" i="1"/>
  <c r="K170" i="1"/>
  <c r="H139" i="1"/>
  <c r="F122" i="1"/>
  <c r="G64" i="1"/>
  <c r="D189" i="1"/>
  <c r="K55" i="1"/>
  <c r="I139" i="1"/>
  <c r="C113" i="1"/>
  <c r="F131" i="1"/>
  <c r="F189" i="1"/>
  <c r="H113" i="1"/>
  <c r="D170" i="1"/>
  <c r="J64" i="1"/>
  <c r="I63" i="1"/>
  <c r="F94" i="1"/>
  <c r="H63" i="1"/>
  <c r="H131" i="1"/>
  <c r="K74" i="1"/>
  <c r="E64" i="1"/>
  <c r="E104" i="1"/>
  <c r="E55" i="1"/>
  <c r="C94" i="1"/>
  <c r="C131" i="1"/>
  <c r="C122" i="1"/>
  <c r="I83" i="1"/>
  <c r="C64" i="1"/>
  <c r="K113" i="1"/>
  <c r="K122" i="1"/>
  <c r="D131" i="1"/>
  <c r="G54" i="1"/>
  <c r="E131" i="1"/>
  <c r="C54" i="1"/>
  <c r="D31" i="1"/>
  <c r="I113" i="1"/>
  <c r="C74" i="1"/>
  <c r="F160" i="1"/>
  <c r="E160" i="1"/>
  <c r="K31" i="1"/>
  <c r="D63" i="1"/>
  <c r="E199" i="1"/>
  <c r="H160" i="1"/>
  <c r="F179" i="1"/>
  <c r="C104" i="1"/>
  <c r="G63" i="1"/>
  <c r="H54" i="1"/>
  <c r="E44" i="1"/>
  <c r="K199" i="1"/>
  <c r="J199" i="1"/>
  <c r="G170" i="1"/>
  <c r="G150" i="1"/>
  <c r="E139" i="1"/>
  <c r="F63" i="1"/>
  <c r="F55" i="1"/>
  <c r="J189" i="1"/>
  <c r="G179" i="1"/>
  <c r="E83" i="1"/>
  <c r="J63" i="1"/>
  <c r="C44" i="1"/>
  <c r="K131" i="1"/>
  <c r="I131" i="1"/>
  <c r="K179" i="1"/>
  <c r="F74" i="1"/>
  <c r="J31" i="1"/>
  <c r="H55" i="1"/>
  <c r="K44" i="1"/>
  <c r="E150" i="1"/>
  <c r="H31" i="1"/>
  <c r="I150" i="1"/>
  <c r="H199" i="1"/>
  <c r="G55" i="1"/>
  <c r="E113" i="1"/>
  <c r="C63" i="1"/>
  <c r="G74" i="1"/>
  <c r="H94" i="1"/>
  <c r="I199" i="1"/>
  <c r="C160" i="1"/>
  <c r="H122" i="1"/>
  <c r="I54" i="1"/>
  <c r="C139" i="1"/>
  <c r="I31" i="1"/>
  <c r="I55" i="1"/>
  <c r="F64" i="1"/>
  <c r="J55" i="1"/>
  <c r="D55" i="1"/>
  <c r="D64" i="1"/>
  <c r="G83" i="1"/>
  <c r="G104" i="1"/>
  <c r="I64" i="1"/>
  <c r="C199" i="1"/>
  <c r="G131" i="1"/>
  <c r="H83" i="1"/>
  <c r="D44" i="1"/>
  <c r="C31" i="1"/>
  <c r="J54" i="1"/>
  <c r="E94" i="1"/>
  <c r="J74" i="1"/>
  <c r="E31" i="1"/>
  <c r="E189" i="1"/>
  <c r="I44" i="1"/>
  <c r="H150" i="1"/>
  <c r="C83" i="1"/>
  <c r="I170" i="1"/>
  <c r="N63" i="1" l="1"/>
  <c r="N54" i="1"/>
  <c r="N160" i="1"/>
  <c r="N199" i="1"/>
  <c r="N179" i="1"/>
  <c r="N189" i="1"/>
  <c r="N122" i="1"/>
  <c r="N131" i="1"/>
  <c r="N170" i="1"/>
  <c r="N150" i="1"/>
  <c r="N139" i="1"/>
  <c r="N104" i="1"/>
  <c r="N113" i="1"/>
  <c r="N83" i="1"/>
  <c r="N94" i="1"/>
  <c r="N74" i="1"/>
  <c r="N64" i="1"/>
  <c r="N44" i="1"/>
  <c r="N55" i="1"/>
  <c r="Z131" i="1"/>
  <c r="Z217" i="1"/>
  <c r="Z225" i="1"/>
  <c r="Z198" i="1"/>
  <c r="Z178" i="1"/>
  <c r="Z188" i="1"/>
  <c r="Z159" i="1"/>
  <c r="Z169" i="1"/>
  <c r="Z138" i="1"/>
  <c r="Z149" i="1"/>
  <c r="Z121" i="1"/>
  <c r="Z130" i="1"/>
  <c r="L123" i="1"/>
  <c r="L124" i="1" s="1"/>
  <c r="Z112" i="1"/>
  <c r="Z103" i="1"/>
  <c r="Z82" i="1"/>
  <c r="Z93" i="1"/>
  <c r="Z63" i="1"/>
  <c r="Z73" i="1"/>
  <c r="Z43" i="1"/>
  <c r="Z54" i="1"/>
  <c r="F3" i="2"/>
  <c r="B95" i="1"/>
  <c r="A84" i="1"/>
  <c r="M151" i="1"/>
  <c r="B151" i="1"/>
  <c r="D114" i="1"/>
  <c r="B180" i="1"/>
  <c r="B75" i="1"/>
  <c r="M107" i="1"/>
  <c r="B45" i="1"/>
  <c r="A123" i="1"/>
  <c r="E114" i="1"/>
  <c r="A161" i="1"/>
  <c r="B190" i="1"/>
  <c r="A95" i="1"/>
  <c r="M180" i="1"/>
  <c r="B107" i="1"/>
  <c r="C114" i="1"/>
  <c r="E171" i="1"/>
  <c r="A114" i="1"/>
  <c r="M45" i="1"/>
  <c r="M200" i="1"/>
  <c r="A107" i="1"/>
  <c r="M95" i="1"/>
  <c r="B114" i="1"/>
  <c r="M140" i="1"/>
  <c r="M190" i="1"/>
  <c r="D171" i="1"/>
  <c r="B171" i="1"/>
  <c r="A171" i="1"/>
  <c r="M171" i="1"/>
  <c r="M114" i="1"/>
  <c r="M84" i="1"/>
  <c r="A140" i="1"/>
  <c r="B200" i="1"/>
  <c r="A65" i="1"/>
  <c r="A200" i="1"/>
  <c r="B123" i="1"/>
  <c r="M123" i="1"/>
  <c r="B65" i="1"/>
  <c r="M161" i="1"/>
  <c r="A75" i="1"/>
  <c r="A151" i="1"/>
  <c r="M75" i="1"/>
  <c r="A45" i="1"/>
  <c r="M65" i="1"/>
  <c r="B140" i="1"/>
  <c r="B84" i="1"/>
  <c r="A190" i="1"/>
  <c r="A180" i="1"/>
  <c r="G171" i="1"/>
  <c r="B161" i="1"/>
  <c r="G200" i="1"/>
  <c r="D180" i="1"/>
  <c r="E151" i="1"/>
  <c r="K84" i="1"/>
  <c r="J114" i="1"/>
  <c r="F65" i="1"/>
  <c r="G84" i="1"/>
  <c r="D84" i="1"/>
  <c r="C200" i="1"/>
  <c r="K151" i="1"/>
  <c r="I171" i="1"/>
  <c r="H123" i="1"/>
  <c r="C95" i="1"/>
  <c r="J161" i="1"/>
  <c r="K114" i="1"/>
  <c r="K45" i="1"/>
  <c r="K123" i="1"/>
  <c r="C107" i="1"/>
  <c r="I200" i="1"/>
  <c r="J123" i="1"/>
  <c r="G151" i="1"/>
  <c r="K140" i="1"/>
  <c r="G114" i="1"/>
  <c r="E75" i="1"/>
  <c r="H95" i="1"/>
  <c r="H140" i="1"/>
  <c r="F161" i="1"/>
  <c r="J200" i="1"/>
  <c r="E123" i="1"/>
  <c r="G140" i="1"/>
  <c r="C190" i="1"/>
  <c r="J65" i="1"/>
  <c r="G75" i="1"/>
  <c r="C45" i="1"/>
  <c r="J151" i="1"/>
  <c r="F75" i="1"/>
  <c r="I114" i="1"/>
  <c r="F114" i="1"/>
  <c r="K200" i="1"/>
  <c r="I140" i="1"/>
  <c r="D190" i="1"/>
  <c r="D45" i="1"/>
  <c r="H151" i="1"/>
  <c r="H65" i="1"/>
  <c r="K161" i="1"/>
  <c r="F45" i="1"/>
  <c r="J95" i="1"/>
  <c r="H84" i="1"/>
  <c r="G180" i="1"/>
  <c r="G45" i="1"/>
  <c r="F140" i="1"/>
  <c r="K95" i="1"/>
  <c r="F84" i="1"/>
  <c r="C75" i="1"/>
  <c r="H180" i="1"/>
  <c r="K65" i="1"/>
  <c r="G190" i="1"/>
  <c r="J190" i="1"/>
  <c r="K190" i="1"/>
  <c r="I75" i="1"/>
  <c r="H45" i="1"/>
  <c r="K75" i="1"/>
  <c r="H107" i="1"/>
  <c r="D107" i="1"/>
  <c r="E107" i="1"/>
  <c r="I151" i="1"/>
  <c r="J107" i="1"/>
  <c r="E190" i="1"/>
  <c r="F171" i="1"/>
  <c r="J140" i="1"/>
  <c r="C84" i="1"/>
  <c r="I65" i="1"/>
  <c r="E161" i="1"/>
  <c r="J75" i="1"/>
  <c r="J180" i="1"/>
  <c r="I107" i="1"/>
  <c r="H75" i="1"/>
  <c r="H114" i="1"/>
  <c r="G95" i="1"/>
  <c r="E95" i="1"/>
  <c r="H161" i="1"/>
  <c r="I161" i="1"/>
  <c r="C151" i="1"/>
  <c r="D65" i="1"/>
  <c r="H190" i="1"/>
  <c r="C180" i="1"/>
  <c r="I95" i="1"/>
  <c r="F95" i="1"/>
  <c r="C140" i="1"/>
  <c r="F190" i="1"/>
  <c r="G161" i="1"/>
  <c r="D161" i="1"/>
  <c r="I180" i="1"/>
  <c r="F151" i="1"/>
  <c r="I84" i="1"/>
  <c r="D123" i="1"/>
  <c r="H171" i="1"/>
  <c r="J171" i="1"/>
  <c r="C161" i="1"/>
  <c r="K171" i="1"/>
  <c r="I123" i="1"/>
  <c r="C123" i="1"/>
  <c r="D200" i="1"/>
  <c r="F200" i="1"/>
  <c r="E45" i="1"/>
  <c r="F180" i="1"/>
  <c r="H200" i="1"/>
  <c r="J45" i="1"/>
  <c r="I190" i="1"/>
  <c r="I45" i="1"/>
  <c r="E140" i="1"/>
  <c r="G123" i="1"/>
  <c r="C65" i="1"/>
  <c r="E180" i="1"/>
  <c r="C171" i="1"/>
  <c r="K180" i="1"/>
  <c r="G65" i="1"/>
  <c r="D151" i="1"/>
  <c r="D75" i="1"/>
  <c r="E84" i="1"/>
  <c r="E65" i="1"/>
  <c r="G107" i="1"/>
  <c r="E200" i="1"/>
  <c r="J84" i="1"/>
  <c r="D95" i="1"/>
  <c r="K107" i="1"/>
  <c r="D140" i="1"/>
  <c r="F107" i="1"/>
  <c r="F123" i="1"/>
  <c r="N75" i="1" l="1"/>
  <c r="N95" i="1"/>
  <c r="N114" i="1"/>
  <c r="N190" i="1"/>
  <c r="N171" i="1"/>
  <c r="N151" i="1"/>
  <c r="N180" i="1"/>
  <c r="N200" i="1"/>
  <c r="N161" i="1"/>
  <c r="N140" i="1"/>
  <c r="N123" i="1"/>
  <c r="N84" i="1"/>
  <c r="N107" i="1"/>
  <c r="N65" i="1"/>
  <c r="N45" i="1"/>
  <c r="Z218" i="1"/>
  <c r="Z226" i="1"/>
  <c r="Z199" i="1"/>
  <c r="Z189" i="1"/>
  <c r="Z179" i="1"/>
  <c r="Z170" i="1"/>
  <c r="Z160" i="1"/>
  <c r="Z139" i="1"/>
  <c r="Z150" i="1"/>
  <c r="Z122" i="1"/>
  <c r="Z113" i="1"/>
  <c r="Z104" i="1"/>
  <c r="Z94" i="1"/>
  <c r="Z83" i="1"/>
  <c r="Z74" i="1"/>
  <c r="Z64" i="1"/>
  <c r="Z44" i="1"/>
  <c r="Z55" i="1"/>
  <c r="B46" i="1"/>
  <c r="B201" i="1"/>
  <c r="A141" i="1"/>
  <c r="A165" i="1"/>
  <c r="A124" i="1"/>
  <c r="M165" i="1"/>
  <c r="B124" i="1"/>
  <c r="A108" i="1"/>
  <c r="A201" i="1"/>
  <c r="A181" i="1"/>
  <c r="B108" i="1"/>
  <c r="M108" i="1"/>
  <c r="A85" i="1"/>
  <c r="B69" i="1"/>
  <c r="M124" i="1"/>
  <c r="B165" i="1"/>
  <c r="B85" i="1"/>
  <c r="B181" i="1"/>
  <c r="M181" i="1"/>
  <c r="A46" i="1"/>
  <c r="M201" i="1"/>
  <c r="M85" i="1"/>
  <c r="M69" i="1"/>
  <c r="B141" i="1"/>
  <c r="A69" i="1"/>
  <c r="M46" i="1"/>
  <c r="M141" i="1"/>
  <c r="D181" i="1"/>
  <c r="F108" i="1"/>
  <c r="I124" i="1"/>
  <c r="C141" i="1"/>
  <c r="H124" i="1"/>
  <c r="I46" i="1"/>
  <c r="I141" i="1"/>
  <c r="G165" i="1"/>
  <c r="D108" i="1"/>
  <c r="I85" i="1"/>
  <c r="I201" i="1"/>
  <c r="K108" i="1"/>
  <c r="F69" i="1"/>
  <c r="I181" i="1"/>
  <c r="J108" i="1"/>
  <c r="J124" i="1"/>
  <c r="G108" i="1"/>
  <c r="D85" i="1"/>
  <c r="G201" i="1"/>
  <c r="D165" i="1"/>
  <c r="G124" i="1"/>
  <c r="E69" i="1"/>
  <c r="J181" i="1"/>
  <c r="E165" i="1"/>
  <c r="H165" i="1"/>
  <c r="D124" i="1"/>
  <c r="C124" i="1"/>
  <c r="F165" i="1"/>
  <c r="E181" i="1"/>
  <c r="G181" i="1"/>
  <c r="H108" i="1"/>
  <c r="K69" i="1"/>
  <c r="I108" i="1"/>
  <c r="J69" i="1"/>
  <c r="D201" i="1"/>
  <c r="D141" i="1"/>
  <c r="F141" i="1"/>
  <c r="I165" i="1"/>
  <c r="J85" i="1"/>
  <c r="K85" i="1"/>
  <c r="C165" i="1"/>
  <c r="C181" i="1"/>
  <c r="E201" i="1"/>
  <c r="G85" i="1"/>
  <c r="F181" i="1"/>
  <c r="J46" i="1"/>
  <c r="H69" i="1"/>
  <c r="H141" i="1"/>
  <c r="K165" i="1"/>
  <c r="G69" i="1"/>
  <c r="E108" i="1"/>
  <c r="E46" i="1"/>
  <c r="H85" i="1"/>
  <c r="H201" i="1"/>
  <c r="K141" i="1"/>
  <c r="K201" i="1"/>
  <c r="H46" i="1"/>
  <c r="C69" i="1"/>
  <c r="D46" i="1"/>
  <c r="J165" i="1"/>
  <c r="F201" i="1"/>
  <c r="I69" i="1"/>
  <c r="F85" i="1"/>
  <c r="J141" i="1"/>
  <c r="G46" i="1"/>
  <c r="K46" i="1"/>
  <c r="F124" i="1"/>
  <c r="C108" i="1"/>
  <c r="C46" i="1"/>
  <c r="E124" i="1"/>
  <c r="J201" i="1"/>
  <c r="D69" i="1"/>
  <c r="K124" i="1"/>
  <c r="G141" i="1"/>
  <c r="F46" i="1"/>
  <c r="H181" i="1"/>
  <c r="E85" i="1"/>
  <c r="C85" i="1"/>
  <c r="C201" i="1"/>
  <c r="E141" i="1"/>
  <c r="K181" i="1"/>
  <c r="N181" i="1" l="1"/>
  <c r="N201" i="1"/>
  <c r="N69" i="1"/>
  <c r="N124" i="1"/>
  <c r="N165" i="1"/>
  <c r="N141" i="1"/>
  <c r="N108" i="1"/>
  <c r="N85" i="1"/>
  <c r="N46" i="1"/>
  <c r="Z201" i="1"/>
  <c r="Z219" i="1"/>
  <c r="Z227" i="1"/>
  <c r="Z200" i="1"/>
  <c r="Z190" i="1"/>
  <c r="Z180" i="1"/>
  <c r="Z171" i="1"/>
  <c r="Z161" i="1"/>
  <c r="Z140" i="1"/>
  <c r="Z151" i="1"/>
  <c r="Z123" i="1"/>
  <c r="L125" i="1"/>
  <c r="Z114" i="1"/>
  <c r="Z107" i="1"/>
  <c r="Z84" i="1"/>
  <c r="Z95" i="1"/>
  <c r="Z65" i="1"/>
  <c r="Z75" i="1"/>
  <c r="Z45" i="1"/>
  <c r="M70" i="1"/>
  <c r="B49" i="1"/>
  <c r="B86" i="1"/>
  <c r="M125" i="1"/>
  <c r="M86" i="1"/>
  <c r="M182" i="1"/>
  <c r="A125" i="1"/>
  <c r="B205" i="1"/>
  <c r="A49" i="1"/>
  <c r="M142" i="1"/>
  <c r="B125" i="1"/>
  <c r="A109" i="1"/>
  <c r="A166" i="1"/>
  <c r="A184" i="1"/>
  <c r="J182" i="1"/>
  <c r="B182" i="1"/>
  <c r="B70" i="1"/>
  <c r="M184" i="1"/>
  <c r="M109" i="1"/>
  <c r="B142" i="1"/>
  <c r="A86" i="1"/>
  <c r="M166" i="1"/>
  <c r="M49" i="1"/>
  <c r="B166" i="1"/>
  <c r="A142" i="1"/>
  <c r="A182" i="1"/>
  <c r="B184" i="1"/>
  <c r="A205" i="1"/>
  <c r="B109" i="1"/>
  <c r="A70" i="1"/>
  <c r="M205" i="1"/>
  <c r="F184" i="1"/>
  <c r="F182" i="1"/>
  <c r="G166" i="1"/>
  <c r="I86" i="1"/>
  <c r="D125" i="1"/>
  <c r="E184" i="1"/>
  <c r="J125" i="1"/>
  <c r="K184" i="1"/>
  <c r="H182" i="1"/>
  <c r="D49" i="1"/>
  <c r="E166" i="1"/>
  <c r="J49" i="1"/>
  <c r="D184" i="1"/>
  <c r="C70" i="1"/>
  <c r="K205" i="1"/>
  <c r="K125" i="1"/>
  <c r="F49" i="1"/>
  <c r="G86" i="1"/>
  <c r="E182" i="1"/>
  <c r="I184" i="1"/>
  <c r="I70" i="1"/>
  <c r="H86" i="1"/>
  <c r="C109" i="1"/>
  <c r="D166" i="1"/>
  <c r="J142" i="1"/>
  <c r="H49" i="1"/>
  <c r="F142" i="1"/>
  <c r="D205" i="1"/>
  <c r="G109" i="1"/>
  <c r="E70" i="1"/>
  <c r="I166" i="1"/>
  <c r="F86" i="1"/>
  <c r="F109" i="1"/>
  <c r="I125" i="1"/>
  <c r="C125" i="1"/>
  <c r="D142" i="1"/>
  <c r="H70" i="1"/>
  <c r="C184" i="1"/>
  <c r="E142" i="1"/>
  <c r="G142" i="1"/>
  <c r="C182" i="1"/>
  <c r="G125" i="1"/>
  <c r="J205" i="1"/>
  <c r="E205" i="1"/>
  <c r="I142" i="1"/>
  <c r="D70" i="1"/>
  <c r="J184" i="1"/>
  <c r="C205" i="1"/>
  <c r="J109" i="1"/>
  <c r="G205" i="1"/>
  <c r="C142" i="1"/>
  <c r="E125" i="1"/>
  <c r="J166" i="1"/>
  <c r="K86" i="1"/>
  <c r="J70" i="1"/>
  <c r="H125" i="1"/>
  <c r="H109" i="1"/>
  <c r="G49" i="1"/>
  <c r="F205" i="1"/>
  <c r="D86" i="1"/>
  <c r="F125" i="1"/>
  <c r="K182" i="1"/>
  <c r="K142" i="1"/>
  <c r="C86" i="1"/>
  <c r="D182" i="1"/>
  <c r="E49" i="1"/>
  <c r="I49" i="1"/>
  <c r="J86" i="1"/>
  <c r="K49" i="1"/>
  <c r="H184" i="1"/>
  <c r="K70" i="1"/>
  <c r="C166" i="1"/>
  <c r="G182" i="1"/>
  <c r="K166" i="1"/>
  <c r="C49" i="1"/>
  <c r="I109" i="1"/>
  <c r="I205" i="1"/>
  <c r="F166" i="1"/>
  <c r="H205" i="1"/>
  <c r="I182" i="1"/>
  <c r="E109" i="1"/>
  <c r="K109" i="1"/>
  <c r="G70" i="1"/>
  <c r="F70" i="1"/>
  <c r="G184" i="1"/>
  <c r="H166" i="1"/>
  <c r="D109" i="1"/>
  <c r="E86" i="1"/>
  <c r="H142" i="1"/>
  <c r="N182" i="1" l="1"/>
  <c r="R182" i="1" s="1"/>
  <c r="Z182" i="1"/>
  <c r="N184" i="1"/>
  <c r="N205" i="1"/>
  <c r="N166" i="1"/>
  <c r="N142" i="1"/>
  <c r="N125" i="1"/>
  <c r="N86" i="1"/>
  <c r="N109" i="1"/>
  <c r="N70" i="1"/>
  <c r="N49" i="1"/>
  <c r="Z205" i="1"/>
  <c r="AA210" i="1" s="1"/>
  <c r="K12" i="1" s="1"/>
  <c r="Z220" i="1"/>
  <c r="Z181" i="1"/>
  <c r="Z165" i="1"/>
  <c r="Z141" i="1"/>
  <c r="Z124" i="1"/>
  <c r="L126" i="1"/>
  <c r="Z108" i="1"/>
  <c r="Z85" i="1"/>
  <c r="Z69" i="1"/>
  <c r="Z46" i="1"/>
  <c r="A90" i="1"/>
  <c r="B90" i="1"/>
  <c r="A185" i="1"/>
  <c r="M183" i="1"/>
  <c r="B146" i="1"/>
  <c r="A50" i="1"/>
  <c r="M185" i="1"/>
  <c r="B185" i="1"/>
  <c r="B50" i="1"/>
  <c r="A146" i="1"/>
  <c r="M90" i="1"/>
  <c r="A126" i="1"/>
  <c r="A183" i="1"/>
  <c r="M50" i="1"/>
  <c r="M146" i="1"/>
  <c r="B126" i="1"/>
  <c r="B183" i="1"/>
  <c r="M126" i="1"/>
  <c r="G185" i="1"/>
  <c r="C146" i="1"/>
  <c r="H90" i="1"/>
  <c r="C185" i="1"/>
  <c r="G126" i="1"/>
  <c r="J50" i="1"/>
  <c r="G90" i="1"/>
  <c r="F185" i="1"/>
  <c r="E146" i="1"/>
  <c r="K146" i="1"/>
  <c r="K185" i="1"/>
  <c r="E185" i="1"/>
  <c r="F90" i="1"/>
  <c r="F126" i="1"/>
  <c r="C126" i="1"/>
  <c r="D183" i="1"/>
  <c r="J126" i="1"/>
  <c r="H185" i="1"/>
  <c r="I90" i="1"/>
  <c r="J146" i="1"/>
  <c r="D146" i="1"/>
  <c r="F183" i="1"/>
  <c r="C183" i="1"/>
  <c r="I146" i="1"/>
  <c r="C90" i="1"/>
  <c r="H183" i="1"/>
  <c r="D90" i="1"/>
  <c r="I185" i="1"/>
  <c r="G50" i="1"/>
  <c r="H126" i="1"/>
  <c r="D185" i="1"/>
  <c r="H146" i="1"/>
  <c r="G183" i="1"/>
  <c r="E183" i="1"/>
  <c r="E126" i="1"/>
  <c r="I183" i="1"/>
  <c r="E50" i="1"/>
  <c r="J90" i="1"/>
  <c r="J185" i="1"/>
  <c r="K126" i="1"/>
  <c r="E90" i="1"/>
  <c r="J183" i="1"/>
  <c r="F146" i="1"/>
  <c r="K50" i="1"/>
  <c r="D50" i="1"/>
  <c r="D126" i="1"/>
  <c r="C50" i="1"/>
  <c r="K90" i="1"/>
  <c r="K183" i="1"/>
  <c r="G146" i="1"/>
  <c r="H50" i="1"/>
  <c r="I50" i="1"/>
  <c r="F50" i="1"/>
  <c r="I126" i="1"/>
  <c r="N183" i="1" l="1"/>
  <c r="R183" i="1" s="1"/>
  <c r="Z183" i="1"/>
  <c r="N185" i="1"/>
  <c r="N146" i="1"/>
  <c r="N126" i="1"/>
  <c r="N90" i="1"/>
  <c r="N50" i="1"/>
  <c r="Z221" i="1"/>
  <c r="Z184" i="1"/>
  <c r="Z166" i="1"/>
  <c r="AA171" i="1" s="1"/>
  <c r="K10" i="1" s="1"/>
  <c r="Z142" i="1"/>
  <c r="Z125" i="1"/>
  <c r="Z109" i="1"/>
  <c r="AA114" i="1" s="1"/>
  <c r="K7" i="1" s="1"/>
  <c r="Z86" i="1"/>
  <c r="Z70" i="1"/>
  <c r="AA75" i="1" s="1"/>
  <c r="K5" i="1" s="1"/>
  <c r="Z49" i="1"/>
  <c r="Z32" i="1"/>
  <c r="Z19" i="1"/>
  <c r="P1" i="1" s="1"/>
  <c r="Z33" i="1"/>
  <c r="Z21" i="1"/>
  <c r="Z23" i="1"/>
  <c r="Z34" i="1"/>
  <c r="P2" i="1" s="1"/>
  <c r="Z22" i="1"/>
  <c r="Z232" i="1" l="1"/>
  <c r="Z222" i="1"/>
  <c r="AA227" i="1" s="1"/>
  <c r="K13" i="1" s="1"/>
  <c r="Z185" i="1"/>
  <c r="AA190" i="1" s="1"/>
  <c r="K11" i="1" s="1"/>
  <c r="Z146" i="1"/>
  <c r="AA151" i="1" s="1"/>
  <c r="K9" i="1" s="1"/>
  <c r="Z126" i="1"/>
  <c r="AA131" i="1" s="1"/>
  <c r="K8" i="1" s="1"/>
  <c r="Z90" i="1"/>
  <c r="AA95" i="1" s="1"/>
  <c r="K6" i="1" s="1"/>
  <c r="Z50" i="1"/>
  <c r="AA55" i="1" s="1"/>
  <c r="K4" i="1" s="1"/>
  <c r="Z20" i="1"/>
  <c r="Z35" i="1"/>
  <c r="Z24" i="1"/>
  <c r="B1977" i="4"/>
  <c r="B1971" i="4"/>
  <c r="F1971" i="4" s="1"/>
  <c r="G1984" i="4"/>
  <c r="E1984" i="4"/>
  <c r="C1984" i="4"/>
  <c r="B1984" i="4"/>
  <c r="F1983" i="4"/>
  <c r="D1983" i="4"/>
  <c r="F1982" i="4"/>
  <c r="D1982" i="4"/>
  <c r="F1981" i="4"/>
  <c r="D1981" i="4"/>
  <c r="F1980" i="4"/>
  <c r="D1980" i="4"/>
  <c r="F1979" i="4"/>
  <c r="D1979" i="4"/>
  <c r="F1978" i="4"/>
  <c r="D1978" i="4"/>
  <c r="F1977" i="4"/>
  <c r="D1977" i="4"/>
  <c r="F1976" i="4"/>
  <c r="D1976" i="4"/>
  <c r="F1975" i="4"/>
  <c r="D1975" i="4"/>
  <c r="F1974" i="4"/>
  <c r="D1974" i="4"/>
  <c r="F1973" i="4"/>
  <c r="D1973" i="4"/>
  <c r="F1972" i="4"/>
  <c r="D1972" i="4"/>
  <c r="D1971" i="4" l="1"/>
  <c r="D1984" i="4" s="1"/>
  <c r="Z36" i="1"/>
  <c r="Z25" i="1"/>
  <c r="F1984" i="4"/>
  <c r="M1959" i="4"/>
  <c r="M1958" i="4"/>
  <c r="M1957" i="4"/>
  <c r="P1965" i="4"/>
  <c r="N1965" i="4"/>
  <c r="L1965" i="4"/>
  <c r="K1965" i="4"/>
  <c r="O1964" i="4"/>
  <c r="M1964" i="4"/>
  <c r="O1963" i="4"/>
  <c r="M1963" i="4"/>
  <c r="O1962" i="4"/>
  <c r="M1962" i="4"/>
  <c r="O1961" i="4"/>
  <c r="M1961" i="4"/>
  <c r="O1960" i="4"/>
  <c r="M1960" i="4"/>
  <c r="O1959" i="4"/>
  <c r="O1956" i="4"/>
  <c r="M1956" i="4"/>
  <c r="O1955" i="4"/>
  <c r="M1955" i="4"/>
  <c r="O1954" i="4"/>
  <c r="M1954" i="4"/>
  <c r="O1953" i="4"/>
  <c r="M1953" i="4"/>
  <c r="O1952" i="4"/>
  <c r="M1952" i="4"/>
  <c r="Z26" i="1" l="1"/>
  <c r="O1958" i="4"/>
  <c r="O1957" i="4"/>
  <c r="O1965" i="4"/>
  <c r="M1965" i="4"/>
  <c r="G1965" i="4"/>
  <c r="E1965" i="4"/>
  <c r="C1965" i="4"/>
  <c r="B1965" i="4"/>
  <c r="F1964" i="4"/>
  <c r="D1964" i="4"/>
  <c r="F1963" i="4"/>
  <c r="D1963" i="4"/>
  <c r="F1962" i="4"/>
  <c r="D1962" i="4"/>
  <c r="F1961" i="4"/>
  <c r="D1961" i="4"/>
  <c r="F1960" i="4"/>
  <c r="D1960" i="4"/>
  <c r="F1959" i="4"/>
  <c r="D1959" i="4"/>
  <c r="F1958" i="4"/>
  <c r="D1958" i="4"/>
  <c r="F1957" i="4"/>
  <c r="D1957" i="4"/>
  <c r="F1956" i="4"/>
  <c r="D1956" i="4"/>
  <c r="F1955" i="4"/>
  <c r="D1955" i="4"/>
  <c r="F1954" i="4"/>
  <c r="D1954" i="4"/>
  <c r="F1953" i="4"/>
  <c r="D1953" i="4"/>
  <c r="F1952" i="4"/>
  <c r="D1952" i="4"/>
  <c r="Z30" i="1" l="1"/>
  <c r="D1965" i="4"/>
  <c r="F1965" i="4"/>
  <c r="Z31" i="1" l="1"/>
  <c r="AA36" i="1" s="1"/>
  <c r="K3" i="1" s="1"/>
  <c r="B1936" i="4" l="1"/>
  <c r="F1936" i="4" s="1"/>
  <c r="B1935" i="4"/>
  <c r="F1935" i="4" s="1"/>
  <c r="B1927" i="4"/>
  <c r="G1937" i="4"/>
  <c r="E1937" i="4"/>
  <c r="C1937" i="4"/>
  <c r="F1934" i="4"/>
  <c r="D1934" i="4"/>
  <c r="F1933" i="4"/>
  <c r="D1933" i="4"/>
  <c r="F1932" i="4"/>
  <c r="D1932" i="4"/>
  <c r="F1931" i="4"/>
  <c r="D1931" i="4"/>
  <c r="F1930" i="4"/>
  <c r="D1930" i="4"/>
  <c r="F1929" i="4"/>
  <c r="D1929" i="4"/>
  <c r="F1928" i="4"/>
  <c r="D1928" i="4"/>
  <c r="D1936" i="4" l="1"/>
  <c r="D1935" i="4"/>
  <c r="B1937" i="4"/>
  <c r="D1927" i="4"/>
  <c r="F1927" i="4"/>
  <c r="F1937" i="4" s="1"/>
  <c r="P1922" i="4"/>
  <c r="N1922" i="4"/>
  <c r="L1922" i="4"/>
  <c r="K1922" i="4"/>
  <c r="O1921" i="4"/>
  <c r="M1921" i="4"/>
  <c r="O1920" i="4"/>
  <c r="M1920" i="4"/>
  <c r="O1919" i="4"/>
  <c r="M1919" i="4"/>
  <c r="O1918" i="4"/>
  <c r="M1918" i="4"/>
  <c r="O1917" i="4"/>
  <c r="M1917" i="4"/>
  <c r="O1916" i="4"/>
  <c r="M1916" i="4"/>
  <c r="O1915" i="4"/>
  <c r="M1915" i="4"/>
  <c r="O1914" i="4"/>
  <c r="M1914" i="4"/>
  <c r="O1913" i="4"/>
  <c r="M1913" i="4"/>
  <c r="O1912" i="4"/>
  <c r="M1912" i="4"/>
  <c r="D1937" i="4" l="1"/>
  <c r="O1922" i="4"/>
  <c r="M1922" i="4"/>
  <c r="G1922" i="4"/>
  <c r="E1922" i="4"/>
  <c r="C1922" i="4"/>
  <c r="B1922" i="4"/>
  <c r="F1921" i="4"/>
  <c r="D1921" i="4"/>
  <c r="F1920" i="4"/>
  <c r="D1920" i="4"/>
  <c r="F1919" i="4"/>
  <c r="D1919" i="4"/>
  <c r="F1918" i="4"/>
  <c r="D1918" i="4"/>
  <c r="F1917" i="4"/>
  <c r="D1917" i="4"/>
  <c r="F1916" i="4"/>
  <c r="D1916" i="4"/>
  <c r="F1915" i="4"/>
  <c r="D1915" i="4"/>
  <c r="F1914" i="4"/>
  <c r="D1914" i="4"/>
  <c r="F1913" i="4"/>
  <c r="D1913" i="4"/>
  <c r="F1912" i="4"/>
  <c r="D1912" i="4"/>
  <c r="D1922" i="4" l="1"/>
  <c r="F1922" i="4"/>
  <c r="N1889" i="4" l="1"/>
  <c r="O1881" i="4"/>
  <c r="O1882" i="4"/>
  <c r="O1883" i="4"/>
  <c r="O1884" i="4"/>
  <c r="O1885" i="4"/>
  <c r="O1886" i="4"/>
  <c r="O1887" i="4"/>
  <c r="O1888" i="4"/>
  <c r="O1880" i="4"/>
  <c r="P1889" i="4"/>
  <c r="L1889" i="4"/>
  <c r="K1889" i="4"/>
  <c r="M1888" i="4"/>
  <c r="M1887" i="4"/>
  <c r="M1886" i="4"/>
  <c r="M1885" i="4"/>
  <c r="M1884" i="4"/>
  <c r="M1883" i="4"/>
  <c r="M1882" i="4"/>
  <c r="M1881" i="4"/>
  <c r="M1880" i="4"/>
  <c r="O1889" i="4" l="1"/>
  <c r="M1889" i="4"/>
  <c r="B1892" i="4"/>
  <c r="D1892" i="4" s="1"/>
  <c r="G1893" i="4"/>
  <c r="E1893" i="4"/>
  <c r="C1893" i="4"/>
  <c r="F1891" i="4"/>
  <c r="D1891" i="4"/>
  <c r="F1890" i="4"/>
  <c r="D1890" i="4"/>
  <c r="F1889" i="4"/>
  <c r="D1889" i="4"/>
  <c r="F1888" i="4"/>
  <c r="D1888" i="4"/>
  <c r="F1887" i="4"/>
  <c r="D1887" i="4"/>
  <c r="F1886" i="4"/>
  <c r="D1886" i="4"/>
  <c r="F1885" i="4"/>
  <c r="D1885" i="4"/>
  <c r="F1884" i="4"/>
  <c r="D1884" i="4"/>
  <c r="F1883" i="4"/>
  <c r="D1883" i="4"/>
  <c r="F1882" i="4"/>
  <c r="D1882" i="4"/>
  <c r="F1881" i="4"/>
  <c r="D1881" i="4"/>
  <c r="F1880" i="4"/>
  <c r="D1880" i="4"/>
  <c r="F1892" i="4" l="1"/>
  <c r="F1893" i="4" s="1"/>
  <c r="B1893" i="4"/>
  <c r="D1893" i="4"/>
  <c r="P1871" i="4" l="1"/>
  <c r="N1871" i="4"/>
  <c r="L1871" i="4"/>
  <c r="K1871" i="4"/>
  <c r="O1870" i="4"/>
  <c r="M1870" i="4"/>
  <c r="O1869" i="4"/>
  <c r="M1869" i="4"/>
  <c r="O1868" i="4"/>
  <c r="M1868" i="4"/>
  <c r="O1867" i="4"/>
  <c r="M1867" i="4"/>
  <c r="O1866" i="4"/>
  <c r="M1866" i="4"/>
  <c r="O1865" i="4"/>
  <c r="M1865" i="4"/>
  <c r="O1864" i="4"/>
  <c r="M1864" i="4"/>
  <c r="O1863" i="4"/>
  <c r="M1863" i="4"/>
  <c r="O1862" i="4"/>
  <c r="M1862" i="4"/>
  <c r="O1861" i="4"/>
  <c r="M1861" i="4"/>
  <c r="O1860" i="4"/>
  <c r="M1860" i="4"/>
  <c r="O1859" i="4"/>
  <c r="M1859" i="4"/>
  <c r="O1858" i="4"/>
  <c r="M1858" i="4"/>
  <c r="M1871" i="4" l="1"/>
  <c r="O1871" i="4"/>
  <c r="G1872" i="4"/>
  <c r="E1872" i="4"/>
  <c r="C1872" i="4"/>
  <c r="B1872" i="4"/>
  <c r="F1871" i="4"/>
  <c r="D1871" i="4"/>
  <c r="F1870" i="4"/>
  <c r="D1870" i="4"/>
  <c r="F1869" i="4"/>
  <c r="D1869" i="4"/>
  <c r="F1868" i="4"/>
  <c r="D1868" i="4"/>
  <c r="F1867" i="4"/>
  <c r="D1867" i="4"/>
  <c r="F1866" i="4"/>
  <c r="D1866" i="4"/>
  <c r="F1865" i="4"/>
  <c r="D1865" i="4"/>
  <c r="F1864" i="4"/>
  <c r="D1864" i="4"/>
  <c r="F1863" i="4"/>
  <c r="D1863" i="4"/>
  <c r="F1862" i="4"/>
  <c r="D1862" i="4"/>
  <c r="F1861" i="4"/>
  <c r="D1861" i="4"/>
  <c r="F1860" i="4"/>
  <c r="D1860" i="4"/>
  <c r="F1859" i="4"/>
  <c r="D1859" i="4"/>
  <c r="F1858" i="4"/>
  <c r="D1858" i="4"/>
  <c r="D1872" i="4" l="1"/>
  <c r="F1872" i="4"/>
  <c r="G1838" i="4" l="1"/>
  <c r="E1838" i="4"/>
  <c r="C1838" i="4"/>
  <c r="B1838" i="4"/>
  <c r="F1837" i="4"/>
  <c r="D1837" i="4"/>
  <c r="F1836" i="4"/>
  <c r="D1836" i="4"/>
  <c r="F1835" i="4"/>
  <c r="D1835" i="4"/>
  <c r="F1834" i="4"/>
  <c r="D1834" i="4"/>
  <c r="F1833" i="4"/>
  <c r="D1833" i="4"/>
  <c r="F1832" i="4"/>
  <c r="D1832" i="4"/>
  <c r="F1831" i="4"/>
  <c r="D1831" i="4"/>
  <c r="F1830" i="4"/>
  <c r="D1830" i="4"/>
  <c r="F1829" i="4"/>
  <c r="D1829" i="4"/>
  <c r="D1838" i="4" l="1"/>
  <c r="F1838" i="4"/>
  <c r="Y1822" i="4"/>
  <c r="W1822" i="4"/>
  <c r="U1822" i="4"/>
  <c r="T1822" i="4"/>
  <c r="X1821" i="4"/>
  <c r="V1821" i="4"/>
  <c r="X1820" i="4"/>
  <c r="V1820" i="4"/>
  <c r="X1819" i="4"/>
  <c r="V1819" i="4"/>
  <c r="X1818" i="4"/>
  <c r="V1818" i="4"/>
  <c r="X1817" i="4"/>
  <c r="V1817" i="4"/>
  <c r="X1816" i="4"/>
  <c r="V1816" i="4"/>
  <c r="X1815" i="4"/>
  <c r="V1815" i="4"/>
  <c r="X1814" i="4"/>
  <c r="V1814" i="4"/>
  <c r="X1813" i="4"/>
  <c r="V1813" i="4"/>
  <c r="X1812" i="4"/>
  <c r="V1812" i="4"/>
  <c r="X1811" i="4"/>
  <c r="V1811" i="4"/>
  <c r="X1810" i="4"/>
  <c r="V1810" i="4"/>
  <c r="X1809" i="4"/>
  <c r="V1809" i="4"/>
  <c r="X1808" i="4"/>
  <c r="V1808" i="4"/>
  <c r="X1807" i="4"/>
  <c r="V1807" i="4"/>
  <c r="V1822" i="4" l="1"/>
  <c r="X1822" i="4"/>
  <c r="K1817" i="4"/>
  <c r="M1817" i="4" s="1"/>
  <c r="P1822" i="4"/>
  <c r="N1822" i="4"/>
  <c r="L1822" i="4"/>
  <c r="O1821" i="4"/>
  <c r="M1821" i="4"/>
  <c r="O1820" i="4"/>
  <c r="M1820" i="4"/>
  <c r="O1819" i="4"/>
  <c r="M1819" i="4"/>
  <c r="O1818" i="4"/>
  <c r="M1818" i="4"/>
  <c r="O1816" i="4"/>
  <c r="M1816" i="4"/>
  <c r="O1815" i="4"/>
  <c r="M1815" i="4"/>
  <c r="O1814" i="4"/>
  <c r="M1814" i="4"/>
  <c r="O1813" i="4"/>
  <c r="M1813" i="4"/>
  <c r="O1812" i="4"/>
  <c r="M1812" i="4"/>
  <c r="O1811" i="4"/>
  <c r="M1811" i="4"/>
  <c r="O1810" i="4"/>
  <c r="M1810" i="4"/>
  <c r="O1809" i="4"/>
  <c r="M1809" i="4"/>
  <c r="O1808" i="4"/>
  <c r="M1808" i="4"/>
  <c r="O1807" i="4"/>
  <c r="M1807" i="4"/>
  <c r="O1817" i="4" l="1"/>
  <c r="O1822" i="4" s="1"/>
  <c r="K1822" i="4"/>
  <c r="M1822" i="4"/>
  <c r="G1822" i="4" l="1"/>
  <c r="E1822" i="4"/>
  <c r="C1822" i="4"/>
  <c r="B1822" i="4"/>
  <c r="F1821" i="4"/>
  <c r="D1821" i="4"/>
  <c r="F1820" i="4"/>
  <c r="D1820" i="4"/>
  <c r="F1819" i="4"/>
  <c r="D1819" i="4"/>
  <c r="F1818" i="4"/>
  <c r="D1818" i="4"/>
  <c r="F1817" i="4"/>
  <c r="D1817" i="4"/>
  <c r="F1816" i="4"/>
  <c r="D1816" i="4"/>
  <c r="F1815" i="4"/>
  <c r="D1815" i="4"/>
  <c r="F1814" i="4"/>
  <c r="D1814" i="4"/>
  <c r="F1813" i="4"/>
  <c r="D1813" i="4"/>
  <c r="F1812" i="4"/>
  <c r="D1812" i="4"/>
  <c r="F1811" i="4"/>
  <c r="D1811" i="4"/>
  <c r="F1810" i="4"/>
  <c r="D1810" i="4"/>
  <c r="F1809" i="4"/>
  <c r="D1809" i="4"/>
  <c r="F1808" i="4"/>
  <c r="D1808" i="4"/>
  <c r="F1807" i="4"/>
  <c r="D1807" i="4"/>
  <c r="D1822" i="4" l="1"/>
  <c r="F1822" i="4"/>
  <c r="Y1799" i="4"/>
  <c r="W1799" i="4"/>
  <c r="U1799" i="4"/>
  <c r="T1799" i="4"/>
  <c r="X1798" i="4"/>
  <c r="V1798" i="4"/>
  <c r="X1797" i="4"/>
  <c r="V1797" i="4"/>
  <c r="X1796" i="4"/>
  <c r="V1796" i="4"/>
  <c r="X1795" i="4"/>
  <c r="V1795" i="4"/>
  <c r="X1794" i="4"/>
  <c r="V1794" i="4"/>
  <c r="X1793" i="4"/>
  <c r="V1793" i="4"/>
  <c r="X1792" i="4"/>
  <c r="V1792" i="4"/>
  <c r="X1791" i="4"/>
  <c r="V1791" i="4"/>
  <c r="X1790" i="4"/>
  <c r="V1790" i="4"/>
  <c r="X1789" i="4"/>
  <c r="V1789" i="4"/>
  <c r="X1788" i="4"/>
  <c r="V1788" i="4"/>
  <c r="X1787" i="4"/>
  <c r="V1787" i="4"/>
  <c r="X1786" i="4"/>
  <c r="V1786" i="4"/>
  <c r="X1785" i="4"/>
  <c r="V1785" i="4"/>
  <c r="X1784" i="4"/>
  <c r="V1784" i="4"/>
  <c r="V1799" i="4" l="1"/>
  <c r="X1799" i="4"/>
  <c r="P1799" i="4"/>
  <c r="N1799" i="4"/>
  <c r="L1799" i="4"/>
  <c r="K1799" i="4"/>
  <c r="O1798" i="4"/>
  <c r="M1798" i="4"/>
  <c r="O1797" i="4"/>
  <c r="M1797" i="4"/>
  <c r="O1796" i="4"/>
  <c r="M1796" i="4"/>
  <c r="O1795" i="4"/>
  <c r="M1795" i="4"/>
  <c r="O1794" i="4"/>
  <c r="M1794" i="4"/>
  <c r="O1793" i="4"/>
  <c r="M1793" i="4"/>
  <c r="O1792" i="4"/>
  <c r="M1792" i="4"/>
  <c r="O1791" i="4"/>
  <c r="M1791" i="4"/>
  <c r="O1790" i="4"/>
  <c r="M1790" i="4"/>
  <c r="O1789" i="4"/>
  <c r="M1789" i="4"/>
  <c r="O1788" i="4"/>
  <c r="M1788" i="4"/>
  <c r="O1787" i="4"/>
  <c r="M1787" i="4"/>
  <c r="O1786" i="4"/>
  <c r="M1786" i="4"/>
  <c r="O1785" i="4"/>
  <c r="M1785" i="4"/>
  <c r="O1784" i="4"/>
  <c r="M1784" i="4"/>
  <c r="M1799" i="4" l="1"/>
  <c r="O1799" i="4"/>
  <c r="G1799" i="4"/>
  <c r="E1799" i="4"/>
  <c r="C1799" i="4"/>
  <c r="B1799" i="4"/>
  <c r="F1798" i="4"/>
  <c r="D1798" i="4"/>
  <c r="K1843" i="4" s="1"/>
  <c r="F1797" i="4"/>
  <c r="D1797" i="4"/>
  <c r="K1842" i="4" s="1"/>
  <c r="F1796" i="4"/>
  <c r="D1796" i="4"/>
  <c r="K1841" i="4" s="1"/>
  <c r="F1795" i="4"/>
  <c r="D1795" i="4"/>
  <c r="K1840" i="4" s="1"/>
  <c r="F1794" i="4"/>
  <c r="D1794" i="4"/>
  <c r="K1839" i="4" s="1"/>
  <c r="F1793" i="4"/>
  <c r="D1793" i="4"/>
  <c r="K1838" i="4" s="1"/>
  <c r="F1792" i="4"/>
  <c r="D1792" i="4"/>
  <c r="K1837" i="4" s="1"/>
  <c r="F1791" i="4"/>
  <c r="D1791" i="4"/>
  <c r="K1836" i="4" s="1"/>
  <c r="F1790" i="4"/>
  <c r="D1790" i="4"/>
  <c r="K1835" i="4" s="1"/>
  <c r="F1789" i="4"/>
  <c r="D1789" i="4"/>
  <c r="K1834" i="4" s="1"/>
  <c r="F1788" i="4"/>
  <c r="D1788" i="4"/>
  <c r="K1833" i="4" s="1"/>
  <c r="F1787" i="4"/>
  <c r="D1787" i="4"/>
  <c r="K1832" i="4" s="1"/>
  <c r="F1786" i="4"/>
  <c r="D1786" i="4"/>
  <c r="K1831" i="4" s="1"/>
  <c r="F1785" i="4"/>
  <c r="D1785" i="4"/>
  <c r="K1830" i="4" s="1"/>
  <c r="F1784" i="4"/>
  <c r="D1784" i="4"/>
  <c r="K1829" i="4" s="1"/>
  <c r="D1529" i="4"/>
  <c r="F1529" i="4"/>
  <c r="D1530" i="4"/>
  <c r="F1530" i="4"/>
  <c r="D1531" i="4"/>
  <c r="F1531" i="4"/>
  <c r="D1532" i="4"/>
  <c r="F1532" i="4"/>
  <c r="D1533" i="4"/>
  <c r="F1533" i="4"/>
  <c r="D1534" i="4"/>
  <c r="F1534" i="4"/>
  <c r="D1535" i="4"/>
  <c r="F1535" i="4"/>
  <c r="D1536" i="4"/>
  <c r="F1536" i="4"/>
  <c r="D1537" i="4"/>
  <c r="F1537" i="4"/>
  <c r="D1538" i="4"/>
  <c r="F1538" i="4"/>
  <c r="D1539" i="4"/>
  <c r="F1539" i="4"/>
  <c r="D1540" i="4"/>
  <c r="F1540" i="4"/>
  <c r="D1541" i="4"/>
  <c r="F1541" i="4"/>
  <c r="D1542" i="4"/>
  <c r="F1542" i="4"/>
  <c r="D1543" i="4"/>
  <c r="F1543" i="4"/>
  <c r="D1544" i="4"/>
  <c r="F1544" i="4"/>
  <c r="D1545" i="4"/>
  <c r="F1545" i="4"/>
  <c r="D1546" i="4"/>
  <c r="F1546" i="4"/>
  <c r="D1547" i="4"/>
  <c r="F1547" i="4"/>
  <c r="D1548" i="4"/>
  <c r="F1548" i="4"/>
  <c r="B1549" i="4"/>
  <c r="C1549" i="4"/>
  <c r="E1549" i="4"/>
  <c r="G1549" i="4"/>
  <c r="F1549" i="4" l="1"/>
  <c r="D1549" i="4"/>
  <c r="D1799" i="4"/>
  <c r="F1799" i="4"/>
  <c r="P1769" i="4" l="1"/>
  <c r="N1769" i="4"/>
  <c r="L1769" i="4"/>
  <c r="K1769" i="4"/>
  <c r="O1768" i="4"/>
  <c r="M1768" i="4"/>
  <c r="O1767" i="4"/>
  <c r="M1767" i="4"/>
  <c r="O1766" i="4"/>
  <c r="M1766" i="4"/>
  <c r="O1765" i="4"/>
  <c r="M1765" i="4"/>
  <c r="O1764" i="4"/>
  <c r="M1764" i="4"/>
  <c r="O1763" i="4"/>
  <c r="M1763" i="4"/>
  <c r="O1762" i="4"/>
  <c r="M1762" i="4"/>
  <c r="O1761" i="4"/>
  <c r="M1761" i="4"/>
  <c r="O1760" i="4"/>
  <c r="M1760" i="4"/>
  <c r="O1759" i="4"/>
  <c r="M1759" i="4"/>
  <c r="O1758" i="4"/>
  <c r="M1758" i="4"/>
  <c r="O1757" i="4"/>
  <c r="M1757" i="4"/>
  <c r="O1756" i="4"/>
  <c r="M1756" i="4"/>
  <c r="O1755" i="4"/>
  <c r="M1755" i="4"/>
  <c r="O1769" i="4" l="1"/>
  <c r="M1769" i="4"/>
  <c r="G1769" i="4"/>
  <c r="E1769" i="4"/>
  <c r="C1769" i="4"/>
  <c r="B1769" i="4"/>
  <c r="F1768" i="4"/>
  <c r="D1768" i="4"/>
  <c r="F1767" i="4"/>
  <c r="D1767" i="4"/>
  <c r="F1766" i="4"/>
  <c r="D1766" i="4"/>
  <c r="F1765" i="4"/>
  <c r="D1765" i="4"/>
  <c r="F1764" i="4"/>
  <c r="D1764" i="4"/>
  <c r="F1763" i="4"/>
  <c r="D1763" i="4"/>
  <c r="F1762" i="4"/>
  <c r="D1762" i="4"/>
  <c r="F1761" i="4"/>
  <c r="D1761" i="4"/>
  <c r="F1760" i="4"/>
  <c r="D1760" i="4"/>
  <c r="F1759" i="4"/>
  <c r="D1759" i="4"/>
  <c r="F1758" i="4"/>
  <c r="D1758" i="4"/>
  <c r="F1757" i="4"/>
  <c r="D1757" i="4"/>
  <c r="F1756" i="4"/>
  <c r="D1756" i="4"/>
  <c r="F1755" i="4"/>
  <c r="D1755" i="4"/>
  <c r="D1769" i="4" l="1"/>
  <c r="F1769" i="4"/>
  <c r="P1749" i="4"/>
  <c r="N1749" i="4"/>
  <c r="L1749" i="4"/>
  <c r="O1748" i="4"/>
  <c r="M1748" i="4"/>
  <c r="O1747" i="4"/>
  <c r="M1747" i="4"/>
  <c r="O1746" i="4"/>
  <c r="M1746" i="4"/>
  <c r="O1745" i="4"/>
  <c r="M1745" i="4"/>
  <c r="O1744" i="4"/>
  <c r="M1744" i="4"/>
  <c r="O1743" i="4"/>
  <c r="M1743" i="4"/>
  <c r="O1742" i="4"/>
  <c r="M1742" i="4"/>
  <c r="M1741" i="4"/>
  <c r="O1740" i="4"/>
  <c r="M1740" i="4"/>
  <c r="O1739" i="4"/>
  <c r="M1739" i="4"/>
  <c r="O1738" i="4"/>
  <c r="M1738" i="4"/>
  <c r="O1737" i="4"/>
  <c r="M1737" i="4"/>
  <c r="O1736" i="4"/>
  <c r="M1736" i="4"/>
  <c r="O1735" i="4"/>
  <c r="M1735" i="4"/>
  <c r="M1749" i="4" l="1"/>
  <c r="K1749" i="4"/>
  <c r="O1741" i="4"/>
  <c r="O1749" i="4" s="1"/>
  <c r="B1741" i="4" l="1"/>
  <c r="F1741" i="4" s="1"/>
  <c r="G1749" i="4"/>
  <c r="E1749" i="4"/>
  <c r="C1749" i="4"/>
  <c r="F1748" i="4"/>
  <c r="D1748" i="4"/>
  <c r="F1747" i="4"/>
  <c r="D1747" i="4"/>
  <c r="F1746" i="4"/>
  <c r="D1746" i="4"/>
  <c r="F1745" i="4"/>
  <c r="D1745" i="4"/>
  <c r="F1744" i="4"/>
  <c r="D1744" i="4"/>
  <c r="F1743" i="4"/>
  <c r="D1743" i="4"/>
  <c r="F1742" i="4"/>
  <c r="D1742" i="4"/>
  <c r="F1740" i="4"/>
  <c r="D1740" i="4"/>
  <c r="F1739" i="4"/>
  <c r="D1739" i="4"/>
  <c r="F1738" i="4"/>
  <c r="D1738" i="4"/>
  <c r="F1737" i="4"/>
  <c r="D1737" i="4"/>
  <c r="F1736" i="4"/>
  <c r="D1736" i="4"/>
  <c r="F1735" i="4"/>
  <c r="D1735" i="4"/>
  <c r="F1749" i="4" l="1"/>
  <c r="D1741" i="4"/>
  <c r="D1749" i="4" s="1"/>
  <c r="B1749" i="4"/>
  <c r="K1722" i="4"/>
  <c r="K1730" i="4" s="1"/>
  <c r="P1730" i="4"/>
  <c r="N1730" i="4"/>
  <c r="L1730" i="4"/>
  <c r="O1729" i="4"/>
  <c r="M1729" i="4"/>
  <c r="O1728" i="4"/>
  <c r="M1728" i="4"/>
  <c r="O1727" i="4"/>
  <c r="M1727" i="4"/>
  <c r="O1726" i="4"/>
  <c r="M1726" i="4"/>
  <c r="O1725" i="4"/>
  <c r="M1725" i="4"/>
  <c r="O1724" i="4"/>
  <c r="M1724" i="4"/>
  <c r="O1723" i="4"/>
  <c r="M1723" i="4"/>
  <c r="O1721" i="4"/>
  <c r="M1721" i="4"/>
  <c r="O1720" i="4"/>
  <c r="M1720" i="4"/>
  <c r="O1719" i="4"/>
  <c r="M1719" i="4"/>
  <c r="O1718" i="4"/>
  <c r="M1718" i="4"/>
  <c r="O1717" i="4"/>
  <c r="M1717" i="4"/>
  <c r="O1716" i="4"/>
  <c r="M1716" i="4"/>
  <c r="O1722" i="4" l="1"/>
  <c r="O1730" i="4" s="1"/>
  <c r="M1722" i="4"/>
  <c r="M1730" i="4" s="1"/>
  <c r="G1730" i="4"/>
  <c r="D1728" i="4"/>
  <c r="F1728" i="4"/>
  <c r="E1730" i="4"/>
  <c r="C1730" i="4"/>
  <c r="B1730" i="4"/>
  <c r="F1729" i="4"/>
  <c r="D1729" i="4"/>
  <c r="F1727" i="4"/>
  <c r="D1727" i="4"/>
  <c r="F1726" i="4"/>
  <c r="D1726" i="4"/>
  <c r="F1725" i="4"/>
  <c r="D1725" i="4"/>
  <c r="F1724" i="4"/>
  <c r="D1724" i="4"/>
  <c r="F1723" i="4"/>
  <c r="D1723" i="4"/>
  <c r="F1722" i="4"/>
  <c r="D1722" i="4"/>
  <c r="F1721" i="4"/>
  <c r="D1721" i="4"/>
  <c r="F1720" i="4"/>
  <c r="D1720" i="4"/>
  <c r="F1719" i="4"/>
  <c r="D1719" i="4"/>
  <c r="F1718" i="4"/>
  <c r="D1718" i="4"/>
  <c r="F1717" i="4"/>
  <c r="D1717" i="4"/>
  <c r="F1716" i="4"/>
  <c r="D1716" i="4"/>
  <c r="F1730" i="4" l="1"/>
  <c r="D1730" i="4"/>
  <c r="O1709" i="4" l="1"/>
  <c r="M1709" i="4"/>
  <c r="P1711" i="4"/>
  <c r="N1711" i="4"/>
  <c r="L1711" i="4"/>
  <c r="K1711" i="4"/>
  <c r="O1710" i="4"/>
  <c r="M1710" i="4"/>
  <c r="O1708" i="4"/>
  <c r="M1708" i="4"/>
  <c r="O1707" i="4"/>
  <c r="M1707" i="4"/>
  <c r="O1706" i="4"/>
  <c r="M1706" i="4"/>
  <c r="O1705" i="4"/>
  <c r="M1705" i="4"/>
  <c r="O1704" i="4"/>
  <c r="M1704" i="4"/>
  <c r="O1703" i="4"/>
  <c r="M1703" i="4"/>
  <c r="O1702" i="4"/>
  <c r="M1702" i="4"/>
  <c r="O1701" i="4"/>
  <c r="M1701" i="4"/>
  <c r="O1700" i="4"/>
  <c r="M1700" i="4"/>
  <c r="O1699" i="4"/>
  <c r="M1699" i="4"/>
  <c r="O1698" i="4"/>
  <c r="M1698" i="4"/>
  <c r="M1711" i="4" l="1"/>
  <c r="O1711" i="4"/>
  <c r="G1710" i="4" l="1"/>
  <c r="E1710" i="4"/>
  <c r="C1710" i="4"/>
  <c r="B1710" i="4"/>
  <c r="F1709" i="4"/>
  <c r="D1709" i="4"/>
  <c r="F1708" i="4"/>
  <c r="D1708" i="4"/>
  <c r="F1707" i="4"/>
  <c r="D1707" i="4"/>
  <c r="F1706" i="4"/>
  <c r="D1706" i="4"/>
  <c r="F1705" i="4"/>
  <c r="D1705" i="4"/>
  <c r="F1704" i="4"/>
  <c r="D1704" i="4"/>
  <c r="F1703" i="4"/>
  <c r="D1703" i="4"/>
  <c r="F1702" i="4"/>
  <c r="D1702" i="4"/>
  <c r="F1701" i="4"/>
  <c r="D1701" i="4"/>
  <c r="F1700" i="4"/>
  <c r="D1700" i="4"/>
  <c r="F1699" i="4"/>
  <c r="D1699" i="4"/>
  <c r="F1698" i="4"/>
  <c r="D1698" i="4"/>
  <c r="F1710" i="4" l="1"/>
  <c r="D1710" i="4"/>
  <c r="B1680" i="4" l="1"/>
  <c r="G1680" i="4"/>
  <c r="E1680" i="4"/>
  <c r="C1680" i="4"/>
  <c r="F1679" i="4"/>
  <c r="D1679" i="4"/>
  <c r="F1678" i="4"/>
  <c r="D1678" i="4"/>
  <c r="F1677" i="4"/>
  <c r="D1677" i="4"/>
  <c r="F1676" i="4"/>
  <c r="D1676" i="4"/>
  <c r="F1675" i="4"/>
  <c r="D1675" i="4"/>
  <c r="F1674" i="4"/>
  <c r="D1674" i="4"/>
  <c r="F1673" i="4"/>
  <c r="D1673" i="4"/>
  <c r="F1672" i="4"/>
  <c r="D1672" i="4"/>
  <c r="F1671" i="4"/>
  <c r="D1671" i="4"/>
  <c r="F1670" i="4"/>
  <c r="D1670" i="4"/>
  <c r="F1669" i="4"/>
  <c r="D1669" i="4"/>
  <c r="F1668" i="4"/>
  <c r="D1668" i="4"/>
  <c r="F1667" i="4"/>
  <c r="D1667" i="4"/>
  <c r="F1666" i="4"/>
  <c r="D1666" i="4"/>
  <c r="D1680" i="4" l="1"/>
  <c r="F1680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Q1661" i="4"/>
  <c r="O1661" i="4"/>
  <c r="M1661" i="4"/>
  <c r="L1661" i="4"/>
  <c r="P1660" i="4"/>
  <c r="P1659" i="4"/>
  <c r="P1658" i="4"/>
  <c r="P1657" i="4"/>
  <c r="P1656" i="4"/>
  <c r="P1655" i="4"/>
  <c r="P1654" i="4"/>
  <c r="P1653" i="4"/>
  <c r="P1652" i="4"/>
  <c r="P1651" i="4"/>
  <c r="P1650" i="4"/>
  <c r="P1649" i="4"/>
  <c r="P1648" i="4"/>
  <c r="P1647" i="4"/>
  <c r="N1647" i="4"/>
  <c r="N1661" i="4" l="1"/>
  <c r="P1661" i="4"/>
  <c r="G1661" i="4" l="1"/>
  <c r="E1661" i="4"/>
  <c r="C1661" i="4"/>
  <c r="B1661" i="4"/>
  <c r="F1660" i="4"/>
  <c r="F1659" i="4"/>
  <c r="D1659" i="4"/>
  <c r="F1658" i="4"/>
  <c r="D1658" i="4"/>
  <c r="F1657" i="4"/>
  <c r="D1657" i="4"/>
  <c r="F1656" i="4"/>
  <c r="D1656" i="4"/>
  <c r="F1655" i="4"/>
  <c r="D1655" i="4"/>
  <c r="F1654" i="4"/>
  <c r="D1654" i="4"/>
  <c r="F1653" i="4"/>
  <c r="D1653" i="4"/>
  <c r="F1652" i="4"/>
  <c r="D1652" i="4"/>
  <c r="F1651" i="4"/>
  <c r="D1651" i="4"/>
  <c r="F1650" i="4"/>
  <c r="D1650" i="4"/>
  <c r="F1649" i="4"/>
  <c r="D1649" i="4"/>
  <c r="F1648" i="4"/>
  <c r="D1648" i="4"/>
  <c r="F1647" i="4"/>
  <c r="D1647" i="4"/>
  <c r="F1661" i="4" l="1"/>
  <c r="D1661" i="4"/>
  <c r="Q1642" i="4"/>
  <c r="O1642" i="4"/>
  <c r="M1642" i="4"/>
  <c r="L1642" i="4"/>
  <c r="P1641" i="4"/>
  <c r="P1640" i="4"/>
  <c r="N1640" i="4"/>
  <c r="P1639" i="4"/>
  <c r="N1639" i="4"/>
  <c r="P1638" i="4"/>
  <c r="N1638" i="4"/>
  <c r="P1637" i="4"/>
  <c r="N1637" i="4"/>
  <c r="P1636" i="4"/>
  <c r="N1636" i="4"/>
  <c r="P1635" i="4"/>
  <c r="N1635" i="4"/>
  <c r="P1634" i="4"/>
  <c r="N1634" i="4"/>
  <c r="P1633" i="4"/>
  <c r="N1633" i="4"/>
  <c r="P1632" i="4"/>
  <c r="N1632" i="4"/>
  <c r="P1631" i="4"/>
  <c r="N1631" i="4"/>
  <c r="P1630" i="4"/>
  <c r="N1630" i="4"/>
  <c r="P1629" i="4"/>
  <c r="N1629" i="4"/>
  <c r="P1628" i="4"/>
  <c r="N1628" i="4"/>
  <c r="P1627" i="4"/>
  <c r="N1627" i="4"/>
  <c r="P1642" i="4" l="1"/>
  <c r="N1642" i="4"/>
  <c r="G1642" i="4" l="1"/>
  <c r="E1642" i="4"/>
  <c r="C1642" i="4"/>
  <c r="B1642" i="4"/>
  <c r="F1641" i="4"/>
  <c r="F1640" i="4"/>
  <c r="D1640" i="4"/>
  <c r="F1639" i="4"/>
  <c r="D1639" i="4"/>
  <c r="F1638" i="4"/>
  <c r="D1638" i="4"/>
  <c r="F1637" i="4"/>
  <c r="D1637" i="4"/>
  <c r="F1636" i="4"/>
  <c r="D1636" i="4"/>
  <c r="F1635" i="4"/>
  <c r="D1635" i="4"/>
  <c r="F1634" i="4"/>
  <c r="D1634" i="4"/>
  <c r="F1633" i="4"/>
  <c r="D1633" i="4"/>
  <c r="F1632" i="4"/>
  <c r="D1632" i="4"/>
  <c r="F1631" i="4"/>
  <c r="D1631" i="4"/>
  <c r="F1630" i="4"/>
  <c r="D1630" i="4"/>
  <c r="F1629" i="4"/>
  <c r="D1629" i="4"/>
  <c r="F1628" i="4"/>
  <c r="D1628" i="4"/>
  <c r="F1627" i="4"/>
  <c r="D1627" i="4"/>
  <c r="F1642" i="4" l="1"/>
  <c r="D1642" i="4"/>
  <c r="Q1622" i="4" l="1"/>
  <c r="O1622" i="4"/>
  <c r="M1622" i="4"/>
  <c r="L1622" i="4"/>
  <c r="P1621" i="4"/>
  <c r="P1620" i="4"/>
  <c r="N1620" i="4"/>
  <c r="P1619" i="4"/>
  <c r="N1619" i="4"/>
  <c r="P1618" i="4"/>
  <c r="N1618" i="4"/>
  <c r="P1617" i="4"/>
  <c r="N1617" i="4"/>
  <c r="P1616" i="4"/>
  <c r="N1616" i="4"/>
  <c r="P1615" i="4"/>
  <c r="N1615" i="4"/>
  <c r="P1614" i="4"/>
  <c r="N1614" i="4"/>
  <c r="P1613" i="4"/>
  <c r="N1613" i="4"/>
  <c r="P1612" i="4"/>
  <c r="N1612" i="4"/>
  <c r="P1611" i="4"/>
  <c r="N1611" i="4"/>
  <c r="P1610" i="4"/>
  <c r="N1610" i="4"/>
  <c r="P1609" i="4"/>
  <c r="N1609" i="4"/>
  <c r="P1608" i="4"/>
  <c r="N1608" i="4"/>
  <c r="P1607" i="4"/>
  <c r="N1607" i="4"/>
  <c r="P1622" i="4" l="1"/>
  <c r="N1622" i="4"/>
  <c r="G1622" i="4" l="1"/>
  <c r="E1622" i="4"/>
  <c r="C1622" i="4"/>
  <c r="F1621" i="4"/>
  <c r="F1620" i="4"/>
  <c r="D1620" i="4"/>
  <c r="F1619" i="4"/>
  <c r="F1618" i="4"/>
  <c r="D1618" i="4"/>
  <c r="F1617" i="4"/>
  <c r="D1617" i="4"/>
  <c r="D1616" i="4"/>
  <c r="F1615" i="4"/>
  <c r="D1615" i="4"/>
  <c r="F1614" i="4"/>
  <c r="D1614" i="4"/>
  <c r="F1613" i="4"/>
  <c r="D1613" i="4"/>
  <c r="F1612" i="4"/>
  <c r="D1612" i="4"/>
  <c r="F1611" i="4"/>
  <c r="D1611" i="4"/>
  <c r="F1610" i="4"/>
  <c r="D1610" i="4"/>
  <c r="F1609" i="4"/>
  <c r="D1609" i="4"/>
  <c r="F1608" i="4"/>
  <c r="D1608" i="4"/>
  <c r="F1607" i="4"/>
  <c r="D1607" i="4"/>
  <c r="D1619" i="4" l="1"/>
  <c r="D1622" i="4" s="1"/>
  <c r="B1622" i="4"/>
  <c r="F1616" i="4"/>
  <c r="F1622" i="4" s="1"/>
  <c r="L1593" i="4" l="1"/>
  <c r="P1593" i="4" s="1"/>
  <c r="L1590" i="4"/>
  <c r="P1590" i="4" s="1"/>
  <c r="Q1601" i="4"/>
  <c r="O1601" i="4"/>
  <c r="M1601" i="4"/>
  <c r="P1600" i="4"/>
  <c r="N1600" i="4"/>
  <c r="P1599" i="4"/>
  <c r="N1599" i="4"/>
  <c r="P1598" i="4"/>
  <c r="N1598" i="4"/>
  <c r="P1597" i="4"/>
  <c r="N1597" i="4"/>
  <c r="P1596" i="4"/>
  <c r="N1596" i="4"/>
  <c r="P1595" i="4"/>
  <c r="N1595" i="4"/>
  <c r="P1594" i="4"/>
  <c r="N1594" i="4"/>
  <c r="P1592" i="4"/>
  <c r="N1592" i="4"/>
  <c r="P1591" i="4"/>
  <c r="N1591" i="4"/>
  <c r="P1589" i="4"/>
  <c r="N1589" i="4"/>
  <c r="P1588" i="4"/>
  <c r="N1588" i="4"/>
  <c r="P1587" i="4"/>
  <c r="N1587" i="4"/>
  <c r="P1586" i="4"/>
  <c r="N1586" i="4"/>
  <c r="P1585" i="4"/>
  <c r="N1585" i="4"/>
  <c r="P1584" i="4"/>
  <c r="N1584" i="4"/>
  <c r="P1583" i="4"/>
  <c r="N1583" i="4"/>
  <c r="P1582" i="4"/>
  <c r="N1582" i="4"/>
  <c r="P1581" i="4"/>
  <c r="N1581" i="4"/>
  <c r="L1601" i="4" l="1"/>
  <c r="N1593" i="4"/>
  <c r="N1590" i="4"/>
  <c r="P1601" i="4"/>
  <c r="N1601" i="4" l="1"/>
  <c r="F1581" i="4"/>
  <c r="G1601" i="4"/>
  <c r="E1601" i="4"/>
  <c r="C1601" i="4"/>
  <c r="B1601" i="4"/>
  <c r="F1600" i="4"/>
  <c r="D1600" i="4"/>
  <c r="F1599" i="4"/>
  <c r="D1599" i="4"/>
  <c r="F1598" i="4"/>
  <c r="D1598" i="4"/>
  <c r="F1597" i="4"/>
  <c r="D1597" i="4"/>
  <c r="F1596" i="4"/>
  <c r="D1596" i="4"/>
  <c r="F1595" i="4"/>
  <c r="D1595" i="4"/>
  <c r="F1594" i="4"/>
  <c r="D1594" i="4"/>
  <c r="F1593" i="4"/>
  <c r="D1593" i="4"/>
  <c r="F1592" i="4"/>
  <c r="D1592" i="4"/>
  <c r="F1591" i="4"/>
  <c r="D1591" i="4"/>
  <c r="F1590" i="4"/>
  <c r="D1590" i="4"/>
  <c r="F1589" i="4"/>
  <c r="D1589" i="4"/>
  <c r="F1588" i="4"/>
  <c r="D1588" i="4"/>
  <c r="F1587" i="4"/>
  <c r="D1587" i="4"/>
  <c r="F1586" i="4"/>
  <c r="D1586" i="4"/>
  <c r="F1585" i="4"/>
  <c r="D1585" i="4"/>
  <c r="F1584" i="4"/>
  <c r="D1584" i="4"/>
  <c r="F1583" i="4"/>
  <c r="D1583" i="4"/>
  <c r="F1582" i="4"/>
  <c r="D1582" i="4"/>
  <c r="D1581" i="4"/>
  <c r="D1601" i="4" l="1"/>
  <c r="F1601" i="4"/>
  <c r="T1573" i="4"/>
  <c r="Q1576" i="4"/>
  <c r="O1576" i="4"/>
  <c r="M1576" i="4"/>
  <c r="L1576" i="4"/>
  <c r="P1575" i="4"/>
  <c r="N1575" i="4"/>
  <c r="P1574" i="4"/>
  <c r="N1574" i="4"/>
  <c r="P1573" i="4"/>
  <c r="N1573" i="4"/>
  <c r="P1572" i="4"/>
  <c r="N1572" i="4"/>
  <c r="P1571" i="4"/>
  <c r="N1571" i="4"/>
  <c r="P1570" i="4"/>
  <c r="N1570" i="4"/>
  <c r="P1569" i="4"/>
  <c r="N1569" i="4"/>
  <c r="P1568" i="4"/>
  <c r="N1568" i="4"/>
  <c r="P1567" i="4"/>
  <c r="N1567" i="4"/>
  <c r="P1566" i="4"/>
  <c r="N1566" i="4"/>
  <c r="P1565" i="4"/>
  <c r="N1565" i="4"/>
  <c r="P1564" i="4"/>
  <c r="N1564" i="4"/>
  <c r="P1563" i="4"/>
  <c r="N1563" i="4"/>
  <c r="P1562" i="4"/>
  <c r="N1562" i="4"/>
  <c r="P1561" i="4"/>
  <c r="N1561" i="4"/>
  <c r="P1560" i="4"/>
  <c r="N1560" i="4"/>
  <c r="P1559" i="4"/>
  <c r="N1559" i="4"/>
  <c r="P1558" i="4"/>
  <c r="N1558" i="4"/>
  <c r="P1557" i="4"/>
  <c r="N1557" i="4"/>
  <c r="P1556" i="4"/>
  <c r="N1556" i="4"/>
  <c r="P1576" i="4" l="1"/>
  <c r="N1576" i="4"/>
  <c r="D1575" i="4"/>
  <c r="D1571" i="4"/>
  <c r="F1570" i="4"/>
  <c r="D1569" i="4"/>
  <c r="F1568" i="4"/>
  <c r="D1567" i="4"/>
  <c r="D1563" i="4"/>
  <c r="F1562" i="4"/>
  <c r="D1561" i="4"/>
  <c r="F1560" i="4"/>
  <c r="D1559" i="4"/>
  <c r="G1576" i="4"/>
  <c r="E1576" i="4"/>
  <c r="B1576" i="4"/>
  <c r="F1574" i="4"/>
  <c r="D1574" i="4"/>
  <c r="F1573" i="4"/>
  <c r="D1573" i="4"/>
  <c r="F1572" i="4"/>
  <c r="D1572" i="4"/>
  <c r="F1571" i="4"/>
  <c r="D1568" i="4"/>
  <c r="F1566" i="4"/>
  <c r="D1566" i="4"/>
  <c r="F1565" i="4"/>
  <c r="D1565" i="4"/>
  <c r="F1564" i="4"/>
  <c r="D1564" i="4"/>
  <c r="F1563" i="4"/>
  <c r="D1560" i="4"/>
  <c r="F1558" i="4"/>
  <c r="D1558" i="4"/>
  <c r="F1557" i="4"/>
  <c r="D1557" i="4"/>
  <c r="F1556" i="4"/>
  <c r="D1556" i="4"/>
  <c r="F1559" i="4" l="1"/>
  <c r="C1576" i="4"/>
  <c r="F1569" i="4"/>
  <c r="D1562" i="4"/>
  <c r="D1570" i="4"/>
  <c r="F1575" i="4"/>
  <c r="F1561" i="4"/>
  <c r="F1567" i="4"/>
  <c r="Q1549" i="4"/>
  <c r="O1549" i="4"/>
  <c r="M1549" i="4"/>
  <c r="L1549" i="4"/>
  <c r="P1548" i="4"/>
  <c r="N1548" i="4"/>
  <c r="P1547" i="4"/>
  <c r="N1547" i="4"/>
  <c r="P1546" i="4"/>
  <c r="N1546" i="4"/>
  <c r="P1545" i="4"/>
  <c r="N1545" i="4"/>
  <c r="P1544" i="4"/>
  <c r="N1544" i="4"/>
  <c r="P1543" i="4"/>
  <c r="N1543" i="4"/>
  <c r="P1542" i="4"/>
  <c r="N1542" i="4"/>
  <c r="P1541" i="4"/>
  <c r="N1541" i="4"/>
  <c r="P1540" i="4"/>
  <c r="N1540" i="4"/>
  <c r="P1539" i="4"/>
  <c r="N1539" i="4"/>
  <c r="P1538" i="4"/>
  <c r="N1538" i="4"/>
  <c r="P1537" i="4"/>
  <c r="N1537" i="4"/>
  <c r="P1536" i="4"/>
  <c r="N1536" i="4"/>
  <c r="P1535" i="4"/>
  <c r="N1535" i="4"/>
  <c r="P1534" i="4"/>
  <c r="N1534" i="4"/>
  <c r="P1533" i="4"/>
  <c r="N1533" i="4"/>
  <c r="P1532" i="4"/>
  <c r="N1532" i="4"/>
  <c r="P1531" i="4"/>
  <c r="N1531" i="4"/>
  <c r="P1530" i="4"/>
  <c r="N1530" i="4"/>
  <c r="P1529" i="4"/>
  <c r="N1529" i="4"/>
  <c r="D1576" i="4" l="1"/>
  <c r="F1576" i="4"/>
  <c r="N1549" i="4"/>
  <c r="P1549" i="4"/>
  <c r="S1513" i="4"/>
  <c r="Q1513" i="4"/>
  <c r="O1513" i="4"/>
  <c r="M1513" i="4"/>
  <c r="L1513" i="4"/>
  <c r="N1512" i="4"/>
  <c r="R1512" i="4" s="1"/>
  <c r="N1511" i="4"/>
  <c r="R1511" i="4" s="1"/>
  <c r="N1510" i="4"/>
  <c r="R1510" i="4" s="1"/>
  <c r="N1509" i="4"/>
  <c r="R1509" i="4" s="1"/>
  <c r="N1508" i="4"/>
  <c r="R1508" i="4" s="1"/>
  <c r="N1507" i="4"/>
  <c r="R1507" i="4" s="1"/>
  <c r="N1506" i="4"/>
  <c r="R1506" i="4" s="1"/>
  <c r="N1505" i="4"/>
  <c r="R1505" i="4" s="1"/>
  <c r="N1504" i="4"/>
  <c r="R1504" i="4" s="1"/>
  <c r="N1503" i="4"/>
  <c r="R1503" i="4" s="1"/>
  <c r="N1502" i="4"/>
  <c r="R1502" i="4" s="1"/>
  <c r="N1501" i="4"/>
  <c r="R1501" i="4" s="1"/>
  <c r="N1500" i="4"/>
  <c r="R1500" i="4" s="1"/>
  <c r="N1499" i="4"/>
  <c r="R1499" i="4" s="1"/>
  <c r="N1498" i="4"/>
  <c r="R1498" i="4" s="1"/>
  <c r="N1497" i="4"/>
  <c r="R1497" i="4" s="1"/>
  <c r="N1496" i="4"/>
  <c r="P1496" i="4" s="1"/>
  <c r="N1495" i="4"/>
  <c r="R1495" i="4" s="1"/>
  <c r="N1494" i="4"/>
  <c r="P1494" i="4" s="1"/>
  <c r="N1493" i="4"/>
  <c r="R1493" i="4" s="1"/>
  <c r="R1496" i="4" l="1"/>
  <c r="P1499" i="4"/>
  <c r="R1494" i="4"/>
  <c r="P1506" i="4"/>
  <c r="P1510" i="4"/>
  <c r="P1507" i="4"/>
  <c r="P1502" i="4"/>
  <c r="P1498" i="4"/>
  <c r="P1497" i="4"/>
  <c r="P1505" i="4"/>
  <c r="P1500" i="4"/>
  <c r="P1508" i="4"/>
  <c r="N1513" i="4"/>
  <c r="R1513" i="4" s="1"/>
  <c r="P1495" i="4"/>
  <c r="P1503" i="4"/>
  <c r="P1511" i="4"/>
  <c r="P1493" i="4"/>
  <c r="P1501" i="4"/>
  <c r="P1509" i="4"/>
  <c r="P1504" i="4"/>
  <c r="P1512" i="4"/>
  <c r="B1513" i="4"/>
  <c r="C1513" i="4"/>
  <c r="D1494" i="4"/>
  <c r="H1494" i="4" s="1"/>
  <c r="D1495" i="4"/>
  <c r="H1495" i="4" s="1"/>
  <c r="D1496" i="4"/>
  <c r="F1496" i="4" s="1"/>
  <c r="D1497" i="4"/>
  <c r="F1497" i="4" s="1"/>
  <c r="D1498" i="4"/>
  <c r="F1498" i="4" s="1"/>
  <c r="D1499" i="4"/>
  <c r="H1499" i="4" s="1"/>
  <c r="D1500" i="4"/>
  <c r="F1500" i="4" s="1"/>
  <c r="D1501" i="4"/>
  <c r="H1501" i="4" s="1"/>
  <c r="D1502" i="4"/>
  <c r="H1502" i="4" s="1"/>
  <c r="D1503" i="4"/>
  <c r="H1503" i="4" s="1"/>
  <c r="D1504" i="4"/>
  <c r="F1504" i="4" s="1"/>
  <c r="D1505" i="4"/>
  <c r="F1505" i="4" s="1"/>
  <c r="D1506" i="4"/>
  <c r="H1506" i="4" s="1"/>
  <c r="D1507" i="4"/>
  <c r="H1507" i="4" s="1"/>
  <c r="D1508" i="4"/>
  <c r="H1508" i="4" s="1"/>
  <c r="D1509" i="4"/>
  <c r="H1509" i="4" s="1"/>
  <c r="D1510" i="4"/>
  <c r="H1510" i="4" s="1"/>
  <c r="D1511" i="4"/>
  <c r="H1511" i="4" s="1"/>
  <c r="D1512" i="4"/>
  <c r="F1512" i="4" s="1"/>
  <c r="D1493" i="4"/>
  <c r="F1493" i="4" s="1"/>
  <c r="E1513" i="4"/>
  <c r="G1513" i="4"/>
  <c r="I1513" i="4"/>
  <c r="F1509" i="4" l="1"/>
  <c r="F1494" i="4"/>
  <c r="P1513" i="4"/>
  <c r="H1500" i="4"/>
  <c r="F1501" i="4"/>
  <c r="F1495" i="4"/>
  <c r="F1510" i="4"/>
  <c r="F1508" i="4"/>
  <c r="F1506" i="4"/>
  <c r="F1502" i="4"/>
  <c r="H1498" i="4"/>
  <c r="F1511" i="4"/>
  <c r="F1507" i="4"/>
  <c r="F1503" i="4"/>
  <c r="F1499" i="4"/>
  <c r="H1505" i="4"/>
  <c r="H1504" i="4"/>
  <c r="H1497" i="4"/>
  <c r="H1496" i="4"/>
  <c r="H1512" i="4"/>
  <c r="H1493" i="4"/>
  <c r="D1513" i="4"/>
  <c r="H1513" i="4" s="1"/>
  <c r="F1513" i="4" l="1"/>
  <c r="P1485" i="4" l="1"/>
  <c r="N1485" i="4"/>
  <c r="L1485" i="4"/>
  <c r="K1485" i="4"/>
  <c r="O1484" i="4"/>
  <c r="M1484" i="4"/>
  <c r="O1483" i="4"/>
  <c r="M1483" i="4"/>
  <c r="O1482" i="4"/>
  <c r="M1482" i="4"/>
  <c r="O1481" i="4"/>
  <c r="M1481" i="4"/>
  <c r="O1480" i="4"/>
  <c r="M1480" i="4"/>
  <c r="O1479" i="4"/>
  <c r="M1479" i="4"/>
  <c r="O1478" i="4"/>
  <c r="M1478" i="4"/>
  <c r="O1477" i="4"/>
  <c r="M1477" i="4"/>
  <c r="O1476" i="4"/>
  <c r="M1476" i="4"/>
  <c r="O1475" i="4"/>
  <c r="M1475" i="4"/>
  <c r="O1485" i="4" l="1"/>
  <c r="M1485" i="4"/>
  <c r="G1488" i="4"/>
  <c r="E1488" i="4"/>
  <c r="C1488" i="4"/>
  <c r="B1488" i="4"/>
  <c r="F1487" i="4"/>
  <c r="D1487" i="4"/>
  <c r="F1486" i="4"/>
  <c r="D1486" i="4"/>
  <c r="F1485" i="4"/>
  <c r="D1485" i="4"/>
  <c r="F1484" i="4"/>
  <c r="D1484" i="4"/>
  <c r="F1483" i="4"/>
  <c r="D1483" i="4"/>
  <c r="F1482" i="4"/>
  <c r="D1482" i="4"/>
  <c r="F1481" i="4"/>
  <c r="D1481" i="4"/>
  <c r="F1480" i="4"/>
  <c r="D1480" i="4"/>
  <c r="F1479" i="4"/>
  <c r="D1479" i="4"/>
  <c r="F1478" i="4"/>
  <c r="D1478" i="4"/>
  <c r="F1477" i="4"/>
  <c r="D1477" i="4"/>
  <c r="F1476" i="4"/>
  <c r="D1476" i="4"/>
  <c r="F1475" i="4"/>
  <c r="D1475" i="4"/>
  <c r="D1488" i="4" l="1"/>
  <c r="F1488" i="4"/>
  <c r="P1470" i="4"/>
  <c r="N1470" i="4"/>
  <c r="L1470" i="4"/>
  <c r="K1470" i="4"/>
  <c r="O1469" i="4"/>
  <c r="M1469" i="4"/>
  <c r="O1468" i="4"/>
  <c r="M1468" i="4"/>
  <c r="O1467" i="4"/>
  <c r="M1467" i="4"/>
  <c r="O1466" i="4"/>
  <c r="M1466" i="4"/>
  <c r="O1465" i="4"/>
  <c r="M1465" i="4"/>
  <c r="O1464" i="4"/>
  <c r="M1464" i="4"/>
  <c r="O1463" i="4"/>
  <c r="M1463" i="4"/>
  <c r="O1462" i="4"/>
  <c r="M1462" i="4"/>
  <c r="O1461" i="4"/>
  <c r="M1461" i="4"/>
  <c r="O1460" i="4"/>
  <c r="M1460" i="4"/>
  <c r="O1459" i="4"/>
  <c r="M1459" i="4"/>
  <c r="O1458" i="4"/>
  <c r="M1458" i="4"/>
  <c r="O1457" i="4"/>
  <c r="M1457" i="4"/>
  <c r="O1470" i="4" l="1"/>
  <c r="M1470" i="4"/>
  <c r="G1470" i="4" l="1"/>
  <c r="E1470" i="4"/>
  <c r="C1470" i="4"/>
  <c r="B1470" i="4"/>
  <c r="F1469" i="4"/>
  <c r="D1469" i="4"/>
  <c r="F1468" i="4"/>
  <c r="D1468" i="4"/>
  <c r="F1467" i="4"/>
  <c r="D1467" i="4"/>
  <c r="F1466" i="4"/>
  <c r="D1466" i="4"/>
  <c r="F1465" i="4"/>
  <c r="D1465" i="4"/>
  <c r="F1464" i="4"/>
  <c r="D1464" i="4"/>
  <c r="F1463" i="4"/>
  <c r="D1463" i="4"/>
  <c r="F1462" i="4"/>
  <c r="D1462" i="4"/>
  <c r="F1461" i="4"/>
  <c r="D1461" i="4"/>
  <c r="F1460" i="4"/>
  <c r="D1460" i="4"/>
  <c r="F1459" i="4"/>
  <c r="D1459" i="4"/>
  <c r="F1458" i="4"/>
  <c r="D1458" i="4"/>
  <c r="F1457" i="4"/>
  <c r="D1457" i="4"/>
  <c r="F1470" i="4" l="1"/>
  <c r="D1470" i="4"/>
  <c r="P1452" i="4" l="1"/>
  <c r="N1452" i="4"/>
  <c r="L1452" i="4"/>
  <c r="K1452" i="4"/>
  <c r="O1451" i="4"/>
  <c r="M1451" i="4"/>
  <c r="O1450" i="4"/>
  <c r="M1450" i="4"/>
  <c r="O1449" i="4"/>
  <c r="M1449" i="4"/>
  <c r="O1448" i="4"/>
  <c r="M1448" i="4"/>
  <c r="O1447" i="4"/>
  <c r="M1447" i="4"/>
  <c r="O1446" i="4"/>
  <c r="M1446" i="4"/>
  <c r="O1445" i="4"/>
  <c r="M1445" i="4"/>
  <c r="O1444" i="4"/>
  <c r="M1444" i="4"/>
  <c r="O1443" i="4"/>
  <c r="M1443" i="4"/>
  <c r="O1442" i="4"/>
  <c r="M1442" i="4"/>
  <c r="O1441" i="4"/>
  <c r="M1441" i="4"/>
  <c r="O1440" i="4"/>
  <c r="M1440" i="4"/>
  <c r="O1439" i="4"/>
  <c r="M1439" i="4"/>
  <c r="O1452" i="4" l="1"/>
  <c r="M1452" i="4"/>
  <c r="G1452" i="4" l="1"/>
  <c r="E1452" i="4"/>
  <c r="C1452" i="4"/>
  <c r="B1452" i="4"/>
  <c r="F1451" i="4"/>
  <c r="D1451" i="4"/>
  <c r="F1450" i="4"/>
  <c r="D1450" i="4"/>
  <c r="F1449" i="4"/>
  <c r="D1449" i="4"/>
  <c r="F1448" i="4"/>
  <c r="D1448" i="4"/>
  <c r="F1447" i="4"/>
  <c r="D1447" i="4"/>
  <c r="F1446" i="4"/>
  <c r="D1446" i="4"/>
  <c r="F1445" i="4"/>
  <c r="D1445" i="4"/>
  <c r="F1444" i="4"/>
  <c r="D1444" i="4"/>
  <c r="F1443" i="4"/>
  <c r="D1443" i="4"/>
  <c r="F1442" i="4"/>
  <c r="D1442" i="4"/>
  <c r="F1441" i="4"/>
  <c r="D1441" i="4"/>
  <c r="F1440" i="4"/>
  <c r="D1440" i="4"/>
  <c r="F1439" i="4"/>
  <c r="D1439" i="4"/>
  <c r="F1452" i="4" l="1"/>
  <c r="D1452" i="4"/>
  <c r="O1433" i="4"/>
  <c r="M1433" i="4"/>
  <c r="P1434" i="4"/>
  <c r="N1434" i="4"/>
  <c r="L1434" i="4"/>
  <c r="K1434" i="4"/>
  <c r="O1432" i="4"/>
  <c r="M1432" i="4"/>
  <c r="O1431" i="4"/>
  <c r="M1431" i="4"/>
  <c r="O1430" i="4"/>
  <c r="M1430" i="4"/>
  <c r="O1429" i="4"/>
  <c r="M1429" i="4"/>
  <c r="O1428" i="4"/>
  <c r="M1428" i="4"/>
  <c r="O1427" i="4"/>
  <c r="M1427" i="4"/>
  <c r="O1426" i="4"/>
  <c r="M1426" i="4"/>
  <c r="O1425" i="4"/>
  <c r="M1425" i="4"/>
  <c r="O1424" i="4"/>
  <c r="M1424" i="4"/>
  <c r="O1423" i="4"/>
  <c r="M1423" i="4"/>
  <c r="O1422" i="4"/>
  <c r="M1422" i="4"/>
  <c r="O1421" i="4"/>
  <c r="M1421" i="4"/>
  <c r="M1434" i="4" l="1"/>
  <c r="O1434" i="4"/>
  <c r="G1433" i="4" l="1"/>
  <c r="E1433" i="4"/>
  <c r="C1433" i="4"/>
  <c r="B1433" i="4"/>
  <c r="F1432" i="4"/>
  <c r="D1432" i="4"/>
  <c r="F1431" i="4"/>
  <c r="D1431" i="4"/>
  <c r="F1430" i="4"/>
  <c r="D1430" i="4"/>
  <c r="F1429" i="4"/>
  <c r="D1429" i="4"/>
  <c r="F1428" i="4"/>
  <c r="D1428" i="4"/>
  <c r="F1427" i="4"/>
  <c r="D1427" i="4"/>
  <c r="F1426" i="4"/>
  <c r="D1426" i="4"/>
  <c r="F1425" i="4"/>
  <c r="D1425" i="4"/>
  <c r="F1424" i="4"/>
  <c r="D1424" i="4"/>
  <c r="F1423" i="4"/>
  <c r="D1423" i="4"/>
  <c r="F1422" i="4"/>
  <c r="D1422" i="4"/>
  <c r="F1421" i="4"/>
  <c r="D1421" i="4"/>
  <c r="F1433" i="4" l="1"/>
  <c r="D1433" i="4"/>
  <c r="M1413" i="4" l="1"/>
  <c r="O1413" i="4" s="1"/>
  <c r="K1412" i="4"/>
  <c r="L1412" i="4"/>
  <c r="P1412" i="4"/>
  <c r="N1412" i="4"/>
  <c r="O1411" i="4"/>
  <c r="M1411" i="4"/>
  <c r="O1410" i="4"/>
  <c r="M1410" i="4"/>
  <c r="O1409" i="4"/>
  <c r="M1409" i="4"/>
  <c r="O1408" i="4"/>
  <c r="M1408" i="4"/>
  <c r="O1407" i="4"/>
  <c r="M1407" i="4"/>
  <c r="O1406" i="4"/>
  <c r="M1406" i="4"/>
  <c r="M1405" i="4"/>
  <c r="O1404" i="4"/>
  <c r="M1404" i="4"/>
  <c r="O1403" i="4"/>
  <c r="M1403" i="4"/>
  <c r="O1402" i="4"/>
  <c r="M1402" i="4"/>
  <c r="O1401" i="4"/>
  <c r="M1401" i="4"/>
  <c r="P190" i="4"/>
  <c r="Z304" i="4"/>
  <c r="P111" i="4"/>
  <c r="P17" i="4"/>
  <c r="P225" i="4"/>
  <c r="M1412" i="4" l="1"/>
  <c r="O1405" i="4"/>
  <c r="O1412" i="4"/>
  <c r="T71" i="4"/>
  <c r="AA201" i="4"/>
  <c r="J13" i="4" s="1"/>
  <c r="B1409" i="4"/>
  <c r="F1409" i="4" s="1"/>
  <c r="B1406" i="4"/>
  <c r="D1406" i="4" s="1"/>
  <c r="F1412" i="4"/>
  <c r="D1412" i="4"/>
  <c r="G1414" i="4"/>
  <c r="E1414" i="4"/>
  <c r="C1414" i="4"/>
  <c r="F1413" i="4"/>
  <c r="D1413" i="4"/>
  <c r="F1411" i="4"/>
  <c r="D1411" i="4"/>
  <c r="F1410" i="4"/>
  <c r="D1410" i="4"/>
  <c r="F1408" i="4"/>
  <c r="D1408" i="4"/>
  <c r="F1407" i="4"/>
  <c r="D1407" i="4"/>
  <c r="F1405" i="4"/>
  <c r="D1405" i="4"/>
  <c r="F1404" i="4"/>
  <c r="D1404" i="4"/>
  <c r="F1403" i="4"/>
  <c r="D1403" i="4"/>
  <c r="F1402" i="4"/>
  <c r="D1402" i="4"/>
  <c r="F1401" i="4"/>
  <c r="D1401" i="4"/>
  <c r="F1400" i="4"/>
  <c r="D1400" i="4"/>
  <c r="A303" i="4"/>
  <c r="F303" i="4"/>
  <c r="I302" i="4"/>
  <c r="A302" i="4"/>
  <c r="F302" i="4"/>
  <c r="H303" i="4"/>
  <c r="K303" i="4"/>
  <c r="M303" i="4"/>
  <c r="C303" i="4"/>
  <c r="H302" i="4"/>
  <c r="L302" i="4"/>
  <c r="D303" i="4"/>
  <c r="I303" i="4"/>
  <c r="L303" i="4"/>
  <c r="D302" i="4"/>
  <c r="B303" i="4"/>
  <c r="G303" i="4"/>
  <c r="C302" i="4"/>
  <c r="M302" i="4"/>
  <c r="G302" i="4"/>
  <c r="E302" i="4"/>
  <c r="J302" i="4"/>
  <c r="K302" i="4"/>
  <c r="J303" i="4"/>
  <c r="B302" i="4"/>
  <c r="E303" i="4"/>
  <c r="F1406" i="4" l="1"/>
  <c r="B1414" i="4"/>
  <c r="F1414" i="4" s="1"/>
  <c r="D1409" i="4"/>
  <c r="D1414" i="4" s="1"/>
  <c r="X1395" i="4"/>
  <c r="X1396" i="4"/>
  <c r="X1390" i="4"/>
  <c r="X1391" i="4"/>
  <c r="V1396" i="4"/>
  <c r="V1390" i="4"/>
  <c r="V1391" i="4"/>
  <c r="Y1397" i="4"/>
  <c r="W1397" i="4"/>
  <c r="U1397" i="4"/>
  <c r="T1397" i="4"/>
  <c r="V1395" i="4"/>
  <c r="X1394" i="4"/>
  <c r="V1394" i="4"/>
  <c r="X1393" i="4"/>
  <c r="V1393" i="4"/>
  <c r="X1392" i="4"/>
  <c r="V1392" i="4"/>
  <c r="X1389" i="4"/>
  <c r="V1389" i="4"/>
  <c r="X1388" i="4"/>
  <c r="V1388" i="4"/>
  <c r="X1387" i="4"/>
  <c r="V1387" i="4"/>
  <c r="X1386" i="4"/>
  <c r="V1386" i="4"/>
  <c r="X1385" i="4"/>
  <c r="V1385" i="4"/>
  <c r="X1384" i="4"/>
  <c r="V1384" i="4"/>
  <c r="X1397" i="4" l="1"/>
  <c r="V1397" i="4"/>
  <c r="P1395" i="4"/>
  <c r="N1395" i="4"/>
  <c r="L1395" i="4"/>
  <c r="K1395" i="4"/>
  <c r="O1394" i="4"/>
  <c r="M1394" i="4"/>
  <c r="O1393" i="4"/>
  <c r="M1393" i="4"/>
  <c r="O1392" i="4"/>
  <c r="M1392" i="4"/>
  <c r="O1391" i="4"/>
  <c r="M1391" i="4"/>
  <c r="O1390" i="4"/>
  <c r="M1390" i="4"/>
  <c r="O1389" i="4"/>
  <c r="M1389" i="4"/>
  <c r="O1388" i="4"/>
  <c r="M1388" i="4"/>
  <c r="O1387" i="4"/>
  <c r="M1387" i="4"/>
  <c r="O1386" i="4"/>
  <c r="M1386" i="4"/>
  <c r="O1385" i="4"/>
  <c r="M1385" i="4"/>
  <c r="O1384" i="4"/>
  <c r="M1384" i="4"/>
  <c r="O1395" i="4" l="1"/>
  <c r="M1395" i="4"/>
  <c r="G1396" i="4"/>
  <c r="E1396" i="4"/>
  <c r="C1396" i="4"/>
  <c r="B1396" i="4"/>
  <c r="F1395" i="4"/>
  <c r="D1395" i="4"/>
  <c r="F1394" i="4"/>
  <c r="D1394" i="4"/>
  <c r="F1393" i="4"/>
  <c r="D1393" i="4"/>
  <c r="F1392" i="4"/>
  <c r="D1392" i="4"/>
  <c r="F1391" i="4"/>
  <c r="D1391" i="4"/>
  <c r="F1390" i="4"/>
  <c r="D1390" i="4"/>
  <c r="F1389" i="4"/>
  <c r="D1389" i="4"/>
  <c r="F1388" i="4"/>
  <c r="D1388" i="4"/>
  <c r="F1387" i="4"/>
  <c r="D1387" i="4"/>
  <c r="F1386" i="4"/>
  <c r="D1386" i="4"/>
  <c r="F1385" i="4"/>
  <c r="D1385" i="4"/>
  <c r="F1384" i="4"/>
  <c r="D1384" i="4"/>
  <c r="D1396" i="4" l="1"/>
  <c r="F1396" i="4"/>
  <c r="Y1376" i="4" l="1"/>
  <c r="W1376" i="4"/>
  <c r="U1376" i="4"/>
  <c r="T1376" i="4"/>
  <c r="X1375" i="4"/>
  <c r="V1375" i="4"/>
  <c r="X1374" i="4"/>
  <c r="V1374" i="4"/>
  <c r="X1373" i="4"/>
  <c r="V1373" i="4"/>
  <c r="X1372" i="4"/>
  <c r="V1372" i="4"/>
  <c r="X1371" i="4"/>
  <c r="V1371" i="4"/>
  <c r="X1370" i="4"/>
  <c r="V1370" i="4"/>
  <c r="X1369" i="4"/>
  <c r="V1369" i="4"/>
  <c r="X1368" i="4"/>
  <c r="V1368" i="4"/>
  <c r="X1367" i="4"/>
  <c r="V1367" i="4"/>
  <c r="X1366" i="4"/>
  <c r="V1366" i="4"/>
  <c r="X1365" i="4"/>
  <c r="V1365" i="4"/>
  <c r="X1364" i="4"/>
  <c r="V1364" i="4"/>
  <c r="X1376" i="4" l="1"/>
  <c r="V1376" i="4"/>
  <c r="P1378" i="4"/>
  <c r="N1378" i="4"/>
  <c r="L1378" i="4"/>
  <c r="K1378" i="4"/>
  <c r="O1377" i="4"/>
  <c r="M1377" i="4"/>
  <c r="O1376" i="4"/>
  <c r="M1376" i="4"/>
  <c r="O1375" i="4"/>
  <c r="M1375" i="4"/>
  <c r="O1374" i="4"/>
  <c r="M1374" i="4"/>
  <c r="O1373" i="4"/>
  <c r="M1373" i="4"/>
  <c r="O1372" i="4"/>
  <c r="M1372" i="4"/>
  <c r="O1371" i="4"/>
  <c r="M1371" i="4"/>
  <c r="O1370" i="4"/>
  <c r="M1370" i="4"/>
  <c r="O1369" i="4"/>
  <c r="M1369" i="4"/>
  <c r="O1368" i="4"/>
  <c r="M1368" i="4"/>
  <c r="O1367" i="4"/>
  <c r="M1367" i="4"/>
  <c r="O1366" i="4"/>
  <c r="M1366" i="4"/>
  <c r="O1365" i="4"/>
  <c r="M1365" i="4"/>
  <c r="O1364" i="4"/>
  <c r="M1364" i="4"/>
  <c r="O1378" i="4" l="1"/>
  <c r="M1378" i="4"/>
  <c r="G1376" i="4" l="1"/>
  <c r="E1376" i="4"/>
  <c r="C1376" i="4"/>
  <c r="B1376" i="4"/>
  <c r="F1375" i="4"/>
  <c r="D1375" i="4"/>
  <c r="F1374" i="4"/>
  <c r="D1374" i="4"/>
  <c r="F1373" i="4"/>
  <c r="D1373" i="4"/>
  <c r="F1372" i="4"/>
  <c r="D1372" i="4"/>
  <c r="F1371" i="4"/>
  <c r="D1371" i="4"/>
  <c r="F1370" i="4"/>
  <c r="D1370" i="4"/>
  <c r="F1369" i="4"/>
  <c r="D1369" i="4"/>
  <c r="F1368" i="4"/>
  <c r="D1368" i="4"/>
  <c r="F1367" i="4"/>
  <c r="D1367" i="4"/>
  <c r="F1366" i="4"/>
  <c r="D1366" i="4"/>
  <c r="F1365" i="4"/>
  <c r="D1365" i="4"/>
  <c r="F1364" i="4"/>
  <c r="D1364" i="4"/>
  <c r="F1376" i="4" l="1"/>
  <c r="D1376" i="4"/>
  <c r="B1344" i="4" l="1"/>
  <c r="F1344" i="4" s="1"/>
  <c r="G1347" i="4"/>
  <c r="E1347" i="4"/>
  <c r="C1347" i="4"/>
  <c r="F1346" i="4"/>
  <c r="D1346" i="4"/>
  <c r="F1345" i="4"/>
  <c r="D1345" i="4"/>
  <c r="F1343" i="4"/>
  <c r="D1343" i="4"/>
  <c r="F1342" i="4"/>
  <c r="D1342" i="4"/>
  <c r="F1341" i="4"/>
  <c r="D1341" i="4"/>
  <c r="F1340" i="4"/>
  <c r="D1340" i="4"/>
  <c r="F1339" i="4"/>
  <c r="D1339" i="4"/>
  <c r="F1338" i="4"/>
  <c r="D1338" i="4"/>
  <c r="F1337" i="4"/>
  <c r="D1337" i="4"/>
  <c r="F1336" i="4"/>
  <c r="D1336" i="4"/>
  <c r="F1335" i="4"/>
  <c r="D1335" i="4"/>
  <c r="F1334" i="4"/>
  <c r="D1334" i="4"/>
  <c r="F1333" i="4"/>
  <c r="D1333" i="4"/>
  <c r="F1332" i="4"/>
  <c r="D1332" i="4"/>
  <c r="F1331" i="4"/>
  <c r="D1331" i="4"/>
  <c r="D1344" i="4" l="1"/>
  <c r="D1347" i="4" s="1"/>
  <c r="B1347" i="4"/>
  <c r="F1347" i="4"/>
  <c r="Q1326" i="4"/>
  <c r="O1326" i="4"/>
  <c r="M1326" i="4"/>
  <c r="L1326" i="4"/>
  <c r="P1325" i="4"/>
  <c r="N1325" i="4"/>
  <c r="P1324" i="4"/>
  <c r="N1324" i="4"/>
  <c r="P1323" i="4"/>
  <c r="N1323" i="4"/>
  <c r="P1322" i="4"/>
  <c r="N1322" i="4"/>
  <c r="P1321" i="4"/>
  <c r="N1321" i="4"/>
  <c r="P1320" i="4"/>
  <c r="N1320" i="4"/>
  <c r="P1319" i="4"/>
  <c r="N1319" i="4"/>
  <c r="P1318" i="4"/>
  <c r="N1318" i="4"/>
  <c r="P1317" i="4"/>
  <c r="N1317" i="4"/>
  <c r="P1316" i="4"/>
  <c r="N1316" i="4"/>
  <c r="P1315" i="4"/>
  <c r="N1315" i="4"/>
  <c r="P1314" i="4"/>
  <c r="N1314" i="4"/>
  <c r="P1313" i="4"/>
  <c r="N1313" i="4"/>
  <c r="P1312" i="4"/>
  <c r="N1312" i="4"/>
  <c r="P1311" i="4"/>
  <c r="N1311" i="4"/>
  <c r="P1310" i="4"/>
  <c r="N1310" i="4"/>
  <c r="F4" i="2" l="1"/>
  <c r="N1326" i="4"/>
  <c r="P1326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F1325" i="4"/>
  <c r="F1324" i="4"/>
  <c r="G1326" i="4"/>
  <c r="E1326" i="4"/>
  <c r="C1326" i="4"/>
  <c r="B1326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D1310" i="4"/>
  <c r="D1326" i="4" l="1"/>
  <c r="F1326" i="4"/>
  <c r="Q1305" i="4" l="1"/>
  <c r="O1305" i="4"/>
  <c r="M1305" i="4"/>
  <c r="L1305" i="4"/>
  <c r="P1304" i="4"/>
  <c r="N1304" i="4"/>
  <c r="P1303" i="4"/>
  <c r="N1303" i="4"/>
  <c r="P1302" i="4"/>
  <c r="N1302" i="4"/>
  <c r="P1301" i="4"/>
  <c r="N1301" i="4"/>
  <c r="P1300" i="4"/>
  <c r="N1300" i="4"/>
  <c r="P1299" i="4"/>
  <c r="N1299" i="4"/>
  <c r="P1298" i="4"/>
  <c r="N1298" i="4"/>
  <c r="P1297" i="4"/>
  <c r="N1297" i="4"/>
  <c r="P1296" i="4"/>
  <c r="N1296" i="4"/>
  <c r="P1295" i="4"/>
  <c r="N1295" i="4"/>
  <c r="P1294" i="4"/>
  <c r="N1294" i="4"/>
  <c r="P1293" i="4"/>
  <c r="N1293" i="4"/>
  <c r="P1292" i="4"/>
  <c r="N1292" i="4"/>
  <c r="P1291" i="4"/>
  <c r="N1291" i="4"/>
  <c r="N1305" i="4" l="1"/>
  <c r="P1305" i="4"/>
  <c r="G1305" i="4" l="1"/>
  <c r="E1305" i="4"/>
  <c r="C1305" i="4"/>
  <c r="B1305" i="4"/>
  <c r="F1304" i="4"/>
  <c r="D1304" i="4"/>
  <c r="F1303" i="4"/>
  <c r="D1303" i="4"/>
  <c r="F1302" i="4"/>
  <c r="D1302" i="4"/>
  <c r="F1301" i="4"/>
  <c r="D1301" i="4"/>
  <c r="F1300" i="4"/>
  <c r="D1300" i="4"/>
  <c r="F1299" i="4"/>
  <c r="D1299" i="4"/>
  <c r="F1298" i="4"/>
  <c r="D1298" i="4"/>
  <c r="F1297" i="4"/>
  <c r="D1297" i="4"/>
  <c r="F1296" i="4"/>
  <c r="D1296" i="4"/>
  <c r="F1295" i="4"/>
  <c r="D1295" i="4"/>
  <c r="F1294" i="4"/>
  <c r="D1294" i="4"/>
  <c r="F1293" i="4"/>
  <c r="D1293" i="4"/>
  <c r="F1292" i="4"/>
  <c r="D1292" i="4"/>
  <c r="F1291" i="4"/>
  <c r="D1291" i="4"/>
  <c r="D1305" i="4" l="1"/>
  <c r="F1305" i="4"/>
  <c r="Q1286" i="4" l="1"/>
  <c r="L1286" i="4"/>
  <c r="M1286" i="4"/>
  <c r="P1285" i="4"/>
  <c r="P1284" i="4"/>
  <c r="O1286" i="4"/>
  <c r="N1285" i="4"/>
  <c r="N1284" i="4"/>
  <c r="P1283" i="4"/>
  <c r="N1283" i="4"/>
  <c r="P1282" i="4"/>
  <c r="N1282" i="4"/>
  <c r="P1281" i="4"/>
  <c r="N1281" i="4"/>
  <c r="P1280" i="4"/>
  <c r="N1280" i="4"/>
  <c r="P1279" i="4"/>
  <c r="N1279" i="4"/>
  <c r="P1278" i="4"/>
  <c r="N1278" i="4"/>
  <c r="P1277" i="4"/>
  <c r="N1277" i="4"/>
  <c r="P1276" i="4"/>
  <c r="N1276" i="4"/>
  <c r="P1275" i="4"/>
  <c r="N1275" i="4"/>
  <c r="P1274" i="4"/>
  <c r="N1274" i="4"/>
  <c r="P1273" i="4"/>
  <c r="N1273" i="4"/>
  <c r="P1272" i="4"/>
  <c r="N1272" i="4"/>
  <c r="P1271" i="4"/>
  <c r="N1271" i="4"/>
  <c r="P1270" i="4"/>
  <c r="N1270" i="4"/>
  <c r="N1286" i="4" l="1"/>
  <c r="P1286" i="4"/>
  <c r="F1278" i="4"/>
  <c r="F1277" i="4"/>
  <c r="D1271" i="4"/>
  <c r="C1286" i="4"/>
  <c r="D1272" i="4"/>
  <c r="D1273" i="4"/>
  <c r="D1274" i="4"/>
  <c r="D1275" i="4"/>
  <c r="D1276" i="4"/>
  <c r="D1277" i="4"/>
  <c r="D1279" i="4"/>
  <c r="D1280" i="4"/>
  <c r="D1281" i="4"/>
  <c r="D1282" i="4"/>
  <c r="D1283" i="4"/>
  <c r="D1284" i="4"/>
  <c r="G1286" i="4"/>
  <c r="E1286" i="4"/>
  <c r="B1286" i="4"/>
  <c r="F1284" i="4"/>
  <c r="F1283" i="4"/>
  <c r="F1282" i="4"/>
  <c r="F1281" i="4"/>
  <c r="F1280" i="4"/>
  <c r="F1279" i="4"/>
  <c r="F1276" i="4"/>
  <c r="F1275" i="4"/>
  <c r="F1274" i="4"/>
  <c r="F1273" i="4"/>
  <c r="F1272" i="4"/>
  <c r="F1271" i="4"/>
  <c r="D1278" i="4" l="1"/>
  <c r="D1270" i="4"/>
  <c r="F1270" i="4"/>
  <c r="F1286" i="4" s="1"/>
  <c r="L1254" i="4"/>
  <c r="L1264" i="4" s="1"/>
  <c r="Q1264" i="4"/>
  <c r="O1264" i="4"/>
  <c r="M1264" i="4"/>
  <c r="P1263" i="4"/>
  <c r="N1263" i="4"/>
  <c r="P1262" i="4"/>
  <c r="N1262" i="4"/>
  <c r="P1261" i="4"/>
  <c r="N1261" i="4"/>
  <c r="P1260" i="4"/>
  <c r="N1260" i="4"/>
  <c r="P1259" i="4"/>
  <c r="N1259" i="4"/>
  <c r="P1258" i="4"/>
  <c r="N1258" i="4"/>
  <c r="P1257" i="4"/>
  <c r="N1257" i="4"/>
  <c r="P1256" i="4"/>
  <c r="N1256" i="4"/>
  <c r="P1255" i="4"/>
  <c r="N1255" i="4"/>
  <c r="P1253" i="4"/>
  <c r="N1253" i="4"/>
  <c r="P1252" i="4"/>
  <c r="N1252" i="4"/>
  <c r="P1251" i="4"/>
  <c r="N1251" i="4"/>
  <c r="P1250" i="4"/>
  <c r="N1250" i="4"/>
  <c r="P1249" i="4"/>
  <c r="N1249" i="4"/>
  <c r="D1286" i="4" l="1"/>
  <c r="N1254" i="4"/>
  <c r="N1264" i="4" s="1"/>
  <c r="P1254" i="4"/>
  <c r="P1264" i="4" s="1"/>
  <c r="G1264" i="4"/>
  <c r="E1264" i="4"/>
  <c r="C1264" i="4"/>
  <c r="B1264" i="4"/>
  <c r="F1263" i="4"/>
  <c r="D1263" i="4"/>
  <c r="F1262" i="4"/>
  <c r="D1262" i="4"/>
  <c r="F1261" i="4"/>
  <c r="D1261" i="4"/>
  <c r="F1260" i="4"/>
  <c r="D1260" i="4"/>
  <c r="F1259" i="4"/>
  <c r="D1259" i="4"/>
  <c r="F1258" i="4"/>
  <c r="D1258" i="4"/>
  <c r="F1257" i="4"/>
  <c r="D1257" i="4"/>
  <c r="F1256" i="4"/>
  <c r="D1256" i="4"/>
  <c r="F1255" i="4"/>
  <c r="D1255" i="4"/>
  <c r="F1254" i="4"/>
  <c r="D1254" i="4"/>
  <c r="F1253" i="4"/>
  <c r="D1253" i="4"/>
  <c r="F1252" i="4"/>
  <c r="D1252" i="4"/>
  <c r="F1251" i="4"/>
  <c r="D1251" i="4"/>
  <c r="F1250" i="4"/>
  <c r="D1250" i="4"/>
  <c r="F1249" i="4"/>
  <c r="D1249" i="4"/>
  <c r="D1264" i="4" l="1"/>
  <c r="F1264" i="4"/>
  <c r="Q1239" i="4" l="1"/>
  <c r="O1239" i="4"/>
  <c r="M1239" i="4"/>
  <c r="P1238" i="4"/>
  <c r="N1238" i="4"/>
  <c r="P1237" i="4"/>
  <c r="N1237" i="4"/>
  <c r="N1236" i="4"/>
  <c r="P1236" i="4"/>
  <c r="P1235" i="4"/>
  <c r="N1235" i="4"/>
  <c r="P1234" i="4"/>
  <c r="N1234" i="4"/>
  <c r="P1233" i="4"/>
  <c r="N1233" i="4"/>
  <c r="P1232" i="4"/>
  <c r="N1232" i="4"/>
  <c r="P1231" i="4"/>
  <c r="N1231" i="4"/>
  <c r="P1230" i="4"/>
  <c r="N1230" i="4"/>
  <c r="P1229" i="4"/>
  <c r="N1229" i="4"/>
  <c r="P1228" i="4"/>
  <c r="N1228" i="4"/>
  <c r="P1227" i="4"/>
  <c r="N1227" i="4"/>
  <c r="P1226" i="4"/>
  <c r="N1226" i="4"/>
  <c r="P1225" i="4"/>
  <c r="N1225" i="4"/>
  <c r="P1224" i="4"/>
  <c r="N1224" i="4"/>
  <c r="N1239" i="4" l="1"/>
  <c r="P1239" i="4"/>
  <c r="L1239" i="4"/>
  <c r="B1236" i="4"/>
  <c r="F1236" i="4" s="1"/>
  <c r="B1238" i="4"/>
  <c r="F1238" i="4" s="1"/>
  <c r="G1239" i="4"/>
  <c r="E1239" i="4"/>
  <c r="C1239" i="4"/>
  <c r="F1237" i="4"/>
  <c r="D1237" i="4"/>
  <c r="F1235" i="4"/>
  <c r="D1235" i="4"/>
  <c r="F1234" i="4"/>
  <c r="D1234" i="4"/>
  <c r="F1233" i="4"/>
  <c r="D1233" i="4"/>
  <c r="F1232" i="4"/>
  <c r="D1232" i="4"/>
  <c r="F1231" i="4"/>
  <c r="D1231" i="4"/>
  <c r="F1230" i="4"/>
  <c r="D1230" i="4"/>
  <c r="F1229" i="4"/>
  <c r="D1229" i="4"/>
  <c r="F1228" i="4"/>
  <c r="D1228" i="4"/>
  <c r="F1227" i="4"/>
  <c r="D1227" i="4"/>
  <c r="F1226" i="4"/>
  <c r="D1226" i="4"/>
  <c r="F1225" i="4"/>
  <c r="D1225" i="4"/>
  <c r="F1224" i="4"/>
  <c r="D1224" i="4"/>
  <c r="D1236" i="4" l="1"/>
  <c r="B1239" i="4"/>
  <c r="D1238" i="4"/>
  <c r="F1239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Q1220" i="4"/>
  <c r="O1220" i="4"/>
  <c r="M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P1205" i="4"/>
  <c r="D1219" i="4"/>
  <c r="D1239" i="4" l="1"/>
  <c r="P1220" i="4"/>
  <c r="L1220" i="4"/>
  <c r="N1205" i="4"/>
  <c r="N1220" i="4" s="1"/>
  <c r="B1205" i="4" l="1"/>
  <c r="D1205" i="4" s="1"/>
  <c r="G1220" i="4"/>
  <c r="E1220" i="4"/>
  <c r="C1220" i="4"/>
  <c r="F1218" i="4"/>
  <c r="D1218" i="4"/>
  <c r="F1217" i="4"/>
  <c r="D1217" i="4"/>
  <c r="F1216" i="4"/>
  <c r="D1216" i="4"/>
  <c r="F1215" i="4"/>
  <c r="D1215" i="4"/>
  <c r="F1214" i="4"/>
  <c r="D1214" i="4"/>
  <c r="F1213" i="4"/>
  <c r="D1213" i="4"/>
  <c r="F1212" i="4"/>
  <c r="D1212" i="4"/>
  <c r="F1211" i="4"/>
  <c r="D1211" i="4"/>
  <c r="F1210" i="4"/>
  <c r="D1210" i="4"/>
  <c r="F1209" i="4"/>
  <c r="D1209" i="4"/>
  <c r="F1208" i="4"/>
  <c r="D1208" i="4"/>
  <c r="F1207" i="4"/>
  <c r="D1207" i="4"/>
  <c r="F1206" i="4"/>
  <c r="D1206" i="4"/>
  <c r="F1205" i="4" l="1"/>
  <c r="F1220" i="4" s="1"/>
  <c r="B1220" i="4"/>
  <c r="D1220" i="4"/>
  <c r="A1219" i="4" l="1"/>
  <c r="Q1200" i="4"/>
  <c r="O1200" i="4"/>
  <c r="M1200" i="4"/>
  <c r="L1200" i="4"/>
  <c r="P1199" i="4"/>
  <c r="N1199" i="4"/>
  <c r="P1198" i="4"/>
  <c r="N1198" i="4"/>
  <c r="P1197" i="4"/>
  <c r="N1197" i="4"/>
  <c r="P1196" i="4"/>
  <c r="N1196" i="4"/>
  <c r="P1195" i="4"/>
  <c r="N1195" i="4"/>
  <c r="P1194" i="4"/>
  <c r="N1194" i="4"/>
  <c r="P1193" i="4"/>
  <c r="N1193" i="4"/>
  <c r="P1192" i="4"/>
  <c r="N1192" i="4"/>
  <c r="P1191" i="4"/>
  <c r="N1191" i="4"/>
  <c r="P1190" i="4"/>
  <c r="N1190" i="4"/>
  <c r="P1189" i="4"/>
  <c r="N1189" i="4"/>
  <c r="P1188" i="4"/>
  <c r="N1188" i="4"/>
  <c r="P1187" i="4"/>
  <c r="N1187" i="4"/>
  <c r="P1186" i="4"/>
  <c r="N1186" i="4"/>
  <c r="N1200" i="4" l="1"/>
  <c r="P1200" i="4"/>
  <c r="F1187" i="4" l="1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D1199" i="4"/>
  <c r="E1200" i="4"/>
  <c r="G1200" i="4"/>
  <c r="C1200" i="4"/>
  <c r="B1200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F1186" i="4"/>
  <c r="D1186" i="4"/>
  <c r="F1200" i="4" l="1"/>
  <c r="D1200" i="4"/>
  <c r="Q1181" i="4" l="1"/>
  <c r="O1181" i="4"/>
  <c r="M1181" i="4"/>
  <c r="L1181" i="4"/>
  <c r="P1180" i="4"/>
  <c r="N1180" i="4"/>
  <c r="P1179" i="4"/>
  <c r="N1179" i="4"/>
  <c r="P1178" i="4"/>
  <c r="N1178" i="4"/>
  <c r="P1177" i="4"/>
  <c r="N1177" i="4"/>
  <c r="P1176" i="4"/>
  <c r="N1176" i="4"/>
  <c r="P1175" i="4"/>
  <c r="N1175" i="4"/>
  <c r="P1174" i="4"/>
  <c r="N1174" i="4"/>
  <c r="P1173" i="4"/>
  <c r="N1173" i="4"/>
  <c r="P1172" i="4"/>
  <c r="N1172" i="4"/>
  <c r="P1171" i="4"/>
  <c r="N1171" i="4"/>
  <c r="P1170" i="4"/>
  <c r="N1170" i="4"/>
  <c r="P1169" i="4"/>
  <c r="N1169" i="4"/>
  <c r="P1168" i="4"/>
  <c r="N1168" i="4"/>
  <c r="N1181" i="4" l="1"/>
  <c r="P1181" i="4"/>
  <c r="D1177" i="4"/>
  <c r="F1174" i="4"/>
  <c r="D1173" i="4"/>
  <c r="G1181" i="4"/>
  <c r="E1181" i="4"/>
  <c r="C1181" i="4"/>
  <c r="B1181" i="4"/>
  <c r="F1180" i="4"/>
  <c r="D1180" i="4"/>
  <c r="F1179" i="4"/>
  <c r="D1179" i="4"/>
  <c r="F1178" i="4"/>
  <c r="D1178" i="4"/>
  <c r="F1177" i="4"/>
  <c r="F1176" i="4"/>
  <c r="D1176" i="4"/>
  <c r="F1175" i="4"/>
  <c r="D1175" i="4"/>
  <c r="D1174" i="4"/>
  <c r="F1172" i="4"/>
  <c r="D1172" i="4"/>
  <c r="F1171" i="4"/>
  <c r="D1171" i="4"/>
  <c r="F1170" i="4"/>
  <c r="D1170" i="4"/>
  <c r="F1169" i="4"/>
  <c r="D1169" i="4"/>
  <c r="F1168" i="4"/>
  <c r="D1168" i="4"/>
  <c r="F1173" i="4" l="1"/>
  <c r="F1181" i="4" s="1"/>
  <c r="D1181" i="4"/>
  <c r="Q1162" i="4" l="1"/>
  <c r="O1162" i="4"/>
  <c r="M1162" i="4"/>
  <c r="L1162" i="4"/>
  <c r="P1161" i="4"/>
  <c r="N1161" i="4"/>
  <c r="P1160" i="4"/>
  <c r="N1160" i="4"/>
  <c r="P1159" i="4"/>
  <c r="N1159" i="4"/>
  <c r="P1158" i="4"/>
  <c r="N1158" i="4"/>
  <c r="P1157" i="4"/>
  <c r="N1157" i="4"/>
  <c r="P1156" i="4"/>
  <c r="N1156" i="4"/>
  <c r="P1155" i="4"/>
  <c r="N1155" i="4"/>
  <c r="P1154" i="4"/>
  <c r="N1154" i="4"/>
  <c r="P1153" i="4"/>
  <c r="N1153" i="4"/>
  <c r="P1152" i="4"/>
  <c r="N1152" i="4"/>
  <c r="P1151" i="4"/>
  <c r="N1151" i="4"/>
  <c r="P1150" i="4"/>
  <c r="N1150" i="4"/>
  <c r="P1149" i="4"/>
  <c r="N1149" i="4"/>
  <c r="P1162" i="4" l="1"/>
  <c r="N1162" i="4"/>
  <c r="G1163" i="4" l="1"/>
  <c r="E1163" i="4"/>
  <c r="C1163" i="4"/>
  <c r="B1163" i="4"/>
  <c r="F1162" i="4"/>
  <c r="D1162" i="4"/>
  <c r="F1161" i="4"/>
  <c r="D1161" i="4"/>
  <c r="F1160" i="4"/>
  <c r="F1159" i="4"/>
  <c r="D1159" i="4"/>
  <c r="F1158" i="4"/>
  <c r="D1158" i="4"/>
  <c r="F1157" i="4"/>
  <c r="D1157" i="4"/>
  <c r="F1156" i="4"/>
  <c r="D1156" i="4"/>
  <c r="F1155" i="4"/>
  <c r="D1155" i="4"/>
  <c r="F1154" i="4"/>
  <c r="D1154" i="4"/>
  <c r="F1153" i="4"/>
  <c r="D1153" i="4"/>
  <c r="F1152" i="4"/>
  <c r="D1152" i="4"/>
  <c r="F1151" i="4"/>
  <c r="D1151" i="4"/>
  <c r="F1150" i="4"/>
  <c r="D1150" i="4"/>
  <c r="F1149" i="4"/>
  <c r="D1149" i="4"/>
  <c r="F1163" i="4" l="1"/>
  <c r="D1160" i="4"/>
  <c r="D1163" i="4" s="1"/>
  <c r="L1140" i="4"/>
  <c r="P1140" i="4" s="1"/>
  <c r="Q1143" i="4"/>
  <c r="O1143" i="4"/>
  <c r="M1143" i="4"/>
  <c r="L1143" i="4"/>
  <c r="P1142" i="4"/>
  <c r="N1142" i="4"/>
  <c r="P1141" i="4"/>
  <c r="N1141" i="4"/>
  <c r="P1139" i="4"/>
  <c r="N1139" i="4"/>
  <c r="P1138" i="4"/>
  <c r="N1138" i="4"/>
  <c r="P1137" i="4"/>
  <c r="N1137" i="4"/>
  <c r="P1136" i="4"/>
  <c r="N1136" i="4"/>
  <c r="P1135" i="4"/>
  <c r="N1135" i="4"/>
  <c r="P1134" i="4"/>
  <c r="N1134" i="4"/>
  <c r="P1133" i="4"/>
  <c r="N1133" i="4"/>
  <c r="P1132" i="4"/>
  <c r="N1132" i="4"/>
  <c r="P1131" i="4"/>
  <c r="N1131" i="4"/>
  <c r="P1130" i="4"/>
  <c r="N1130" i="4"/>
  <c r="P1129" i="4"/>
  <c r="N1129" i="4"/>
  <c r="N1140" i="4" l="1"/>
  <c r="N1143" i="4" s="1"/>
  <c r="P1143" i="4"/>
  <c r="G1143" i="4"/>
  <c r="E1143" i="4"/>
  <c r="C1143" i="4"/>
  <c r="B1143" i="4"/>
  <c r="F1142" i="4"/>
  <c r="D1142" i="4"/>
  <c r="F1141" i="4"/>
  <c r="D1141" i="4"/>
  <c r="F1140" i="4"/>
  <c r="D1140" i="4"/>
  <c r="F1139" i="4"/>
  <c r="D1139" i="4"/>
  <c r="F1138" i="4"/>
  <c r="D1138" i="4"/>
  <c r="F1137" i="4"/>
  <c r="D1137" i="4"/>
  <c r="F1136" i="4"/>
  <c r="D1136" i="4"/>
  <c r="F1135" i="4"/>
  <c r="D1135" i="4"/>
  <c r="F1134" i="4"/>
  <c r="D1134" i="4"/>
  <c r="F1133" i="4"/>
  <c r="D1133" i="4"/>
  <c r="F1132" i="4"/>
  <c r="D1132" i="4"/>
  <c r="F1131" i="4"/>
  <c r="D1131" i="4"/>
  <c r="F1130" i="4"/>
  <c r="D1130" i="4"/>
  <c r="F1129" i="4"/>
  <c r="D1129" i="4"/>
  <c r="D1143" i="4" l="1"/>
  <c r="F1143" i="4"/>
  <c r="G1115" i="4" l="1"/>
  <c r="E1115" i="4"/>
  <c r="C1115" i="4"/>
  <c r="B1115" i="4"/>
  <c r="F1114" i="4"/>
  <c r="D1114" i="4"/>
  <c r="F1113" i="4"/>
  <c r="D1113" i="4"/>
  <c r="F1112" i="4"/>
  <c r="D1112" i="4"/>
  <c r="F1111" i="4"/>
  <c r="D1111" i="4"/>
  <c r="F1110" i="4"/>
  <c r="D1110" i="4"/>
  <c r="F1109" i="4"/>
  <c r="D1109" i="4"/>
  <c r="F1108" i="4"/>
  <c r="D1108" i="4"/>
  <c r="F1107" i="4"/>
  <c r="D1107" i="4"/>
  <c r="F1106" i="4"/>
  <c r="D1106" i="4"/>
  <c r="F1105" i="4"/>
  <c r="D1105" i="4"/>
  <c r="D1115" i="4" l="1"/>
  <c r="X1098" i="4"/>
  <c r="V1098" i="4"/>
  <c r="T1098" i="4"/>
  <c r="S1098" i="4"/>
  <c r="W1097" i="4"/>
  <c r="U1097" i="4"/>
  <c r="W1096" i="4"/>
  <c r="U1096" i="4"/>
  <c r="W1095" i="4"/>
  <c r="U1095" i="4"/>
  <c r="W1094" i="4"/>
  <c r="U1094" i="4"/>
  <c r="W1093" i="4"/>
  <c r="U1093" i="4"/>
  <c r="W1092" i="4"/>
  <c r="U1092" i="4"/>
  <c r="W1091" i="4"/>
  <c r="U1091" i="4"/>
  <c r="W1090" i="4"/>
  <c r="U1090" i="4"/>
  <c r="W1089" i="4"/>
  <c r="U1089" i="4"/>
  <c r="W1088" i="4"/>
  <c r="U1088" i="4"/>
  <c r="F1115" i="4" l="1"/>
  <c r="U1098" i="4"/>
  <c r="W1098" i="4"/>
  <c r="P1100" i="4"/>
  <c r="N1100" i="4"/>
  <c r="L1100" i="4"/>
  <c r="K1100" i="4"/>
  <c r="O1099" i="4"/>
  <c r="M1099" i="4"/>
  <c r="O1098" i="4"/>
  <c r="M1098" i="4"/>
  <c r="O1097" i="4"/>
  <c r="M1097" i="4"/>
  <c r="O1096" i="4"/>
  <c r="M1096" i="4"/>
  <c r="O1095" i="4"/>
  <c r="M1095" i="4"/>
  <c r="O1094" i="4"/>
  <c r="M1094" i="4"/>
  <c r="O1093" i="4"/>
  <c r="M1093" i="4"/>
  <c r="O1092" i="4"/>
  <c r="M1092" i="4"/>
  <c r="O1091" i="4"/>
  <c r="M1091" i="4"/>
  <c r="O1090" i="4"/>
  <c r="M1090" i="4"/>
  <c r="O1089" i="4"/>
  <c r="M1089" i="4"/>
  <c r="O1088" i="4"/>
  <c r="M1088" i="4"/>
  <c r="O1100" i="4" l="1"/>
  <c r="M1100" i="4"/>
  <c r="G1100" i="4" l="1"/>
  <c r="E1100" i="4"/>
  <c r="C1100" i="4"/>
  <c r="B1100" i="4"/>
  <c r="F1099" i="4"/>
  <c r="D1099" i="4"/>
  <c r="F1098" i="4"/>
  <c r="D1098" i="4"/>
  <c r="F1097" i="4"/>
  <c r="D1097" i="4"/>
  <c r="F1096" i="4"/>
  <c r="D1096" i="4"/>
  <c r="F1095" i="4"/>
  <c r="D1095" i="4"/>
  <c r="F1094" i="4"/>
  <c r="D1094" i="4"/>
  <c r="F1093" i="4"/>
  <c r="D1093" i="4"/>
  <c r="F1092" i="4"/>
  <c r="D1092" i="4"/>
  <c r="F1091" i="4"/>
  <c r="D1091" i="4"/>
  <c r="F1090" i="4"/>
  <c r="D1090" i="4"/>
  <c r="F1089" i="4"/>
  <c r="D1089" i="4"/>
  <c r="F1088" i="4"/>
  <c r="D1088" i="4"/>
  <c r="D1100" i="4" l="1"/>
  <c r="F1100" i="4"/>
  <c r="X1082" i="4"/>
  <c r="V1082" i="4"/>
  <c r="T1082" i="4"/>
  <c r="W1081" i="4"/>
  <c r="U1081" i="4"/>
  <c r="W1080" i="4"/>
  <c r="U1080" i="4"/>
  <c r="W1079" i="4"/>
  <c r="U1079" i="4"/>
  <c r="W1078" i="4"/>
  <c r="U1078" i="4"/>
  <c r="W1077" i="4"/>
  <c r="U1077" i="4"/>
  <c r="W1076" i="4"/>
  <c r="U1076" i="4"/>
  <c r="W1075" i="4"/>
  <c r="U1075" i="4"/>
  <c r="W1074" i="4"/>
  <c r="U1074" i="4"/>
  <c r="W1073" i="4"/>
  <c r="U1073" i="4"/>
  <c r="W1072" i="4"/>
  <c r="U1072" i="4"/>
  <c r="W1071" i="4"/>
  <c r="W1070" i="4"/>
  <c r="U1070" i="4"/>
  <c r="W1082" i="4" l="1"/>
  <c r="U1071" i="4"/>
  <c r="S1082" i="4"/>
  <c r="U1082" i="4" s="1"/>
  <c r="K1071" i="4" l="1"/>
  <c r="O1071" i="4" s="1"/>
  <c r="P1082" i="4"/>
  <c r="N1082" i="4"/>
  <c r="L1082" i="4"/>
  <c r="O1081" i="4"/>
  <c r="M1081" i="4"/>
  <c r="O1080" i="4"/>
  <c r="M1080" i="4"/>
  <c r="O1079" i="4"/>
  <c r="M1079" i="4"/>
  <c r="O1078" i="4"/>
  <c r="M1078" i="4"/>
  <c r="O1077" i="4"/>
  <c r="M1077" i="4"/>
  <c r="O1076" i="4"/>
  <c r="M1076" i="4"/>
  <c r="O1075" i="4"/>
  <c r="M1075" i="4"/>
  <c r="O1074" i="4"/>
  <c r="M1074" i="4"/>
  <c r="O1073" i="4"/>
  <c r="M1073" i="4"/>
  <c r="O1072" i="4"/>
  <c r="M1072" i="4"/>
  <c r="O1070" i="4"/>
  <c r="M1070" i="4"/>
  <c r="K1082" i="4" l="1"/>
  <c r="M1082" i="4" s="1"/>
  <c r="M1071" i="4"/>
  <c r="O1082" i="4"/>
  <c r="B1072" i="4"/>
  <c r="F1072" i="4" s="1"/>
  <c r="G1082" i="4"/>
  <c r="E1082" i="4"/>
  <c r="C1082" i="4"/>
  <c r="F1081" i="4"/>
  <c r="D1081" i="4"/>
  <c r="F1080" i="4"/>
  <c r="D1080" i="4"/>
  <c r="F1079" i="4"/>
  <c r="D1079" i="4"/>
  <c r="F1078" i="4"/>
  <c r="D1078" i="4"/>
  <c r="F1077" i="4"/>
  <c r="D1077" i="4"/>
  <c r="F1076" i="4"/>
  <c r="D1076" i="4"/>
  <c r="F1075" i="4"/>
  <c r="D1075" i="4"/>
  <c r="F1074" i="4"/>
  <c r="D1074" i="4"/>
  <c r="F1073" i="4"/>
  <c r="D1073" i="4"/>
  <c r="F1071" i="4"/>
  <c r="D1071" i="4"/>
  <c r="F1070" i="4"/>
  <c r="D1070" i="4"/>
  <c r="B1082" i="4" l="1"/>
  <c r="D1082" i="4" s="1"/>
  <c r="D1072" i="4"/>
  <c r="F1082" i="4"/>
  <c r="X1061" i="4" l="1"/>
  <c r="V1061" i="4"/>
  <c r="T1061" i="4"/>
  <c r="S1061" i="4"/>
  <c r="W1060" i="4"/>
  <c r="U1060" i="4"/>
  <c r="W1059" i="4"/>
  <c r="U1059" i="4"/>
  <c r="W1058" i="4"/>
  <c r="U1058" i="4"/>
  <c r="W1057" i="4"/>
  <c r="U1057" i="4"/>
  <c r="W1056" i="4"/>
  <c r="U1056" i="4"/>
  <c r="W1055" i="4"/>
  <c r="U1055" i="4"/>
  <c r="W1054" i="4"/>
  <c r="U1054" i="4"/>
  <c r="W1053" i="4"/>
  <c r="U1053" i="4"/>
  <c r="W1052" i="4"/>
  <c r="U1052" i="4"/>
  <c r="W1051" i="4"/>
  <c r="U1051" i="4"/>
  <c r="W1050" i="4"/>
  <c r="U1050" i="4"/>
  <c r="W1049" i="4"/>
  <c r="U1049" i="4"/>
  <c r="U1061" i="4" l="1"/>
  <c r="W1061" i="4"/>
  <c r="O1056" i="4"/>
  <c r="O1057" i="4"/>
  <c r="O1058" i="4"/>
  <c r="M1055" i="4"/>
  <c r="M1056" i="4"/>
  <c r="M1057" i="4"/>
  <c r="M1058" i="4"/>
  <c r="M1059" i="4"/>
  <c r="M1060" i="4"/>
  <c r="P1061" i="4"/>
  <c r="N1061" i="4"/>
  <c r="L1061" i="4"/>
  <c r="K1061" i="4"/>
  <c r="O1060" i="4"/>
  <c r="O1059" i="4"/>
  <c r="O1055" i="4"/>
  <c r="O1054" i="4"/>
  <c r="M1054" i="4"/>
  <c r="O1053" i="4"/>
  <c r="M1053" i="4"/>
  <c r="O1052" i="4"/>
  <c r="M1052" i="4"/>
  <c r="O1051" i="4"/>
  <c r="M1051" i="4"/>
  <c r="O1050" i="4"/>
  <c r="M1050" i="4"/>
  <c r="O1049" i="4"/>
  <c r="M1049" i="4"/>
  <c r="M1061" i="4" l="1"/>
  <c r="O1061" i="4"/>
  <c r="G1058" i="4" l="1"/>
  <c r="E1058" i="4"/>
  <c r="C1058" i="4"/>
  <c r="B1058" i="4"/>
  <c r="F1057" i="4"/>
  <c r="D1057" i="4"/>
  <c r="F1056" i="4"/>
  <c r="D1056" i="4"/>
  <c r="F1055" i="4"/>
  <c r="D1055" i="4"/>
  <c r="F1054" i="4"/>
  <c r="D1054" i="4"/>
  <c r="F1053" i="4"/>
  <c r="D1053" i="4"/>
  <c r="F1052" i="4"/>
  <c r="D1052" i="4"/>
  <c r="F1051" i="4"/>
  <c r="D1051" i="4"/>
  <c r="F1050" i="4"/>
  <c r="D1050" i="4"/>
  <c r="F1049" i="4"/>
  <c r="D1049" i="4"/>
  <c r="F1058" i="4" l="1"/>
  <c r="D1058" i="4"/>
  <c r="W1028" i="4" l="1"/>
  <c r="W1029" i="4"/>
  <c r="W1030" i="4"/>
  <c r="S1031" i="4"/>
  <c r="T1031" i="4"/>
  <c r="V1031" i="4"/>
  <c r="X1031" i="4"/>
  <c r="U1021" i="4"/>
  <c r="U1022" i="4"/>
  <c r="U1023" i="4"/>
  <c r="U1024" i="4"/>
  <c r="U1025" i="4"/>
  <c r="U1026" i="4"/>
  <c r="U1027" i="4"/>
  <c r="D1021" i="4"/>
  <c r="F1021" i="4"/>
  <c r="M1021" i="4"/>
  <c r="O1021" i="4"/>
  <c r="W1027" i="4"/>
  <c r="W1026" i="4"/>
  <c r="W1025" i="4"/>
  <c r="W1024" i="4"/>
  <c r="W1023" i="4"/>
  <c r="W1022" i="4"/>
  <c r="W1021" i="4"/>
  <c r="W1031" i="4" l="1"/>
  <c r="U1031" i="4"/>
  <c r="P1035" i="4" l="1"/>
  <c r="N1035" i="4"/>
  <c r="L1035" i="4"/>
  <c r="K1035" i="4"/>
  <c r="O1034" i="4"/>
  <c r="M1034" i="4"/>
  <c r="O1033" i="4"/>
  <c r="M1033" i="4"/>
  <c r="O1032" i="4"/>
  <c r="M1032" i="4"/>
  <c r="O1031" i="4"/>
  <c r="M1031" i="4"/>
  <c r="O1030" i="4"/>
  <c r="M1030" i="4"/>
  <c r="O1029" i="4"/>
  <c r="M1029" i="4"/>
  <c r="O1028" i="4"/>
  <c r="M1028" i="4"/>
  <c r="O1027" i="4"/>
  <c r="M1027" i="4"/>
  <c r="O1026" i="4"/>
  <c r="M1026" i="4"/>
  <c r="O1025" i="4"/>
  <c r="M1025" i="4"/>
  <c r="O1024" i="4"/>
  <c r="M1024" i="4"/>
  <c r="O1023" i="4"/>
  <c r="M1023" i="4"/>
  <c r="O1022" i="4"/>
  <c r="M1022" i="4"/>
  <c r="M1035" i="4" l="1"/>
  <c r="O1035" i="4"/>
  <c r="G1035" i="4"/>
  <c r="E1035" i="4"/>
  <c r="C1035" i="4"/>
  <c r="B1035" i="4"/>
  <c r="F1034" i="4"/>
  <c r="D1034" i="4"/>
  <c r="F1033" i="4"/>
  <c r="D1033" i="4"/>
  <c r="F1032" i="4"/>
  <c r="D1032" i="4"/>
  <c r="F1031" i="4"/>
  <c r="D1031" i="4"/>
  <c r="F1030" i="4"/>
  <c r="D1030" i="4"/>
  <c r="F1029" i="4"/>
  <c r="D1029" i="4"/>
  <c r="F1028" i="4"/>
  <c r="D1028" i="4"/>
  <c r="F1027" i="4"/>
  <c r="D1027" i="4"/>
  <c r="F1026" i="4"/>
  <c r="D1026" i="4"/>
  <c r="F1025" i="4"/>
  <c r="D1025" i="4"/>
  <c r="F1024" i="4"/>
  <c r="D1024" i="4"/>
  <c r="F1023" i="4"/>
  <c r="D1023" i="4"/>
  <c r="F1022" i="4"/>
  <c r="D1022" i="4"/>
  <c r="D1035" i="4" l="1"/>
  <c r="F1035" i="4"/>
  <c r="X1015" i="4"/>
  <c r="V1015" i="4"/>
  <c r="T1015" i="4"/>
  <c r="S1015" i="4"/>
  <c r="W1014" i="4"/>
  <c r="U1014" i="4"/>
  <c r="W1013" i="4"/>
  <c r="U1013" i="4"/>
  <c r="W1012" i="4"/>
  <c r="U1012" i="4"/>
  <c r="W1011" i="4"/>
  <c r="U1011" i="4"/>
  <c r="W1010" i="4"/>
  <c r="U1010" i="4"/>
  <c r="W1009" i="4"/>
  <c r="U1009" i="4"/>
  <c r="W1008" i="4"/>
  <c r="U1008" i="4"/>
  <c r="W1007" i="4"/>
  <c r="U1007" i="4"/>
  <c r="W1006" i="4"/>
  <c r="U1006" i="4"/>
  <c r="W1005" i="4"/>
  <c r="U1005" i="4"/>
  <c r="W1004" i="4"/>
  <c r="U1004" i="4"/>
  <c r="W1003" i="4"/>
  <c r="U1003" i="4"/>
  <c r="W1002" i="4"/>
  <c r="U1002" i="4"/>
  <c r="W1001" i="4"/>
  <c r="U1001" i="4"/>
  <c r="U1015" i="4" l="1"/>
  <c r="W1015" i="4"/>
  <c r="P1015" i="4"/>
  <c r="N1015" i="4"/>
  <c r="L1015" i="4"/>
  <c r="K1015" i="4"/>
  <c r="O1014" i="4"/>
  <c r="M1014" i="4"/>
  <c r="O1013" i="4"/>
  <c r="M1013" i="4"/>
  <c r="O1012" i="4"/>
  <c r="M1012" i="4"/>
  <c r="O1011" i="4"/>
  <c r="M1011" i="4"/>
  <c r="O1010" i="4"/>
  <c r="M1010" i="4"/>
  <c r="O1009" i="4"/>
  <c r="M1009" i="4"/>
  <c r="O1008" i="4"/>
  <c r="M1008" i="4"/>
  <c r="O1007" i="4"/>
  <c r="M1007" i="4"/>
  <c r="O1006" i="4"/>
  <c r="M1006" i="4"/>
  <c r="O1005" i="4"/>
  <c r="M1005" i="4"/>
  <c r="O1004" i="4"/>
  <c r="M1004" i="4"/>
  <c r="O1003" i="4"/>
  <c r="M1003" i="4"/>
  <c r="O1002" i="4"/>
  <c r="M1002" i="4"/>
  <c r="O1001" i="4"/>
  <c r="M1001" i="4"/>
  <c r="M1015" i="4" l="1"/>
  <c r="O1015" i="4"/>
  <c r="G1015" i="4"/>
  <c r="E1015" i="4"/>
  <c r="C1015" i="4"/>
  <c r="B1015" i="4"/>
  <c r="F1014" i="4"/>
  <c r="D1014" i="4"/>
  <c r="F1013" i="4"/>
  <c r="D1013" i="4"/>
  <c r="F1012" i="4"/>
  <c r="D1012" i="4"/>
  <c r="F1011" i="4"/>
  <c r="D1011" i="4"/>
  <c r="F1010" i="4"/>
  <c r="D1010" i="4"/>
  <c r="F1009" i="4"/>
  <c r="D1009" i="4"/>
  <c r="F1008" i="4"/>
  <c r="D1008" i="4"/>
  <c r="F1007" i="4"/>
  <c r="D1007" i="4"/>
  <c r="F1006" i="4"/>
  <c r="D1006" i="4"/>
  <c r="F1005" i="4"/>
  <c r="D1005" i="4"/>
  <c r="F1004" i="4"/>
  <c r="D1004" i="4"/>
  <c r="F1003" i="4"/>
  <c r="D1003" i="4"/>
  <c r="F1002" i="4"/>
  <c r="D1002" i="4"/>
  <c r="F1001" i="4"/>
  <c r="D1001" i="4"/>
  <c r="D1015" i="4" l="1"/>
  <c r="F1015" i="4"/>
  <c r="U991" i="4" l="1"/>
  <c r="W991" i="4"/>
  <c r="X995" i="4"/>
  <c r="V995" i="4"/>
  <c r="T995" i="4"/>
  <c r="S995" i="4"/>
  <c r="W994" i="4"/>
  <c r="U994" i="4"/>
  <c r="W993" i="4"/>
  <c r="U993" i="4"/>
  <c r="W992" i="4"/>
  <c r="U992" i="4"/>
  <c r="W990" i="4"/>
  <c r="U990" i="4"/>
  <c r="W989" i="4"/>
  <c r="U989" i="4"/>
  <c r="W988" i="4"/>
  <c r="U988" i="4"/>
  <c r="W987" i="4"/>
  <c r="U987" i="4"/>
  <c r="W986" i="4"/>
  <c r="U986" i="4"/>
  <c r="W985" i="4"/>
  <c r="U985" i="4"/>
  <c r="W984" i="4"/>
  <c r="U984" i="4"/>
  <c r="W983" i="4"/>
  <c r="U983" i="4"/>
  <c r="W982" i="4"/>
  <c r="U982" i="4"/>
  <c r="W981" i="4"/>
  <c r="U981" i="4"/>
  <c r="W995" i="4" l="1"/>
  <c r="U995" i="4"/>
  <c r="L993" i="4" l="1"/>
  <c r="P993" i="4"/>
  <c r="K993" i="4"/>
  <c r="O992" i="4"/>
  <c r="M992" i="4"/>
  <c r="O991" i="4"/>
  <c r="M991" i="4"/>
  <c r="O990" i="4"/>
  <c r="M990" i="4"/>
  <c r="O989" i="4"/>
  <c r="M989" i="4"/>
  <c r="O988" i="4"/>
  <c r="M988" i="4"/>
  <c r="O987" i="4"/>
  <c r="M987" i="4"/>
  <c r="O986" i="4"/>
  <c r="M986" i="4"/>
  <c r="O985" i="4"/>
  <c r="M985" i="4"/>
  <c r="O984" i="4"/>
  <c r="M984" i="4"/>
  <c r="O983" i="4"/>
  <c r="M983" i="4"/>
  <c r="O982" i="4"/>
  <c r="M982" i="4"/>
  <c r="O981" i="4"/>
  <c r="M981" i="4"/>
  <c r="M993" i="4" l="1"/>
  <c r="O993" i="4"/>
  <c r="G993" i="4" l="1"/>
  <c r="D992" i="4"/>
  <c r="F992" i="4"/>
  <c r="B993" i="4"/>
  <c r="E993" i="4"/>
  <c r="C993" i="4"/>
  <c r="F991" i="4"/>
  <c r="D991" i="4"/>
  <c r="F990" i="4"/>
  <c r="D990" i="4"/>
  <c r="F989" i="4"/>
  <c r="D989" i="4"/>
  <c r="F988" i="4"/>
  <c r="D988" i="4"/>
  <c r="F987" i="4"/>
  <c r="D987" i="4"/>
  <c r="F986" i="4"/>
  <c r="D986" i="4"/>
  <c r="F985" i="4"/>
  <c r="D985" i="4"/>
  <c r="F984" i="4"/>
  <c r="D984" i="4"/>
  <c r="F983" i="4"/>
  <c r="D983" i="4"/>
  <c r="F982" i="4"/>
  <c r="D982" i="4"/>
  <c r="F981" i="4"/>
  <c r="D981" i="4"/>
  <c r="D993" i="4" l="1"/>
  <c r="F993" i="4"/>
  <c r="R965" i="4" l="1"/>
  <c r="P971" i="4"/>
  <c r="N971" i="4"/>
  <c r="L971" i="4"/>
  <c r="O970" i="4"/>
  <c r="M970" i="4"/>
  <c r="O969" i="4"/>
  <c r="M969" i="4"/>
  <c r="O968" i="4"/>
  <c r="M968" i="4"/>
  <c r="O967" i="4"/>
  <c r="M967" i="4"/>
  <c r="O966" i="4"/>
  <c r="M966" i="4"/>
  <c r="O965" i="4"/>
  <c r="M965" i="4"/>
  <c r="O964" i="4"/>
  <c r="M964" i="4"/>
  <c r="O963" i="4"/>
  <c r="M963" i="4"/>
  <c r="O962" i="4"/>
  <c r="M962" i="4"/>
  <c r="O961" i="4"/>
  <c r="M961" i="4"/>
  <c r="O960" i="4"/>
  <c r="M960" i="4"/>
  <c r="O959" i="4"/>
  <c r="K971" i="4"/>
  <c r="O958" i="4"/>
  <c r="M958" i="4"/>
  <c r="O971" i="4" l="1"/>
  <c r="M959" i="4"/>
  <c r="M971" i="4" s="1"/>
  <c r="B959" i="4"/>
  <c r="F959" i="4" s="1"/>
  <c r="G971" i="4"/>
  <c r="E971" i="4"/>
  <c r="C971" i="4"/>
  <c r="F970" i="4"/>
  <c r="D970" i="4"/>
  <c r="F969" i="4"/>
  <c r="D969" i="4"/>
  <c r="F968" i="4"/>
  <c r="D968" i="4"/>
  <c r="F967" i="4"/>
  <c r="D967" i="4"/>
  <c r="F966" i="4"/>
  <c r="D966" i="4"/>
  <c r="F965" i="4"/>
  <c r="D965" i="4"/>
  <c r="F964" i="4"/>
  <c r="D964" i="4"/>
  <c r="F963" i="4"/>
  <c r="D963" i="4"/>
  <c r="F962" i="4"/>
  <c r="D962" i="4"/>
  <c r="F961" i="4"/>
  <c r="D961" i="4"/>
  <c r="F960" i="4"/>
  <c r="D960" i="4"/>
  <c r="F958" i="4"/>
  <c r="D958" i="4"/>
  <c r="D959" i="4" l="1"/>
  <c r="D971" i="4" s="1"/>
  <c r="B971" i="4"/>
  <c r="F971" i="4"/>
  <c r="Y952" i="4" l="1"/>
  <c r="W952" i="4"/>
  <c r="U952" i="4"/>
  <c r="T952" i="4"/>
  <c r="X951" i="4"/>
  <c r="V951" i="4"/>
  <c r="X950" i="4"/>
  <c r="V950" i="4"/>
  <c r="X949" i="4"/>
  <c r="V949" i="4"/>
  <c r="X948" i="4"/>
  <c r="V948" i="4"/>
  <c r="X947" i="4"/>
  <c r="V947" i="4"/>
  <c r="X946" i="4"/>
  <c r="V946" i="4"/>
  <c r="X945" i="4"/>
  <c r="V945" i="4"/>
  <c r="X944" i="4"/>
  <c r="V944" i="4"/>
  <c r="X943" i="4"/>
  <c r="V943" i="4"/>
  <c r="X942" i="4"/>
  <c r="V942" i="4"/>
  <c r="X941" i="4"/>
  <c r="V941" i="4"/>
  <c r="X940" i="4"/>
  <c r="V940" i="4"/>
  <c r="X939" i="4"/>
  <c r="V939" i="4"/>
  <c r="G4" i="2" l="1"/>
  <c r="V952" i="4"/>
  <c r="X952" i="4"/>
  <c r="P952" i="4"/>
  <c r="N952" i="4"/>
  <c r="L952" i="4"/>
  <c r="K952" i="4"/>
  <c r="O951" i="4"/>
  <c r="M951" i="4"/>
  <c r="O950" i="4"/>
  <c r="M950" i="4"/>
  <c r="O949" i="4"/>
  <c r="M949" i="4"/>
  <c r="O948" i="4"/>
  <c r="M948" i="4"/>
  <c r="O947" i="4"/>
  <c r="M947" i="4"/>
  <c r="O946" i="4"/>
  <c r="M946" i="4"/>
  <c r="O945" i="4"/>
  <c r="M945" i="4"/>
  <c r="O944" i="4"/>
  <c r="M944" i="4"/>
  <c r="O943" i="4"/>
  <c r="M943" i="4"/>
  <c r="O942" i="4"/>
  <c r="M942" i="4"/>
  <c r="O941" i="4"/>
  <c r="M941" i="4"/>
  <c r="O940" i="4"/>
  <c r="M940" i="4"/>
  <c r="O939" i="4"/>
  <c r="M939" i="4"/>
  <c r="T19" i="1" l="1"/>
  <c r="S3" i="1" s="1"/>
  <c r="M952" i="4"/>
  <c r="O952" i="4"/>
  <c r="G952" i="4"/>
  <c r="E952" i="4"/>
  <c r="C952" i="4"/>
  <c r="B952" i="4"/>
  <c r="F951" i="4"/>
  <c r="D951" i="4"/>
  <c r="F950" i="4"/>
  <c r="D950" i="4"/>
  <c r="F949" i="4"/>
  <c r="D949" i="4"/>
  <c r="F948" i="4"/>
  <c r="D948" i="4"/>
  <c r="F947" i="4"/>
  <c r="D947" i="4"/>
  <c r="F946" i="4"/>
  <c r="D946" i="4"/>
  <c r="F945" i="4"/>
  <c r="D945" i="4"/>
  <c r="F944" i="4"/>
  <c r="D944" i="4"/>
  <c r="F943" i="4"/>
  <c r="D943" i="4"/>
  <c r="F942" i="4"/>
  <c r="D942" i="4"/>
  <c r="F941" i="4"/>
  <c r="D941" i="4"/>
  <c r="F940" i="4"/>
  <c r="D940" i="4"/>
  <c r="F939" i="4"/>
  <c r="D939" i="4"/>
  <c r="U3" i="1" l="1"/>
  <c r="V3" i="1" s="1"/>
  <c r="R3" i="1"/>
  <c r="Q3" i="1" s="1"/>
  <c r="S19" i="1"/>
  <c r="F952" i="4"/>
  <c r="D952" i="4"/>
  <c r="N27" i="1" l="1"/>
  <c r="R27" i="1" s="1"/>
  <c r="N28" i="1"/>
  <c r="R28" i="1" s="1"/>
  <c r="N29" i="1"/>
  <c r="R29" i="1" s="1"/>
  <c r="R257" i="1"/>
  <c r="R256" i="1"/>
  <c r="R255" i="1"/>
  <c r="R259" i="1"/>
  <c r="R258" i="1"/>
  <c r="R254" i="1"/>
  <c r="R253" i="1"/>
  <c r="R266" i="1"/>
  <c r="R260" i="1"/>
  <c r="R252" i="1"/>
  <c r="R265" i="1"/>
  <c r="R264" i="1"/>
  <c r="R267" i="1"/>
  <c r="R268" i="1"/>
  <c r="R269" i="1"/>
  <c r="R49" i="1"/>
  <c r="R44" i="1"/>
  <c r="R179" i="1"/>
  <c r="R186" i="1"/>
  <c r="R196" i="1"/>
  <c r="N30" i="1"/>
  <c r="R30" i="1" s="1"/>
  <c r="N35" i="1"/>
  <c r="R35" i="1" s="1"/>
  <c r="R226" i="1"/>
  <c r="R42" i="1"/>
  <c r="N34" i="1"/>
  <c r="R34" i="1" s="1"/>
  <c r="R65" i="1"/>
  <c r="R51" i="1"/>
  <c r="N32" i="1"/>
  <c r="R32" i="1" s="1"/>
  <c r="R63" i="1"/>
  <c r="R71" i="1"/>
  <c r="R59" i="1"/>
  <c r="R84" i="1"/>
  <c r="R82" i="1"/>
  <c r="R80" i="1"/>
  <c r="R113" i="1"/>
  <c r="R109" i="1"/>
  <c r="R111" i="1"/>
  <c r="R98" i="1"/>
  <c r="R125" i="1"/>
  <c r="R127" i="1"/>
  <c r="R129" i="1"/>
  <c r="R151" i="1"/>
  <c r="R138" i="1"/>
  <c r="R166" i="1"/>
  <c r="R134" i="1"/>
  <c r="R170" i="1"/>
  <c r="R130" i="1"/>
  <c r="R158" i="1"/>
  <c r="R168" i="1"/>
  <c r="R184" i="1"/>
  <c r="N21" i="1"/>
  <c r="N24" i="1"/>
  <c r="R24" i="1" s="1"/>
  <c r="R54" i="1"/>
  <c r="R53" i="1"/>
  <c r="R73" i="1"/>
  <c r="R90" i="1"/>
  <c r="R93" i="1"/>
  <c r="R108" i="1"/>
  <c r="R102" i="1"/>
  <c r="R124" i="1"/>
  <c r="R120" i="1"/>
  <c r="R140" i="1"/>
  <c r="R147" i="1"/>
  <c r="R160" i="1"/>
  <c r="R155" i="1"/>
  <c r="R189" i="1"/>
  <c r="R174" i="1"/>
  <c r="R195" i="1"/>
  <c r="R225" i="1"/>
  <c r="R230" i="1"/>
  <c r="R210" i="1"/>
  <c r="R205" i="1"/>
  <c r="N31" i="1"/>
  <c r="R31" i="1" s="1"/>
  <c r="N19" i="1"/>
  <c r="R19" i="1" s="1"/>
  <c r="R43" i="1"/>
  <c r="R70" i="1"/>
  <c r="R72" i="1"/>
  <c r="R86" i="1"/>
  <c r="R92" i="1"/>
  <c r="R114" i="1"/>
  <c r="R99" i="1"/>
  <c r="R123" i="1"/>
  <c r="R128" i="1"/>
  <c r="R150" i="1"/>
  <c r="R135" i="1"/>
  <c r="R159" i="1"/>
  <c r="R154" i="1"/>
  <c r="R178" i="1"/>
  <c r="R200" i="1"/>
  <c r="R222" i="1"/>
  <c r="R217" i="1"/>
  <c r="R241" i="1"/>
  <c r="R209" i="1"/>
  <c r="N20" i="1"/>
  <c r="R20" i="1" s="1"/>
  <c r="R50" i="1"/>
  <c r="R52" i="1"/>
  <c r="R69" i="1"/>
  <c r="R62" i="1"/>
  <c r="R85" i="1"/>
  <c r="R79" i="1"/>
  <c r="R107" i="1"/>
  <c r="R100" i="1"/>
  <c r="R122" i="1"/>
  <c r="R117" i="1"/>
  <c r="R139" i="1"/>
  <c r="R137" i="1"/>
  <c r="R169" i="1"/>
  <c r="R185" i="1"/>
  <c r="R188" i="1"/>
  <c r="R199" i="1"/>
  <c r="R221" i="1"/>
  <c r="R224" i="1"/>
  <c r="R206" i="1"/>
  <c r="R220" i="1"/>
  <c r="R208" i="1"/>
  <c r="N23" i="1"/>
  <c r="R23" i="1" s="1"/>
  <c r="N26" i="1"/>
  <c r="R26" i="1" s="1"/>
  <c r="R46" i="1"/>
  <c r="R40" i="1"/>
  <c r="R75" i="1"/>
  <c r="R58" i="1"/>
  <c r="R95" i="1"/>
  <c r="R81" i="1"/>
  <c r="R104" i="1"/>
  <c r="R110" i="1"/>
  <c r="R121" i="1"/>
  <c r="R146" i="1"/>
  <c r="R149" i="1"/>
  <c r="R165" i="1"/>
  <c r="R156" i="1"/>
  <c r="R181" i="1"/>
  <c r="R177" i="1"/>
  <c r="R194" i="1"/>
  <c r="R219" i="1"/>
  <c r="R223" i="1"/>
  <c r="R231" i="1"/>
  <c r="R207" i="1"/>
  <c r="R198" i="1"/>
  <c r="R232" i="1"/>
  <c r="N33" i="1"/>
  <c r="R33" i="1" s="1"/>
  <c r="N36" i="1"/>
  <c r="R36" i="1" s="1"/>
  <c r="R45" i="1"/>
  <c r="R39" i="1"/>
  <c r="R74" i="1"/>
  <c r="R60" i="1"/>
  <c r="R83" i="1"/>
  <c r="R91" i="1"/>
  <c r="R103" i="1"/>
  <c r="R101" i="1"/>
  <c r="R119" i="1"/>
  <c r="R142" i="1"/>
  <c r="R148" i="1"/>
  <c r="R171" i="1"/>
  <c r="R167" i="1"/>
  <c r="R180" i="1"/>
  <c r="R176" i="1"/>
  <c r="R197" i="1"/>
  <c r="R227" i="1"/>
  <c r="R216" i="1"/>
  <c r="R131" i="1"/>
  <c r="R213" i="1"/>
  <c r="R187" i="1"/>
  <c r="R214" i="1"/>
  <c r="N22" i="1"/>
  <c r="N25" i="1"/>
  <c r="R25" i="1" s="1"/>
  <c r="R55" i="1"/>
  <c r="R41" i="1"/>
  <c r="R64" i="1"/>
  <c r="R61" i="1"/>
  <c r="R94" i="1"/>
  <c r="R78" i="1"/>
  <c r="R112" i="1"/>
  <c r="R126" i="1"/>
  <c r="R118" i="1"/>
  <c r="R141" i="1"/>
  <c r="R136" i="1"/>
  <c r="R161" i="1"/>
  <c r="R157" i="1"/>
  <c r="R190" i="1"/>
  <c r="R175" i="1"/>
  <c r="R193" i="1"/>
  <c r="R218" i="1"/>
  <c r="R215" i="1"/>
  <c r="R201" i="1"/>
  <c r="Y931" i="4"/>
  <c r="W931" i="4"/>
  <c r="U931" i="4"/>
  <c r="T931" i="4"/>
  <c r="X930" i="4"/>
  <c r="V930" i="4"/>
  <c r="X929" i="4"/>
  <c r="V929" i="4"/>
  <c r="X928" i="4"/>
  <c r="V928" i="4"/>
  <c r="X927" i="4"/>
  <c r="V927" i="4"/>
  <c r="X926" i="4"/>
  <c r="V926" i="4"/>
  <c r="X925" i="4"/>
  <c r="V925" i="4"/>
  <c r="X924" i="4"/>
  <c r="V924" i="4"/>
  <c r="X923" i="4"/>
  <c r="V923" i="4"/>
  <c r="X922" i="4"/>
  <c r="V922" i="4"/>
  <c r="X921" i="4"/>
  <c r="V921" i="4"/>
  <c r="X920" i="4"/>
  <c r="V920" i="4"/>
  <c r="X919" i="4"/>
  <c r="V919" i="4"/>
  <c r="T227" i="1" l="1"/>
  <c r="N13" i="1" s="1"/>
  <c r="T171" i="1"/>
  <c r="N10" i="1" s="1"/>
  <c r="T131" i="1"/>
  <c r="N8" i="1" s="1"/>
  <c r="S114" i="1"/>
  <c r="T114" i="1"/>
  <c r="N7" i="1" s="1"/>
  <c r="T210" i="1"/>
  <c r="N12" i="1" s="1"/>
  <c r="T190" i="1"/>
  <c r="N11" i="1" s="1"/>
  <c r="T151" i="1"/>
  <c r="N9" i="1" s="1"/>
  <c r="T95" i="1"/>
  <c r="N6" i="1" s="1"/>
  <c r="T75" i="1"/>
  <c r="N5" i="1" s="1"/>
  <c r="T55" i="1"/>
  <c r="N4" i="1" s="1"/>
  <c r="S151" i="1"/>
  <c r="R21" i="1"/>
  <c r="R22" i="1"/>
  <c r="S131" i="1"/>
  <c r="T269" i="1"/>
  <c r="N15" i="1" s="1"/>
  <c r="S269" i="1"/>
  <c r="S55" i="1"/>
  <c r="S75" i="1"/>
  <c r="S95" i="1"/>
  <c r="S171" i="1"/>
  <c r="S227" i="1"/>
  <c r="S210" i="1"/>
  <c r="S190" i="1"/>
  <c r="V931" i="4"/>
  <c r="X931" i="4"/>
  <c r="T36" i="1" l="1"/>
  <c r="N3" i="1" s="1"/>
  <c r="S36" i="1"/>
  <c r="U269" i="1"/>
  <c r="U131" i="1"/>
  <c r="M8" i="1" s="1"/>
  <c r="U95" i="1"/>
  <c r="M6" i="1" s="1"/>
  <c r="U190" i="1"/>
  <c r="M11" i="1" s="1"/>
  <c r="U151" i="1"/>
  <c r="M9" i="1" s="1"/>
  <c r="U227" i="1"/>
  <c r="M13" i="1" s="1"/>
  <c r="U55" i="1"/>
  <c r="M4" i="1" s="1"/>
  <c r="U75" i="1"/>
  <c r="M5" i="1" s="1"/>
  <c r="U210" i="1"/>
  <c r="M12" i="1" s="1"/>
  <c r="U171" i="1"/>
  <c r="M10" i="1" s="1"/>
  <c r="U114" i="1"/>
  <c r="M7" i="1" s="1"/>
  <c r="P932" i="4"/>
  <c r="N932" i="4"/>
  <c r="L932" i="4"/>
  <c r="K932" i="4"/>
  <c r="O931" i="4"/>
  <c r="M931" i="4"/>
  <c r="O930" i="4"/>
  <c r="M930" i="4"/>
  <c r="O929" i="4"/>
  <c r="M929" i="4"/>
  <c r="O928" i="4"/>
  <c r="M928" i="4"/>
  <c r="O927" i="4"/>
  <c r="M927" i="4"/>
  <c r="O926" i="4"/>
  <c r="M926" i="4"/>
  <c r="O925" i="4"/>
  <c r="M925" i="4"/>
  <c r="O924" i="4"/>
  <c r="M924" i="4"/>
  <c r="O923" i="4"/>
  <c r="M923" i="4"/>
  <c r="O922" i="4"/>
  <c r="M922" i="4"/>
  <c r="O921" i="4"/>
  <c r="M921" i="4"/>
  <c r="O920" i="4"/>
  <c r="M920" i="4"/>
  <c r="O919" i="4"/>
  <c r="M919" i="4"/>
  <c r="U36" i="1" l="1"/>
  <c r="M3" i="1" s="1"/>
  <c r="M932" i="4"/>
  <c r="O932" i="4"/>
  <c r="G926" i="4" l="1"/>
  <c r="E926" i="4"/>
  <c r="C926" i="4"/>
  <c r="B926" i="4"/>
  <c r="F925" i="4"/>
  <c r="D925" i="4"/>
  <c r="F924" i="4"/>
  <c r="D924" i="4"/>
  <c r="F923" i="4"/>
  <c r="D923" i="4"/>
  <c r="F922" i="4"/>
  <c r="D922" i="4"/>
  <c r="F921" i="4"/>
  <c r="D921" i="4"/>
  <c r="F920" i="4"/>
  <c r="D920" i="4"/>
  <c r="F919" i="4"/>
  <c r="D919" i="4"/>
  <c r="F926" i="4" l="1"/>
  <c r="D926" i="4"/>
  <c r="T901" i="4" l="1"/>
  <c r="X901" i="4" s="1"/>
  <c r="Y908" i="4"/>
  <c r="W908" i="4"/>
  <c r="U908" i="4"/>
  <c r="X907" i="4"/>
  <c r="V907" i="4"/>
  <c r="X906" i="4"/>
  <c r="V906" i="4"/>
  <c r="X905" i="4"/>
  <c r="V905" i="4"/>
  <c r="X904" i="4"/>
  <c r="V904" i="4"/>
  <c r="X903" i="4"/>
  <c r="V903" i="4"/>
  <c r="X902" i="4"/>
  <c r="V902" i="4"/>
  <c r="X900" i="4"/>
  <c r="V900" i="4"/>
  <c r="X899" i="4"/>
  <c r="V899" i="4"/>
  <c r="X898" i="4"/>
  <c r="V898" i="4"/>
  <c r="X897" i="4"/>
  <c r="V897" i="4"/>
  <c r="X896" i="4"/>
  <c r="V896" i="4"/>
  <c r="X895" i="4"/>
  <c r="V895" i="4"/>
  <c r="X894" i="4"/>
  <c r="V894" i="4"/>
  <c r="X893" i="4"/>
  <c r="V893" i="4"/>
  <c r="X892" i="4"/>
  <c r="V892" i="4"/>
  <c r="V901" i="4" l="1"/>
  <c r="V908" i="4" s="1"/>
  <c r="T908" i="4"/>
  <c r="X908" i="4"/>
  <c r="P908" i="4" l="1"/>
  <c r="N908" i="4"/>
  <c r="L908" i="4"/>
  <c r="K908" i="4"/>
  <c r="O907" i="4"/>
  <c r="M907" i="4"/>
  <c r="O906" i="4"/>
  <c r="M906" i="4"/>
  <c r="O905" i="4"/>
  <c r="M905" i="4"/>
  <c r="O904" i="4"/>
  <c r="M904" i="4"/>
  <c r="O903" i="4"/>
  <c r="M903" i="4"/>
  <c r="O902" i="4"/>
  <c r="M902" i="4"/>
  <c r="O901" i="4"/>
  <c r="M901" i="4"/>
  <c r="O900" i="4"/>
  <c r="M900" i="4"/>
  <c r="O899" i="4"/>
  <c r="M899" i="4"/>
  <c r="O898" i="4"/>
  <c r="M898" i="4"/>
  <c r="O897" i="4"/>
  <c r="M897" i="4"/>
  <c r="O896" i="4"/>
  <c r="M896" i="4"/>
  <c r="O895" i="4"/>
  <c r="M895" i="4"/>
  <c r="O894" i="4"/>
  <c r="M894" i="4"/>
  <c r="O893" i="4"/>
  <c r="M893" i="4"/>
  <c r="O892" i="4"/>
  <c r="M892" i="4"/>
  <c r="M908" i="4" l="1"/>
  <c r="O908" i="4"/>
  <c r="D892" i="4" l="1"/>
  <c r="F892" i="4"/>
  <c r="D893" i="4"/>
  <c r="F893" i="4"/>
  <c r="D894" i="4"/>
  <c r="F894" i="4"/>
  <c r="D895" i="4"/>
  <c r="F895" i="4"/>
  <c r="D896" i="4"/>
  <c r="F896" i="4"/>
  <c r="D897" i="4"/>
  <c r="F897" i="4"/>
  <c r="D898" i="4"/>
  <c r="F898" i="4"/>
  <c r="D899" i="4"/>
  <c r="F899" i="4"/>
  <c r="D900" i="4"/>
  <c r="F900" i="4"/>
  <c r="D901" i="4"/>
  <c r="F901" i="4"/>
  <c r="D902" i="4"/>
  <c r="F902" i="4"/>
  <c r="D903" i="4"/>
  <c r="F903" i="4"/>
  <c r="D904" i="4"/>
  <c r="F904" i="4"/>
  <c r="D905" i="4"/>
  <c r="F905" i="4"/>
  <c r="D906" i="4"/>
  <c r="F906" i="4"/>
  <c r="D907" i="4"/>
  <c r="F907" i="4"/>
  <c r="G908" i="4"/>
  <c r="E908" i="4"/>
  <c r="C908" i="4"/>
  <c r="B908" i="4"/>
  <c r="D908" i="4" l="1"/>
  <c r="F908" i="4"/>
  <c r="Y887" i="4" l="1"/>
  <c r="W887" i="4"/>
  <c r="U887" i="4"/>
  <c r="T887" i="4"/>
  <c r="X886" i="4"/>
  <c r="V886" i="4"/>
  <c r="X885" i="4"/>
  <c r="V885" i="4"/>
  <c r="X884" i="4"/>
  <c r="V884" i="4"/>
  <c r="X883" i="4"/>
  <c r="V883" i="4"/>
  <c r="X882" i="4"/>
  <c r="V882" i="4"/>
  <c r="X881" i="4"/>
  <c r="V881" i="4"/>
  <c r="X880" i="4"/>
  <c r="V880" i="4"/>
  <c r="X879" i="4"/>
  <c r="V879" i="4"/>
  <c r="X878" i="4"/>
  <c r="V878" i="4"/>
  <c r="X877" i="4"/>
  <c r="V877" i="4"/>
  <c r="X876" i="4"/>
  <c r="V876" i="4"/>
  <c r="X875" i="4"/>
  <c r="V875" i="4"/>
  <c r="X874" i="4"/>
  <c r="V874" i="4"/>
  <c r="X873" i="4"/>
  <c r="V873" i="4"/>
  <c r="X872" i="4"/>
  <c r="V872" i="4"/>
  <c r="X871" i="4"/>
  <c r="V871" i="4"/>
  <c r="V887" i="4" l="1"/>
  <c r="X887" i="4"/>
  <c r="P887" i="4" l="1"/>
  <c r="N887" i="4"/>
  <c r="L887" i="4"/>
  <c r="K887" i="4"/>
  <c r="O886" i="4"/>
  <c r="M886" i="4"/>
  <c r="O885" i="4"/>
  <c r="M885" i="4"/>
  <c r="O884" i="4"/>
  <c r="M884" i="4"/>
  <c r="O883" i="4"/>
  <c r="M883" i="4"/>
  <c r="O882" i="4"/>
  <c r="M882" i="4"/>
  <c r="O881" i="4"/>
  <c r="M881" i="4"/>
  <c r="O880" i="4"/>
  <c r="M880" i="4"/>
  <c r="O879" i="4"/>
  <c r="M879" i="4"/>
  <c r="O878" i="4"/>
  <c r="M878" i="4"/>
  <c r="O877" i="4"/>
  <c r="M877" i="4"/>
  <c r="O876" i="4"/>
  <c r="M876" i="4"/>
  <c r="O875" i="4"/>
  <c r="M875" i="4"/>
  <c r="O874" i="4"/>
  <c r="M874" i="4"/>
  <c r="O873" i="4"/>
  <c r="M873" i="4"/>
  <c r="O872" i="4"/>
  <c r="M872" i="4"/>
  <c r="O871" i="4"/>
  <c r="M871" i="4"/>
  <c r="M887" i="4" l="1"/>
  <c r="O887" i="4"/>
  <c r="G887" i="4"/>
  <c r="E887" i="4"/>
  <c r="C887" i="4"/>
  <c r="B887" i="4"/>
  <c r="F886" i="4"/>
  <c r="D886" i="4"/>
  <c r="F885" i="4"/>
  <c r="D885" i="4"/>
  <c r="F884" i="4"/>
  <c r="D884" i="4"/>
  <c r="F883" i="4"/>
  <c r="D883" i="4"/>
  <c r="F882" i="4"/>
  <c r="D882" i="4"/>
  <c r="F881" i="4"/>
  <c r="D881" i="4"/>
  <c r="F880" i="4"/>
  <c r="D880" i="4"/>
  <c r="F879" i="4"/>
  <c r="D879" i="4"/>
  <c r="F878" i="4"/>
  <c r="D878" i="4"/>
  <c r="F877" i="4"/>
  <c r="D877" i="4"/>
  <c r="F876" i="4"/>
  <c r="D876" i="4"/>
  <c r="F875" i="4"/>
  <c r="D875" i="4"/>
  <c r="F874" i="4"/>
  <c r="D874" i="4"/>
  <c r="F873" i="4"/>
  <c r="D873" i="4"/>
  <c r="F872" i="4"/>
  <c r="D872" i="4"/>
  <c r="F871" i="4"/>
  <c r="D871" i="4"/>
  <c r="D887" i="4" l="1"/>
  <c r="F887" i="4"/>
  <c r="Y865" i="4" l="1"/>
  <c r="W865" i="4"/>
  <c r="U865" i="4"/>
  <c r="T865" i="4"/>
  <c r="X864" i="4"/>
  <c r="V864" i="4"/>
  <c r="X863" i="4"/>
  <c r="V863" i="4"/>
  <c r="X862" i="4"/>
  <c r="V862" i="4"/>
  <c r="X861" i="4"/>
  <c r="V861" i="4"/>
  <c r="X860" i="4"/>
  <c r="V860" i="4"/>
  <c r="X859" i="4"/>
  <c r="V859" i="4"/>
  <c r="X858" i="4"/>
  <c r="V858" i="4"/>
  <c r="X857" i="4"/>
  <c r="V857" i="4"/>
  <c r="X856" i="4"/>
  <c r="V856" i="4"/>
  <c r="X855" i="4"/>
  <c r="V855" i="4"/>
  <c r="X854" i="4"/>
  <c r="V854" i="4"/>
  <c r="X853" i="4"/>
  <c r="V853" i="4"/>
  <c r="X852" i="4"/>
  <c r="V852" i="4"/>
  <c r="X851" i="4"/>
  <c r="V851" i="4"/>
  <c r="X850" i="4"/>
  <c r="V850" i="4"/>
  <c r="X849" i="4"/>
  <c r="V849" i="4"/>
  <c r="V865" i="4" l="1"/>
  <c r="X865" i="4"/>
  <c r="P865" i="4"/>
  <c r="N865" i="4"/>
  <c r="L865" i="4"/>
  <c r="K865" i="4"/>
  <c r="O864" i="4"/>
  <c r="M864" i="4"/>
  <c r="O863" i="4"/>
  <c r="M863" i="4"/>
  <c r="O862" i="4"/>
  <c r="M862" i="4"/>
  <c r="O861" i="4"/>
  <c r="M861" i="4"/>
  <c r="O860" i="4"/>
  <c r="M860" i="4"/>
  <c r="O859" i="4"/>
  <c r="M859" i="4"/>
  <c r="O858" i="4"/>
  <c r="M858" i="4"/>
  <c r="O857" i="4"/>
  <c r="M857" i="4"/>
  <c r="O856" i="4"/>
  <c r="M856" i="4"/>
  <c r="O855" i="4"/>
  <c r="M855" i="4"/>
  <c r="O854" i="4"/>
  <c r="M854" i="4"/>
  <c r="O853" i="4"/>
  <c r="M853" i="4"/>
  <c r="O852" i="4"/>
  <c r="M852" i="4"/>
  <c r="O851" i="4"/>
  <c r="M851" i="4"/>
  <c r="O850" i="4"/>
  <c r="M850" i="4"/>
  <c r="O849" i="4"/>
  <c r="M849" i="4"/>
  <c r="M865" i="4" l="1"/>
  <c r="O865" i="4"/>
  <c r="F857" i="4"/>
  <c r="F858" i="4"/>
  <c r="F859" i="4"/>
  <c r="F860" i="4"/>
  <c r="D857" i="4"/>
  <c r="D858" i="4"/>
  <c r="D859" i="4"/>
  <c r="D860" i="4"/>
  <c r="G865" i="4"/>
  <c r="E865" i="4"/>
  <c r="C865" i="4"/>
  <c r="B865" i="4"/>
  <c r="F864" i="4"/>
  <c r="D864" i="4"/>
  <c r="F863" i="4"/>
  <c r="D863" i="4"/>
  <c r="F862" i="4"/>
  <c r="D862" i="4"/>
  <c r="F861" i="4"/>
  <c r="D861" i="4"/>
  <c r="F856" i="4"/>
  <c r="D856" i="4"/>
  <c r="F855" i="4"/>
  <c r="D855" i="4"/>
  <c r="F854" i="4"/>
  <c r="D854" i="4"/>
  <c r="F853" i="4"/>
  <c r="D853" i="4"/>
  <c r="F852" i="4"/>
  <c r="D852" i="4"/>
  <c r="F851" i="4"/>
  <c r="D851" i="4"/>
  <c r="F850" i="4"/>
  <c r="D850" i="4"/>
  <c r="F849" i="4"/>
  <c r="D849" i="4"/>
  <c r="D865" i="4" l="1"/>
  <c r="F865" i="4"/>
  <c r="P825" i="4" l="1"/>
  <c r="N825" i="4"/>
  <c r="L825" i="4"/>
  <c r="K825" i="4"/>
  <c r="O824" i="4"/>
  <c r="M824" i="4"/>
  <c r="O825" i="4" l="1"/>
  <c r="M825" i="4"/>
  <c r="G837" i="4"/>
  <c r="E837" i="4"/>
  <c r="C837" i="4"/>
  <c r="B837" i="4"/>
  <c r="F836" i="4"/>
  <c r="D836" i="4"/>
  <c r="F835" i="4"/>
  <c r="D835" i="4"/>
  <c r="F834" i="4"/>
  <c r="D834" i="4"/>
  <c r="F833" i="4"/>
  <c r="D833" i="4"/>
  <c r="F832" i="4"/>
  <c r="D832" i="4"/>
  <c r="F831" i="4"/>
  <c r="D831" i="4"/>
  <c r="F830" i="4"/>
  <c r="D830" i="4"/>
  <c r="F829" i="4"/>
  <c r="D829" i="4"/>
  <c r="F828" i="4"/>
  <c r="D828" i="4"/>
  <c r="F827" i="4"/>
  <c r="D827" i="4"/>
  <c r="F826" i="4"/>
  <c r="D826" i="4"/>
  <c r="F825" i="4"/>
  <c r="D825" i="4"/>
  <c r="F824" i="4"/>
  <c r="D824" i="4"/>
  <c r="D837" i="4" l="1"/>
  <c r="F837" i="4"/>
  <c r="X819" i="4"/>
  <c r="V819" i="4"/>
  <c r="T819" i="4"/>
  <c r="S819" i="4"/>
  <c r="W818" i="4"/>
  <c r="U818" i="4"/>
  <c r="W817" i="4"/>
  <c r="U817" i="4"/>
  <c r="W816" i="4"/>
  <c r="U816" i="4"/>
  <c r="W815" i="4"/>
  <c r="U815" i="4"/>
  <c r="W814" i="4"/>
  <c r="U814" i="4"/>
  <c r="W813" i="4"/>
  <c r="U813" i="4"/>
  <c r="W812" i="4"/>
  <c r="U812" i="4"/>
  <c r="W811" i="4"/>
  <c r="U811" i="4"/>
  <c r="W810" i="4"/>
  <c r="U810" i="4"/>
  <c r="W809" i="4"/>
  <c r="U809" i="4"/>
  <c r="W808" i="4"/>
  <c r="U808" i="4"/>
  <c r="W807" i="4"/>
  <c r="U807" i="4"/>
  <c r="W806" i="4"/>
  <c r="U806" i="4"/>
  <c r="W805" i="4"/>
  <c r="U805" i="4"/>
  <c r="W804" i="4"/>
  <c r="U804" i="4"/>
  <c r="U819" i="4" l="1"/>
  <c r="W819" i="4"/>
  <c r="P819" i="4"/>
  <c r="N819" i="4"/>
  <c r="L819" i="4"/>
  <c r="K819" i="4"/>
  <c r="O818" i="4"/>
  <c r="M818" i="4"/>
  <c r="O817" i="4"/>
  <c r="M817" i="4"/>
  <c r="O816" i="4"/>
  <c r="M816" i="4"/>
  <c r="O815" i="4"/>
  <c r="M815" i="4"/>
  <c r="O814" i="4"/>
  <c r="M814" i="4"/>
  <c r="O813" i="4"/>
  <c r="M813" i="4"/>
  <c r="O812" i="4"/>
  <c r="M812" i="4"/>
  <c r="O811" i="4"/>
  <c r="M811" i="4"/>
  <c r="O810" i="4"/>
  <c r="M810" i="4"/>
  <c r="O809" i="4"/>
  <c r="M809" i="4"/>
  <c r="O808" i="4"/>
  <c r="M808" i="4"/>
  <c r="O807" i="4"/>
  <c r="M807" i="4"/>
  <c r="O806" i="4"/>
  <c r="M806" i="4"/>
  <c r="O805" i="4"/>
  <c r="M805" i="4"/>
  <c r="O804" i="4"/>
  <c r="M804" i="4"/>
  <c r="O819" i="4" l="1"/>
  <c r="M819" i="4"/>
  <c r="G819" i="4"/>
  <c r="E819" i="4"/>
  <c r="C819" i="4"/>
  <c r="B819" i="4"/>
  <c r="F818" i="4"/>
  <c r="D818" i="4"/>
  <c r="F817" i="4"/>
  <c r="D817" i="4"/>
  <c r="F816" i="4"/>
  <c r="D816" i="4"/>
  <c r="F815" i="4"/>
  <c r="D815" i="4"/>
  <c r="F814" i="4"/>
  <c r="D814" i="4"/>
  <c r="F813" i="4"/>
  <c r="D813" i="4"/>
  <c r="F812" i="4"/>
  <c r="D812" i="4"/>
  <c r="F811" i="4"/>
  <c r="D811" i="4"/>
  <c r="F810" i="4"/>
  <c r="D810" i="4"/>
  <c r="F809" i="4"/>
  <c r="D809" i="4"/>
  <c r="F808" i="4"/>
  <c r="D808" i="4"/>
  <c r="F807" i="4"/>
  <c r="D807" i="4"/>
  <c r="F806" i="4"/>
  <c r="D806" i="4"/>
  <c r="F805" i="4"/>
  <c r="D805" i="4"/>
  <c r="F804" i="4"/>
  <c r="D804" i="4"/>
  <c r="D819" i="4" l="1"/>
  <c r="F819" i="4"/>
  <c r="X799" i="4"/>
  <c r="V799" i="4"/>
  <c r="T799" i="4"/>
  <c r="S799" i="4"/>
  <c r="W798" i="4"/>
  <c r="U798" i="4"/>
  <c r="W797" i="4"/>
  <c r="U797" i="4"/>
  <c r="W796" i="4"/>
  <c r="U796" i="4"/>
  <c r="W795" i="4"/>
  <c r="U795" i="4"/>
  <c r="W794" i="4"/>
  <c r="U794" i="4"/>
  <c r="W793" i="4"/>
  <c r="U793" i="4"/>
  <c r="W792" i="4"/>
  <c r="U792" i="4"/>
  <c r="W791" i="4"/>
  <c r="U791" i="4"/>
  <c r="W790" i="4"/>
  <c r="U790" i="4"/>
  <c r="W789" i="4"/>
  <c r="U789" i="4"/>
  <c r="W788" i="4"/>
  <c r="U788" i="4"/>
  <c r="W787" i="4"/>
  <c r="U787" i="4"/>
  <c r="W786" i="4"/>
  <c r="U786" i="4"/>
  <c r="W785" i="4"/>
  <c r="U785" i="4"/>
  <c r="W784" i="4"/>
  <c r="U784" i="4"/>
  <c r="U799" i="4" l="1"/>
  <c r="W799" i="4"/>
  <c r="P799" i="4"/>
  <c r="N799" i="4"/>
  <c r="L799" i="4"/>
  <c r="K799" i="4"/>
  <c r="O798" i="4"/>
  <c r="M798" i="4"/>
  <c r="O797" i="4"/>
  <c r="M797" i="4"/>
  <c r="O796" i="4"/>
  <c r="M796" i="4"/>
  <c r="O795" i="4"/>
  <c r="M795" i="4"/>
  <c r="O794" i="4"/>
  <c r="M794" i="4"/>
  <c r="O793" i="4"/>
  <c r="M793" i="4"/>
  <c r="O792" i="4"/>
  <c r="M792" i="4"/>
  <c r="O791" i="4"/>
  <c r="M791" i="4"/>
  <c r="O790" i="4"/>
  <c r="M790" i="4"/>
  <c r="O789" i="4"/>
  <c r="M789" i="4"/>
  <c r="O788" i="4"/>
  <c r="M788" i="4"/>
  <c r="O787" i="4"/>
  <c r="M787" i="4"/>
  <c r="O786" i="4"/>
  <c r="M786" i="4"/>
  <c r="O785" i="4"/>
  <c r="M785" i="4"/>
  <c r="O784" i="4"/>
  <c r="M784" i="4"/>
  <c r="M799" i="4" l="1"/>
  <c r="O799" i="4"/>
  <c r="F797" i="4"/>
  <c r="F798" i="4"/>
  <c r="F793" i="4"/>
  <c r="F794" i="4"/>
  <c r="D797" i="4"/>
  <c r="D798" i="4"/>
  <c r="D794" i="4"/>
  <c r="D793" i="4"/>
  <c r="G799" i="4"/>
  <c r="E799" i="4"/>
  <c r="C799" i="4"/>
  <c r="B799" i="4"/>
  <c r="F796" i="4"/>
  <c r="D796" i="4"/>
  <c r="F795" i="4"/>
  <c r="D795" i="4"/>
  <c r="F792" i="4"/>
  <c r="D792" i="4"/>
  <c r="F791" i="4"/>
  <c r="D791" i="4"/>
  <c r="F790" i="4"/>
  <c r="D790" i="4"/>
  <c r="F789" i="4"/>
  <c r="D789" i="4"/>
  <c r="F788" i="4"/>
  <c r="D788" i="4"/>
  <c r="F787" i="4"/>
  <c r="D787" i="4"/>
  <c r="F786" i="4"/>
  <c r="D786" i="4"/>
  <c r="F785" i="4"/>
  <c r="D785" i="4"/>
  <c r="F784" i="4"/>
  <c r="D784" i="4"/>
  <c r="D799" i="4" l="1"/>
  <c r="F799" i="4"/>
  <c r="S770" i="4" l="1"/>
  <c r="W770" i="4" s="1"/>
  <c r="X777" i="4"/>
  <c r="V777" i="4"/>
  <c r="T777" i="4"/>
  <c r="W776" i="4"/>
  <c r="U776" i="4"/>
  <c r="W775" i="4"/>
  <c r="U775" i="4"/>
  <c r="W774" i="4"/>
  <c r="U774" i="4"/>
  <c r="W773" i="4"/>
  <c r="U773" i="4"/>
  <c r="W772" i="4"/>
  <c r="U772" i="4"/>
  <c r="W771" i="4"/>
  <c r="U771" i="4"/>
  <c r="W769" i="4"/>
  <c r="U769" i="4"/>
  <c r="W768" i="4"/>
  <c r="U768" i="4"/>
  <c r="W767" i="4"/>
  <c r="U767" i="4"/>
  <c r="W766" i="4"/>
  <c r="U766" i="4"/>
  <c r="W765" i="4"/>
  <c r="U765" i="4"/>
  <c r="W764" i="4"/>
  <c r="U764" i="4"/>
  <c r="H726" i="4"/>
  <c r="G725" i="4"/>
  <c r="G729" i="4"/>
  <c r="H735" i="4"/>
  <c r="H725" i="4"/>
  <c r="H736" i="4"/>
  <c r="H724" i="4"/>
  <c r="G726" i="4"/>
  <c r="G727" i="4"/>
  <c r="G728" i="4"/>
  <c r="G730" i="4"/>
  <c r="G731" i="4"/>
  <c r="G732" i="4"/>
  <c r="G733" i="4"/>
  <c r="G734" i="4"/>
  <c r="G735" i="4"/>
  <c r="G736" i="4"/>
  <c r="G724" i="4"/>
  <c r="S777" i="4" l="1"/>
  <c r="U770" i="4"/>
  <c r="U777" i="4" s="1"/>
  <c r="W777" i="4"/>
  <c r="G737" i="4"/>
  <c r="P777" i="4"/>
  <c r="N777" i="4"/>
  <c r="L777" i="4"/>
  <c r="K777" i="4"/>
  <c r="O776" i="4"/>
  <c r="M776" i="4"/>
  <c r="O775" i="4"/>
  <c r="M775" i="4"/>
  <c r="O774" i="4"/>
  <c r="M774" i="4"/>
  <c r="O773" i="4"/>
  <c r="M773" i="4"/>
  <c r="O772" i="4"/>
  <c r="M772" i="4"/>
  <c r="O771" i="4"/>
  <c r="M771" i="4"/>
  <c r="O770" i="4"/>
  <c r="M770" i="4"/>
  <c r="O769" i="4"/>
  <c r="M769" i="4"/>
  <c r="O768" i="4"/>
  <c r="M768" i="4"/>
  <c r="O767" i="4"/>
  <c r="M767" i="4"/>
  <c r="O766" i="4"/>
  <c r="M766" i="4"/>
  <c r="O765" i="4"/>
  <c r="M765" i="4"/>
  <c r="O764" i="4"/>
  <c r="M764" i="4"/>
  <c r="M777" i="4" l="1"/>
  <c r="O777" i="4"/>
  <c r="G777" i="4"/>
  <c r="E777" i="4"/>
  <c r="C777" i="4"/>
  <c r="B777" i="4"/>
  <c r="F776" i="4"/>
  <c r="D776" i="4"/>
  <c r="F775" i="4"/>
  <c r="D775" i="4"/>
  <c r="F774" i="4"/>
  <c r="D774" i="4"/>
  <c r="F773" i="4"/>
  <c r="D773" i="4"/>
  <c r="F772" i="4"/>
  <c r="D772" i="4"/>
  <c r="F771" i="4"/>
  <c r="D771" i="4"/>
  <c r="F770" i="4"/>
  <c r="D770" i="4"/>
  <c r="F769" i="4"/>
  <c r="D769" i="4"/>
  <c r="F768" i="4"/>
  <c r="D768" i="4"/>
  <c r="F767" i="4"/>
  <c r="D767" i="4"/>
  <c r="F766" i="4"/>
  <c r="D766" i="4"/>
  <c r="F765" i="4"/>
  <c r="D765" i="4"/>
  <c r="F764" i="4"/>
  <c r="D764" i="4"/>
  <c r="D777" i="4" l="1"/>
  <c r="F777" i="4"/>
  <c r="P759" i="4"/>
  <c r="N759" i="4"/>
  <c r="L759" i="4"/>
  <c r="K759" i="4"/>
  <c r="O758" i="4"/>
  <c r="M758" i="4"/>
  <c r="O757" i="4"/>
  <c r="M757" i="4"/>
  <c r="O756" i="4"/>
  <c r="M756" i="4"/>
  <c r="O755" i="4"/>
  <c r="M755" i="4"/>
  <c r="O754" i="4"/>
  <c r="M754" i="4"/>
  <c r="O753" i="4"/>
  <c r="M753" i="4"/>
  <c r="O752" i="4"/>
  <c r="M752" i="4"/>
  <c r="O751" i="4"/>
  <c r="M751" i="4"/>
  <c r="O750" i="4"/>
  <c r="M750" i="4"/>
  <c r="O749" i="4"/>
  <c r="M749" i="4"/>
  <c r="O748" i="4"/>
  <c r="M748" i="4"/>
  <c r="O747" i="4"/>
  <c r="M747" i="4"/>
  <c r="O746" i="4"/>
  <c r="M746" i="4"/>
  <c r="O759" i="4" l="1"/>
  <c r="M759" i="4"/>
  <c r="F757" i="4"/>
  <c r="F756" i="4"/>
  <c r="D757" i="4"/>
  <c r="D756" i="4"/>
  <c r="G759" i="4"/>
  <c r="E759" i="4"/>
  <c r="C759" i="4"/>
  <c r="B759" i="4"/>
  <c r="F758" i="4"/>
  <c r="D758" i="4"/>
  <c r="F755" i="4"/>
  <c r="D755" i="4"/>
  <c r="F754" i="4"/>
  <c r="D754" i="4"/>
  <c r="F753" i="4"/>
  <c r="D753" i="4"/>
  <c r="F752" i="4"/>
  <c r="D752" i="4"/>
  <c r="F751" i="4"/>
  <c r="D751" i="4"/>
  <c r="F750" i="4"/>
  <c r="D750" i="4"/>
  <c r="F749" i="4"/>
  <c r="D749" i="4"/>
  <c r="F748" i="4"/>
  <c r="D748" i="4"/>
  <c r="F747" i="4"/>
  <c r="D747" i="4"/>
  <c r="F746" i="4"/>
  <c r="D746" i="4"/>
  <c r="D759" i="4" l="1"/>
  <c r="F759" i="4"/>
  <c r="P736" i="4" l="1"/>
  <c r="N736" i="4"/>
  <c r="L736" i="4"/>
  <c r="K736" i="4"/>
  <c r="O735" i="4"/>
  <c r="M735" i="4"/>
  <c r="O734" i="4"/>
  <c r="M734" i="4"/>
  <c r="O733" i="4"/>
  <c r="M733" i="4"/>
  <c r="O732" i="4"/>
  <c r="M732" i="4"/>
  <c r="O731" i="4"/>
  <c r="M731" i="4"/>
  <c r="O730" i="4"/>
  <c r="M730" i="4"/>
  <c r="O729" i="4"/>
  <c r="M729" i="4"/>
  <c r="O728" i="4"/>
  <c r="M728" i="4"/>
  <c r="O727" i="4"/>
  <c r="M727" i="4"/>
  <c r="O726" i="4"/>
  <c r="M726" i="4"/>
  <c r="O725" i="4"/>
  <c r="M725" i="4"/>
  <c r="M736" i="4" l="1"/>
  <c r="O736" i="4"/>
  <c r="P720" i="4"/>
  <c r="N720" i="4"/>
  <c r="L720" i="4"/>
  <c r="K720" i="4"/>
  <c r="O719" i="4"/>
  <c r="M719" i="4"/>
  <c r="O718" i="4"/>
  <c r="M718" i="4"/>
  <c r="O717" i="4"/>
  <c r="M717" i="4"/>
  <c r="O716" i="4"/>
  <c r="M716" i="4"/>
  <c r="O715" i="4"/>
  <c r="M715" i="4"/>
  <c r="O714" i="4"/>
  <c r="M714" i="4"/>
  <c r="O713" i="4"/>
  <c r="M713" i="4"/>
  <c r="O712" i="4"/>
  <c r="M712" i="4"/>
  <c r="O711" i="4"/>
  <c r="M711" i="4"/>
  <c r="O710" i="4"/>
  <c r="M710" i="4"/>
  <c r="O709" i="4"/>
  <c r="M709" i="4"/>
  <c r="O708" i="4"/>
  <c r="M708" i="4"/>
  <c r="M720" i="4" l="1"/>
  <c r="O720" i="4"/>
  <c r="G721" i="4"/>
  <c r="E721" i="4"/>
  <c r="C721" i="4"/>
  <c r="B721" i="4"/>
  <c r="F720" i="4"/>
  <c r="D720" i="4"/>
  <c r="F719" i="4"/>
  <c r="D719" i="4"/>
  <c r="F718" i="4"/>
  <c r="D718" i="4"/>
  <c r="F717" i="4"/>
  <c r="D717" i="4"/>
  <c r="F716" i="4"/>
  <c r="D716" i="4"/>
  <c r="F715" i="4"/>
  <c r="D715" i="4"/>
  <c r="F714" i="4"/>
  <c r="D714" i="4"/>
  <c r="F713" i="4"/>
  <c r="D713" i="4"/>
  <c r="F712" i="4"/>
  <c r="D712" i="4"/>
  <c r="F711" i="4"/>
  <c r="D711" i="4"/>
  <c r="F710" i="4"/>
  <c r="D710" i="4"/>
  <c r="F709" i="4"/>
  <c r="D709" i="4"/>
  <c r="F708" i="4"/>
  <c r="D708" i="4"/>
  <c r="D721" i="4" l="1"/>
  <c r="F721" i="4"/>
  <c r="P700" i="4" l="1"/>
  <c r="N700" i="4"/>
  <c r="L700" i="4"/>
  <c r="K700" i="4"/>
  <c r="O699" i="4"/>
  <c r="M699" i="4"/>
  <c r="O698" i="4"/>
  <c r="M698" i="4"/>
  <c r="O697" i="4"/>
  <c r="M697" i="4"/>
  <c r="O696" i="4"/>
  <c r="M696" i="4"/>
  <c r="O695" i="4"/>
  <c r="M695" i="4"/>
  <c r="O694" i="4"/>
  <c r="M694" i="4"/>
  <c r="O693" i="4"/>
  <c r="M693" i="4"/>
  <c r="O692" i="4"/>
  <c r="M692" i="4"/>
  <c r="O691" i="4"/>
  <c r="M691" i="4"/>
  <c r="O690" i="4"/>
  <c r="M690" i="4"/>
  <c r="O689" i="4"/>
  <c r="M689" i="4"/>
  <c r="O688" i="4"/>
  <c r="M688" i="4"/>
  <c r="O687" i="4"/>
  <c r="M687" i="4"/>
  <c r="M700" i="4" l="1"/>
  <c r="O700" i="4"/>
  <c r="G701" i="4" l="1"/>
  <c r="E701" i="4"/>
  <c r="C701" i="4"/>
  <c r="B701" i="4"/>
  <c r="F700" i="4"/>
  <c r="D700" i="4"/>
  <c r="F699" i="4"/>
  <c r="D699" i="4"/>
  <c r="F698" i="4"/>
  <c r="D698" i="4"/>
  <c r="F697" i="4"/>
  <c r="D697" i="4"/>
  <c r="F696" i="4"/>
  <c r="D696" i="4"/>
  <c r="F695" i="4"/>
  <c r="D695" i="4"/>
  <c r="F694" i="4"/>
  <c r="D694" i="4"/>
  <c r="F693" i="4"/>
  <c r="D693" i="4"/>
  <c r="F692" i="4"/>
  <c r="D692" i="4"/>
  <c r="F691" i="4"/>
  <c r="D691" i="4"/>
  <c r="F690" i="4"/>
  <c r="D690" i="4"/>
  <c r="F689" i="4"/>
  <c r="D689" i="4"/>
  <c r="F688" i="4"/>
  <c r="D688" i="4"/>
  <c r="F687" i="4"/>
  <c r="D687" i="4"/>
  <c r="D701" i="4" l="1"/>
  <c r="F701" i="4"/>
  <c r="G681" i="4" l="1"/>
  <c r="D680" i="4"/>
  <c r="F680" i="4"/>
  <c r="F673" i="4"/>
  <c r="E681" i="4"/>
  <c r="B681" i="4"/>
  <c r="F679" i="4"/>
  <c r="D679" i="4"/>
  <c r="F678" i="4"/>
  <c r="D678" i="4"/>
  <c r="F677" i="4"/>
  <c r="D677" i="4"/>
  <c r="F676" i="4"/>
  <c r="D676" i="4"/>
  <c r="F675" i="4"/>
  <c r="D675" i="4"/>
  <c r="F674" i="4"/>
  <c r="D674" i="4"/>
  <c r="F672" i="4"/>
  <c r="D672" i="4"/>
  <c r="F671" i="4"/>
  <c r="D671" i="4"/>
  <c r="F670" i="4"/>
  <c r="D670" i="4"/>
  <c r="F669" i="4"/>
  <c r="D669" i="4"/>
  <c r="F668" i="4"/>
  <c r="D668" i="4"/>
  <c r="F667" i="4"/>
  <c r="D667" i="4"/>
  <c r="F681" i="4" l="1"/>
  <c r="D673" i="4"/>
  <c r="D681" i="4" s="1"/>
  <c r="C681" i="4"/>
  <c r="K679" i="4" l="1"/>
  <c r="P679" i="4"/>
  <c r="N679" i="4"/>
  <c r="L679" i="4"/>
  <c r="O678" i="4"/>
  <c r="M678" i="4"/>
  <c r="O677" i="4"/>
  <c r="M677" i="4"/>
  <c r="O676" i="4"/>
  <c r="M676" i="4"/>
  <c r="O675" i="4"/>
  <c r="M675" i="4"/>
  <c r="O674" i="4"/>
  <c r="M674" i="4"/>
  <c r="O673" i="4"/>
  <c r="M673" i="4"/>
  <c r="O672" i="4"/>
  <c r="M672" i="4"/>
  <c r="O671" i="4"/>
  <c r="M671" i="4"/>
  <c r="O670" i="4"/>
  <c r="M670" i="4"/>
  <c r="O669" i="4"/>
  <c r="M669" i="4"/>
  <c r="O668" i="4"/>
  <c r="M668" i="4"/>
  <c r="O667" i="4"/>
  <c r="M667" i="4"/>
  <c r="O666" i="4"/>
  <c r="M666" i="4"/>
  <c r="M679" i="4" l="1"/>
  <c r="O679" i="4"/>
  <c r="O658" i="4"/>
  <c r="M658" i="4"/>
  <c r="P660" i="4"/>
  <c r="N660" i="4"/>
  <c r="L660" i="4"/>
  <c r="K660" i="4"/>
  <c r="O659" i="4"/>
  <c r="M659" i="4"/>
  <c r="O657" i="4"/>
  <c r="M657" i="4"/>
  <c r="O656" i="4"/>
  <c r="M656" i="4"/>
  <c r="O655" i="4"/>
  <c r="M655" i="4"/>
  <c r="O654" i="4"/>
  <c r="M654" i="4"/>
  <c r="O653" i="4"/>
  <c r="M653" i="4"/>
  <c r="O652" i="4"/>
  <c r="M652" i="4"/>
  <c r="O651" i="4"/>
  <c r="M651" i="4"/>
  <c r="O650" i="4"/>
  <c r="M650" i="4"/>
  <c r="O649" i="4"/>
  <c r="M649" i="4"/>
  <c r="O648" i="4"/>
  <c r="M648" i="4"/>
  <c r="O647" i="4"/>
  <c r="M647" i="4"/>
  <c r="O660" i="4" l="1"/>
  <c r="M660" i="4"/>
  <c r="G659" i="4" l="1"/>
  <c r="E659" i="4"/>
  <c r="C659" i="4"/>
  <c r="B659" i="4"/>
  <c r="F658" i="4"/>
  <c r="D658" i="4"/>
  <c r="F657" i="4"/>
  <c r="D657" i="4"/>
  <c r="F656" i="4"/>
  <c r="D656" i="4"/>
  <c r="F655" i="4"/>
  <c r="D655" i="4"/>
  <c r="F654" i="4"/>
  <c r="D654" i="4"/>
  <c r="F653" i="4"/>
  <c r="D653" i="4"/>
  <c r="F652" i="4"/>
  <c r="D652" i="4"/>
  <c r="F651" i="4"/>
  <c r="D651" i="4"/>
  <c r="F650" i="4"/>
  <c r="D650" i="4"/>
  <c r="F649" i="4"/>
  <c r="D649" i="4"/>
  <c r="F648" i="4"/>
  <c r="D648" i="4"/>
  <c r="F647" i="4"/>
  <c r="D647" i="4"/>
  <c r="D659" i="4" l="1"/>
  <c r="F659" i="4"/>
  <c r="C2" i="1"/>
  <c r="G632" i="4" l="1"/>
  <c r="E632" i="4"/>
  <c r="C632" i="4"/>
  <c r="B632" i="4"/>
  <c r="F631" i="4"/>
  <c r="D631" i="4"/>
  <c r="F630" i="4"/>
  <c r="D630" i="4"/>
  <c r="F629" i="4"/>
  <c r="D629" i="4"/>
  <c r="F628" i="4"/>
  <c r="D628" i="4"/>
  <c r="F627" i="4"/>
  <c r="D627" i="4"/>
  <c r="F626" i="4"/>
  <c r="D626" i="4"/>
  <c r="F625" i="4"/>
  <c r="D625" i="4"/>
  <c r="F624" i="4"/>
  <c r="D624" i="4"/>
  <c r="F623" i="4"/>
  <c r="D623" i="4"/>
  <c r="D632" i="4" l="1"/>
  <c r="F632" i="4"/>
  <c r="P615" i="4"/>
  <c r="N615" i="4"/>
  <c r="L615" i="4"/>
  <c r="K615" i="4"/>
  <c r="O614" i="4"/>
  <c r="M614" i="4"/>
  <c r="O613" i="4"/>
  <c r="M613" i="4"/>
  <c r="O612" i="4"/>
  <c r="M612" i="4"/>
  <c r="O611" i="4"/>
  <c r="M611" i="4"/>
  <c r="O610" i="4"/>
  <c r="M610" i="4"/>
  <c r="O609" i="4"/>
  <c r="M609" i="4"/>
  <c r="O608" i="4"/>
  <c r="M608" i="4"/>
  <c r="O607" i="4"/>
  <c r="M607" i="4"/>
  <c r="O606" i="4"/>
  <c r="M606" i="4"/>
  <c r="O605" i="4"/>
  <c r="M605" i="4"/>
  <c r="O604" i="4"/>
  <c r="M604" i="4"/>
  <c r="O603" i="4"/>
  <c r="M603" i="4"/>
  <c r="O602" i="4"/>
  <c r="M602" i="4"/>
  <c r="M615" i="4" l="1"/>
  <c r="O615" i="4"/>
  <c r="G615" i="4"/>
  <c r="E615" i="4"/>
  <c r="C615" i="4"/>
  <c r="B615" i="4"/>
  <c r="F614" i="4"/>
  <c r="D614" i="4"/>
  <c r="F613" i="4"/>
  <c r="D613" i="4"/>
  <c r="F612" i="4"/>
  <c r="D612" i="4"/>
  <c r="F611" i="4"/>
  <c r="D611" i="4"/>
  <c r="F610" i="4"/>
  <c r="D610" i="4"/>
  <c r="F609" i="4"/>
  <c r="D609" i="4"/>
  <c r="F608" i="4"/>
  <c r="D608" i="4"/>
  <c r="F607" i="4"/>
  <c r="D607" i="4"/>
  <c r="F606" i="4"/>
  <c r="D606" i="4"/>
  <c r="F605" i="4"/>
  <c r="D605" i="4"/>
  <c r="F604" i="4"/>
  <c r="D604" i="4"/>
  <c r="F603" i="4"/>
  <c r="D603" i="4"/>
  <c r="F602" i="4"/>
  <c r="D602" i="4"/>
  <c r="F615" i="4" l="1"/>
  <c r="D615" i="4"/>
  <c r="P595" i="4"/>
  <c r="N595" i="4"/>
  <c r="L595" i="4"/>
  <c r="K595" i="4"/>
  <c r="O594" i="4"/>
  <c r="M594" i="4"/>
  <c r="O593" i="4"/>
  <c r="M593" i="4"/>
  <c r="O592" i="4"/>
  <c r="M592" i="4"/>
  <c r="O591" i="4"/>
  <c r="M591" i="4"/>
  <c r="O590" i="4"/>
  <c r="M590" i="4"/>
  <c r="O589" i="4"/>
  <c r="M589" i="4"/>
  <c r="O588" i="4"/>
  <c r="M588" i="4"/>
  <c r="O587" i="4"/>
  <c r="M587" i="4"/>
  <c r="O586" i="4"/>
  <c r="M586" i="4"/>
  <c r="O585" i="4"/>
  <c r="M585" i="4"/>
  <c r="O584" i="4"/>
  <c r="M584" i="4"/>
  <c r="O583" i="4"/>
  <c r="M583" i="4"/>
  <c r="O582" i="4"/>
  <c r="M582" i="4"/>
  <c r="O595" i="4" l="1"/>
  <c r="M595" i="4"/>
  <c r="G595" i="4"/>
  <c r="E595" i="4"/>
  <c r="C595" i="4"/>
  <c r="B595" i="4"/>
  <c r="F594" i="4"/>
  <c r="D594" i="4"/>
  <c r="F593" i="4"/>
  <c r="D593" i="4"/>
  <c r="F592" i="4"/>
  <c r="D592" i="4"/>
  <c r="F591" i="4"/>
  <c r="D591" i="4"/>
  <c r="F590" i="4"/>
  <c r="D590" i="4"/>
  <c r="F589" i="4"/>
  <c r="D589" i="4"/>
  <c r="F588" i="4"/>
  <c r="D588" i="4"/>
  <c r="F587" i="4"/>
  <c r="D587" i="4"/>
  <c r="F586" i="4"/>
  <c r="D586" i="4"/>
  <c r="F585" i="4"/>
  <c r="D585" i="4"/>
  <c r="F584" i="4"/>
  <c r="D584" i="4"/>
  <c r="F583" i="4"/>
  <c r="D583" i="4"/>
  <c r="F582" i="4"/>
  <c r="D582" i="4"/>
  <c r="D595" i="4" l="1"/>
  <c r="F595" i="4"/>
  <c r="P574" i="4"/>
  <c r="N574" i="4"/>
  <c r="L574" i="4"/>
  <c r="K574" i="4"/>
  <c r="O573" i="4"/>
  <c r="M573" i="4"/>
  <c r="O572" i="4"/>
  <c r="M572" i="4"/>
  <c r="O571" i="4"/>
  <c r="M571" i="4"/>
  <c r="O570" i="4"/>
  <c r="M570" i="4"/>
  <c r="O569" i="4"/>
  <c r="M569" i="4"/>
  <c r="O568" i="4"/>
  <c r="M568" i="4"/>
  <c r="O567" i="4"/>
  <c r="M567" i="4"/>
  <c r="O566" i="4"/>
  <c r="M566" i="4"/>
  <c r="O565" i="4"/>
  <c r="M565" i="4"/>
  <c r="O564" i="4"/>
  <c r="M564" i="4"/>
  <c r="O563" i="4"/>
  <c r="M563" i="4"/>
  <c r="O562" i="4"/>
  <c r="M562" i="4"/>
  <c r="O561" i="4"/>
  <c r="M561" i="4"/>
  <c r="M574" i="4" l="1"/>
  <c r="O574" i="4"/>
  <c r="B574" i="4" l="1"/>
  <c r="G574" i="4"/>
  <c r="E574" i="4"/>
  <c r="C574" i="4"/>
  <c r="F573" i="4"/>
  <c r="D573" i="4"/>
  <c r="F572" i="4"/>
  <c r="D572" i="4"/>
  <c r="F571" i="4"/>
  <c r="D571" i="4"/>
  <c r="F570" i="4"/>
  <c r="D570" i="4"/>
  <c r="F569" i="4"/>
  <c r="D569" i="4"/>
  <c r="F568" i="4"/>
  <c r="D568" i="4"/>
  <c r="F567" i="4"/>
  <c r="D567" i="4"/>
  <c r="F566" i="4"/>
  <c r="D566" i="4"/>
  <c r="F565" i="4"/>
  <c r="D565" i="4"/>
  <c r="F564" i="4"/>
  <c r="D564" i="4"/>
  <c r="F563" i="4"/>
  <c r="F562" i="4"/>
  <c r="D562" i="4"/>
  <c r="F561" i="4"/>
  <c r="D561" i="4"/>
  <c r="F574" i="4" l="1"/>
  <c r="D563" i="4"/>
  <c r="D574" i="4" s="1"/>
  <c r="K543" i="4"/>
  <c r="O543" i="4" s="1"/>
  <c r="P555" i="4"/>
  <c r="N555" i="4"/>
  <c r="L555" i="4"/>
  <c r="O554" i="4"/>
  <c r="M554" i="4"/>
  <c r="O553" i="4"/>
  <c r="M553" i="4"/>
  <c r="O552" i="4"/>
  <c r="M552" i="4"/>
  <c r="O551" i="4"/>
  <c r="M551" i="4"/>
  <c r="O550" i="4"/>
  <c r="M550" i="4"/>
  <c r="O549" i="4"/>
  <c r="M549" i="4"/>
  <c r="O548" i="4"/>
  <c r="M548" i="4"/>
  <c r="O547" i="4"/>
  <c r="M547" i="4"/>
  <c r="O546" i="4"/>
  <c r="M546" i="4"/>
  <c r="O545" i="4"/>
  <c r="M545" i="4"/>
  <c r="O544" i="4"/>
  <c r="M544" i="4"/>
  <c r="O542" i="4"/>
  <c r="M542" i="4"/>
  <c r="O541" i="4"/>
  <c r="M541" i="4"/>
  <c r="M543" i="4" l="1"/>
  <c r="M555" i="4" s="1"/>
  <c r="K555" i="4"/>
  <c r="O555" i="4"/>
  <c r="G555" i="4"/>
  <c r="E555" i="4"/>
  <c r="B555" i="4"/>
  <c r="C555" i="4"/>
  <c r="F553" i="4"/>
  <c r="D553" i="4"/>
  <c r="F552" i="4"/>
  <c r="D552" i="4"/>
  <c r="F551" i="4"/>
  <c r="D551" i="4"/>
  <c r="F550" i="4"/>
  <c r="D550" i="4"/>
  <c r="F549" i="4"/>
  <c r="D549" i="4"/>
  <c r="F548" i="4"/>
  <c r="D548" i="4"/>
  <c r="F547" i="4"/>
  <c r="D547" i="4"/>
  <c r="F546" i="4"/>
  <c r="D546" i="4"/>
  <c r="F545" i="4"/>
  <c r="D545" i="4"/>
  <c r="F544" i="4"/>
  <c r="D544" i="4"/>
  <c r="F543" i="4"/>
  <c r="D543" i="4"/>
  <c r="F542" i="4"/>
  <c r="D542" i="4"/>
  <c r="F541" i="4"/>
  <c r="D541" i="4"/>
  <c r="D554" i="4" l="1"/>
  <c r="D555" i="4" s="1"/>
  <c r="F554" i="4"/>
  <c r="F555" i="4" s="1"/>
  <c r="L530" i="4" l="1"/>
  <c r="L531" i="4" s="1"/>
  <c r="P531" i="4"/>
  <c r="N531" i="4"/>
  <c r="K531" i="4"/>
  <c r="O529" i="4"/>
  <c r="M529" i="4"/>
  <c r="O528" i="4"/>
  <c r="M528" i="4"/>
  <c r="O527" i="4"/>
  <c r="M527" i="4"/>
  <c r="O526" i="4"/>
  <c r="M526" i="4"/>
  <c r="O525" i="4"/>
  <c r="M525" i="4"/>
  <c r="O524" i="4"/>
  <c r="M524" i="4"/>
  <c r="O523" i="4"/>
  <c r="M523" i="4"/>
  <c r="O522" i="4"/>
  <c r="M522" i="4"/>
  <c r="O521" i="4"/>
  <c r="M521" i="4"/>
  <c r="O520" i="4"/>
  <c r="M520" i="4"/>
  <c r="O519" i="4"/>
  <c r="M519" i="4"/>
  <c r="O518" i="4"/>
  <c r="M518" i="4"/>
  <c r="O517" i="4"/>
  <c r="M517" i="4"/>
  <c r="O516" i="4"/>
  <c r="M516" i="4"/>
  <c r="O515" i="4"/>
  <c r="M515" i="4"/>
  <c r="D530" i="4"/>
  <c r="D529" i="4"/>
  <c r="D522" i="4"/>
  <c r="D521" i="4"/>
  <c r="G531" i="4"/>
  <c r="E531" i="4"/>
  <c r="B531" i="4"/>
  <c r="F528" i="4"/>
  <c r="D528" i="4"/>
  <c r="F527" i="4"/>
  <c r="D527" i="4"/>
  <c r="F526" i="4"/>
  <c r="D526" i="4"/>
  <c r="F525" i="4"/>
  <c r="D525" i="4"/>
  <c r="F524" i="4"/>
  <c r="D524" i="4"/>
  <c r="F523" i="4"/>
  <c r="D523" i="4"/>
  <c r="F520" i="4"/>
  <c r="D520" i="4"/>
  <c r="F519" i="4"/>
  <c r="D519" i="4"/>
  <c r="F518" i="4"/>
  <c r="D518" i="4"/>
  <c r="F517" i="4"/>
  <c r="D517" i="4"/>
  <c r="F516" i="4"/>
  <c r="D516" i="4"/>
  <c r="F515" i="4"/>
  <c r="D515" i="4"/>
  <c r="M530" i="4" l="1"/>
  <c r="M531" i="4" s="1"/>
  <c r="O530" i="4"/>
  <c r="O531" i="4" s="1"/>
  <c r="C531" i="4"/>
  <c r="F522" i="4"/>
  <c r="F530" i="4"/>
  <c r="F521" i="4"/>
  <c r="F529" i="4"/>
  <c r="D531" i="4"/>
  <c r="X508" i="4"/>
  <c r="V508" i="4"/>
  <c r="T508" i="4"/>
  <c r="W504" i="4"/>
  <c r="W505" i="4"/>
  <c r="W506" i="4"/>
  <c r="W507" i="4"/>
  <c r="W493" i="4"/>
  <c r="W494" i="4"/>
  <c r="W495" i="4"/>
  <c r="W496" i="4"/>
  <c r="W497" i="4"/>
  <c r="W498" i="4"/>
  <c r="W499" i="4"/>
  <c r="W500" i="4"/>
  <c r="W501" i="4"/>
  <c r="W502" i="4"/>
  <c r="W503" i="4"/>
  <c r="U504" i="4"/>
  <c r="U505" i="4"/>
  <c r="U506" i="4"/>
  <c r="U507" i="4"/>
  <c r="S508" i="4"/>
  <c r="F531" i="4" l="1"/>
  <c r="U493" i="4" l="1"/>
  <c r="U494" i="4"/>
  <c r="U495" i="4"/>
  <c r="U496" i="4"/>
  <c r="U497" i="4"/>
  <c r="U498" i="4"/>
  <c r="U499" i="4"/>
  <c r="U500" i="4"/>
  <c r="U501" i="4"/>
  <c r="U502" i="4"/>
  <c r="U503" i="4"/>
  <c r="U492" i="4"/>
  <c r="U508" i="4" l="1"/>
  <c r="W492" i="4"/>
  <c r="W508" i="4" s="1"/>
  <c r="P508" i="4" l="1"/>
  <c r="N508" i="4"/>
  <c r="L508" i="4"/>
  <c r="K508" i="4"/>
  <c r="O503" i="4"/>
  <c r="M503" i="4"/>
  <c r="O502" i="4"/>
  <c r="M502" i="4"/>
  <c r="O501" i="4"/>
  <c r="M501" i="4"/>
  <c r="O500" i="4"/>
  <c r="M500" i="4"/>
  <c r="O499" i="4"/>
  <c r="M499" i="4"/>
  <c r="O498" i="4"/>
  <c r="M498" i="4"/>
  <c r="O497" i="4"/>
  <c r="M497" i="4"/>
  <c r="O496" i="4"/>
  <c r="M496" i="4"/>
  <c r="O495" i="4"/>
  <c r="M495" i="4"/>
  <c r="O494" i="4"/>
  <c r="M494" i="4"/>
  <c r="O493" i="4"/>
  <c r="M493" i="4"/>
  <c r="O492" i="4"/>
  <c r="M492" i="4"/>
  <c r="O508" i="4" l="1"/>
  <c r="M508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G508" i="4"/>
  <c r="E508" i="4"/>
  <c r="C508" i="4"/>
  <c r="D503" i="4"/>
  <c r="D502" i="4"/>
  <c r="D501" i="4"/>
  <c r="D500" i="4"/>
  <c r="D499" i="4"/>
  <c r="D498" i="4"/>
  <c r="D497" i="4"/>
  <c r="D496" i="4"/>
  <c r="D495" i="4"/>
  <c r="D494" i="4"/>
  <c r="B508" i="4"/>
  <c r="D492" i="4"/>
  <c r="D493" i="4" l="1"/>
  <c r="D508" i="4" s="1"/>
  <c r="F508" i="4" l="1"/>
  <c r="S483" i="4"/>
  <c r="W483" i="4" s="1"/>
  <c r="S478" i="4"/>
  <c r="W478" i="4" s="1"/>
  <c r="S476" i="4"/>
  <c r="U476" i="4" s="1"/>
  <c r="S475" i="4"/>
  <c r="W475" i="4" s="1"/>
  <c r="X486" i="4"/>
  <c r="V486" i="4"/>
  <c r="T486" i="4"/>
  <c r="W485" i="4"/>
  <c r="U485" i="4"/>
  <c r="W484" i="4"/>
  <c r="U484" i="4"/>
  <c r="W482" i="4"/>
  <c r="U482" i="4"/>
  <c r="W481" i="4"/>
  <c r="U481" i="4"/>
  <c r="W480" i="4"/>
  <c r="U480" i="4"/>
  <c r="W479" i="4"/>
  <c r="U479" i="4"/>
  <c r="W477" i="4"/>
  <c r="U477" i="4"/>
  <c r="W474" i="4"/>
  <c r="U474" i="4"/>
  <c r="U475" i="4" l="1"/>
  <c r="W476" i="4"/>
  <c r="U483" i="4"/>
  <c r="U478" i="4"/>
  <c r="S486" i="4"/>
  <c r="W486" i="4"/>
  <c r="U486" i="4" l="1"/>
  <c r="N485" i="4"/>
  <c r="P485" i="4"/>
  <c r="L485" i="4"/>
  <c r="O484" i="4"/>
  <c r="M484" i="4"/>
  <c r="O483" i="4"/>
  <c r="O482" i="4"/>
  <c r="M482" i="4"/>
  <c r="O481" i="4"/>
  <c r="M481" i="4"/>
  <c r="O480" i="4"/>
  <c r="M480" i="4"/>
  <c r="O479" i="4"/>
  <c r="M479" i="4"/>
  <c r="O478" i="4"/>
  <c r="M478" i="4"/>
  <c r="O477" i="4"/>
  <c r="M477" i="4"/>
  <c r="O476" i="4"/>
  <c r="M476" i="4"/>
  <c r="O475" i="4"/>
  <c r="M475" i="4"/>
  <c r="O474" i="4"/>
  <c r="M474" i="4"/>
  <c r="O485" i="4" l="1"/>
  <c r="M483" i="4"/>
  <c r="M485" i="4" s="1"/>
  <c r="K485" i="4"/>
  <c r="G482" i="4" l="1"/>
  <c r="E482" i="4"/>
  <c r="C482" i="4"/>
  <c r="B482" i="4"/>
  <c r="F481" i="4"/>
  <c r="D481" i="4"/>
  <c r="F480" i="4"/>
  <c r="D480" i="4"/>
  <c r="F479" i="4"/>
  <c r="D479" i="4"/>
  <c r="F478" i="4"/>
  <c r="D478" i="4"/>
  <c r="F477" i="4"/>
  <c r="D477" i="4"/>
  <c r="F476" i="4"/>
  <c r="D476" i="4"/>
  <c r="F475" i="4"/>
  <c r="D475" i="4"/>
  <c r="F474" i="4"/>
  <c r="D474" i="4"/>
  <c r="D482" i="4" l="1"/>
  <c r="F482" i="4"/>
  <c r="Y450" i="4" l="1"/>
  <c r="W450" i="4"/>
  <c r="U450" i="4"/>
  <c r="X449" i="4"/>
  <c r="V449" i="4"/>
  <c r="X448" i="4"/>
  <c r="V448" i="4"/>
  <c r="X447" i="4"/>
  <c r="V447" i="4"/>
  <c r="X446" i="4"/>
  <c r="V446" i="4"/>
  <c r="X445" i="4"/>
  <c r="V445" i="4"/>
  <c r="T450" i="4" l="1"/>
  <c r="X450" i="4"/>
  <c r="V450" i="4"/>
  <c r="K454" i="4" l="1"/>
  <c r="K456" i="4" s="1"/>
  <c r="P456" i="4"/>
  <c r="N456" i="4"/>
  <c r="L456" i="4"/>
  <c r="O455" i="4"/>
  <c r="M455" i="4"/>
  <c r="O453" i="4"/>
  <c r="M453" i="4"/>
  <c r="O452" i="4"/>
  <c r="M452" i="4"/>
  <c r="O451" i="4"/>
  <c r="M451" i="4"/>
  <c r="O450" i="4"/>
  <c r="M450" i="4"/>
  <c r="O449" i="4"/>
  <c r="M449" i="4"/>
  <c r="O448" i="4"/>
  <c r="M448" i="4"/>
  <c r="O447" i="4"/>
  <c r="M447" i="4"/>
  <c r="O446" i="4"/>
  <c r="M446" i="4"/>
  <c r="O445" i="4"/>
  <c r="M445" i="4"/>
  <c r="O454" i="4" l="1"/>
  <c r="O456" i="4" s="1"/>
  <c r="M454" i="4"/>
  <c r="M456" i="4" s="1"/>
  <c r="G460" i="4"/>
  <c r="E460" i="4"/>
  <c r="C460" i="4"/>
  <c r="B460" i="4"/>
  <c r="F459" i="4"/>
  <c r="D459" i="4"/>
  <c r="F458" i="4"/>
  <c r="D458" i="4"/>
  <c r="F457" i="4"/>
  <c r="D457" i="4"/>
  <c r="F456" i="4"/>
  <c r="D456" i="4"/>
  <c r="F455" i="4"/>
  <c r="D455" i="4"/>
  <c r="F454" i="4"/>
  <c r="D454" i="4"/>
  <c r="F453" i="4"/>
  <c r="D453" i="4"/>
  <c r="F452" i="4"/>
  <c r="D452" i="4"/>
  <c r="F451" i="4"/>
  <c r="D451" i="4"/>
  <c r="F450" i="4"/>
  <c r="D450" i="4"/>
  <c r="F449" i="4"/>
  <c r="D449" i="4"/>
  <c r="F448" i="4"/>
  <c r="D448" i="4"/>
  <c r="F447" i="4"/>
  <c r="D447" i="4"/>
  <c r="F446" i="4"/>
  <c r="D446" i="4"/>
  <c r="F445" i="4"/>
  <c r="D445" i="4"/>
  <c r="D460" i="4" l="1"/>
  <c r="F460" i="4"/>
  <c r="X436" i="4"/>
  <c r="X435" i="4"/>
  <c r="V436" i="4"/>
  <c r="V435" i="4"/>
  <c r="Y441" i="4"/>
  <c r="W441" i="4"/>
  <c r="U441" i="4"/>
  <c r="T441" i="4"/>
  <c r="X440" i="4"/>
  <c r="V440" i="4"/>
  <c r="X439" i="4"/>
  <c r="V439" i="4"/>
  <c r="X438" i="4"/>
  <c r="V438" i="4"/>
  <c r="X437" i="4"/>
  <c r="V437" i="4"/>
  <c r="X434" i="4"/>
  <c r="V434" i="4"/>
  <c r="X433" i="4"/>
  <c r="V433" i="4"/>
  <c r="X432" i="4"/>
  <c r="V432" i="4"/>
  <c r="X431" i="4"/>
  <c r="V431" i="4"/>
  <c r="X430" i="4"/>
  <c r="V430" i="4"/>
  <c r="X429" i="4"/>
  <c r="V429" i="4"/>
  <c r="X428" i="4"/>
  <c r="V428" i="4"/>
  <c r="X427" i="4"/>
  <c r="V427" i="4"/>
  <c r="X426" i="4"/>
  <c r="V426" i="4"/>
  <c r="X425" i="4"/>
  <c r="V425" i="4"/>
  <c r="X441" i="4" l="1"/>
  <c r="V441" i="4"/>
  <c r="K440" i="4" l="1"/>
  <c r="P440" i="4"/>
  <c r="N440" i="4"/>
  <c r="L440" i="4"/>
  <c r="O439" i="4"/>
  <c r="M439" i="4"/>
  <c r="O438" i="4"/>
  <c r="M438" i="4"/>
  <c r="O437" i="4"/>
  <c r="M437" i="4"/>
  <c r="O436" i="4"/>
  <c r="M436" i="4"/>
  <c r="O435" i="4"/>
  <c r="M435" i="4"/>
  <c r="O434" i="4"/>
  <c r="M434" i="4"/>
  <c r="O433" i="4"/>
  <c r="M433" i="4"/>
  <c r="O432" i="4"/>
  <c r="M432" i="4"/>
  <c r="O431" i="4"/>
  <c r="M431" i="4"/>
  <c r="O430" i="4"/>
  <c r="M430" i="4"/>
  <c r="O429" i="4"/>
  <c r="M429" i="4"/>
  <c r="O428" i="4"/>
  <c r="M428" i="4"/>
  <c r="O427" i="4"/>
  <c r="M427" i="4"/>
  <c r="O426" i="4"/>
  <c r="M426" i="4"/>
  <c r="O425" i="4"/>
  <c r="M425" i="4"/>
  <c r="M440" i="4" l="1"/>
  <c r="O440" i="4"/>
  <c r="G439" i="4" l="1"/>
  <c r="E439" i="4"/>
  <c r="C439" i="4"/>
  <c r="B439" i="4"/>
  <c r="F438" i="4"/>
  <c r="D438" i="4"/>
  <c r="F437" i="4"/>
  <c r="D437" i="4"/>
  <c r="F436" i="4"/>
  <c r="D436" i="4"/>
  <c r="F435" i="4"/>
  <c r="D435" i="4"/>
  <c r="F434" i="4"/>
  <c r="D434" i="4"/>
  <c r="F433" i="4"/>
  <c r="D433" i="4"/>
  <c r="F432" i="4"/>
  <c r="D432" i="4"/>
  <c r="F431" i="4"/>
  <c r="D431" i="4"/>
  <c r="F430" i="4"/>
  <c r="D430" i="4"/>
  <c r="F429" i="4"/>
  <c r="D429" i="4"/>
  <c r="F428" i="4"/>
  <c r="D428" i="4"/>
  <c r="F427" i="4"/>
  <c r="D427" i="4"/>
  <c r="F426" i="4"/>
  <c r="D426" i="4"/>
  <c r="F425" i="4"/>
  <c r="D425" i="4"/>
  <c r="D439" i="4" l="1"/>
  <c r="F439" i="4"/>
  <c r="Y420" i="4" l="1"/>
  <c r="W420" i="4"/>
  <c r="U420" i="4"/>
  <c r="T420" i="4"/>
  <c r="X419" i="4"/>
  <c r="V419" i="4"/>
  <c r="X418" i="4"/>
  <c r="V418" i="4"/>
  <c r="X417" i="4"/>
  <c r="V417" i="4"/>
  <c r="X416" i="4"/>
  <c r="V416" i="4"/>
  <c r="X415" i="4"/>
  <c r="V415" i="4"/>
  <c r="X414" i="4"/>
  <c r="V414" i="4"/>
  <c r="X413" i="4"/>
  <c r="V413" i="4"/>
  <c r="X412" i="4"/>
  <c r="V412" i="4"/>
  <c r="X411" i="4"/>
  <c r="V411" i="4"/>
  <c r="X410" i="4"/>
  <c r="V410" i="4"/>
  <c r="X409" i="4"/>
  <c r="V409" i="4"/>
  <c r="X408" i="4"/>
  <c r="V408" i="4"/>
  <c r="X407" i="4"/>
  <c r="V407" i="4"/>
  <c r="X406" i="4"/>
  <c r="V406" i="4"/>
  <c r="X405" i="4"/>
  <c r="V405" i="4"/>
  <c r="V420" i="4" l="1"/>
  <c r="X420" i="4"/>
  <c r="P420" i="4"/>
  <c r="N420" i="4"/>
  <c r="L420" i="4"/>
  <c r="K420" i="4"/>
  <c r="O419" i="4"/>
  <c r="M419" i="4"/>
  <c r="O418" i="4"/>
  <c r="M418" i="4"/>
  <c r="O417" i="4"/>
  <c r="M417" i="4"/>
  <c r="O416" i="4"/>
  <c r="M416" i="4"/>
  <c r="O415" i="4"/>
  <c r="M415" i="4"/>
  <c r="O414" i="4"/>
  <c r="M414" i="4"/>
  <c r="O413" i="4"/>
  <c r="M413" i="4"/>
  <c r="O412" i="4"/>
  <c r="M412" i="4"/>
  <c r="O411" i="4"/>
  <c r="M411" i="4"/>
  <c r="O410" i="4"/>
  <c r="M410" i="4"/>
  <c r="O409" i="4"/>
  <c r="M409" i="4"/>
  <c r="O408" i="4"/>
  <c r="M408" i="4"/>
  <c r="O407" i="4"/>
  <c r="M407" i="4"/>
  <c r="O406" i="4"/>
  <c r="M406" i="4"/>
  <c r="O405" i="4"/>
  <c r="M405" i="4"/>
  <c r="O420" i="4" l="1"/>
  <c r="M420" i="4"/>
  <c r="D407" i="4"/>
  <c r="D408" i="4"/>
  <c r="D409" i="4"/>
  <c r="D410" i="4"/>
  <c r="D411" i="4"/>
  <c r="D412" i="4"/>
  <c r="D413" i="4"/>
  <c r="D414" i="4"/>
  <c r="D415" i="4"/>
  <c r="F407" i="4"/>
  <c r="F408" i="4"/>
  <c r="F409" i="4"/>
  <c r="F410" i="4"/>
  <c r="F411" i="4"/>
  <c r="F412" i="4"/>
  <c r="F413" i="4"/>
  <c r="F414" i="4"/>
  <c r="F415" i="4"/>
  <c r="G420" i="4"/>
  <c r="E420" i="4"/>
  <c r="C420" i="4"/>
  <c r="B420" i="4"/>
  <c r="F419" i="4"/>
  <c r="D419" i="4"/>
  <c r="F418" i="4"/>
  <c r="D418" i="4"/>
  <c r="F417" i="4"/>
  <c r="D417" i="4"/>
  <c r="F416" i="4"/>
  <c r="D416" i="4"/>
  <c r="F406" i="4"/>
  <c r="D406" i="4"/>
  <c r="F405" i="4"/>
  <c r="D405" i="4"/>
  <c r="G399" i="4"/>
  <c r="E399" i="4"/>
  <c r="C399" i="4"/>
  <c r="B399" i="4"/>
  <c r="F398" i="4"/>
  <c r="D398" i="4"/>
  <c r="F397" i="4"/>
  <c r="D397" i="4"/>
  <c r="F396" i="4"/>
  <c r="D396" i="4"/>
  <c r="F395" i="4"/>
  <c r="D395" i="4"/>
  <c r="F394" i="4"/>
  <c r="D394" i="4"/>
  <c r="F393" i="4"/>
  <c r="D393" i="4"/>
  <c r="F420" i="4" l="1"/>
  <c r="D399" i="4"/>
  <c r="D420" i="4"/>
  <c r="F399" i="4"/>
  <c r="G381" i="4" l="1"/>
  <c r="E381" i="4"/>
  <c r="C381" i="4"/>
  <c r="B381" i="4"/>
  <c r="F380" i="4"/>
  <c r="D380" i="4"/>
  <c r="F379" i="4"/>
  <c r="D379" i="4"/>
  <c r="F378" i="4"/>
  <c r="D378" i="4"/>
  <c r="F377" i="4"/>
  <c r="D377" i="4"/>
  <c r="F376" i="4"/>
  <c r="D376" i="4"/>
  <c r="D381" i="4" l="1"/>
  <c r="F381" i="4"/>
  <c r="Y369" i="4" l="1"/>
  <c r="W369" i="4"/>
  <c r="U369" i="4"/>
  <c r="T369" i="4"/>
  <c r="X368" i="4"/>
  <c r="V368" i="4"/>
  <c r="X367" i="4"/>
  <c r="V367" i="4"/>
  <c r="X366" i="4"/>
  <c r="V366" i="4"/>
  <c r="X365" i="4"/>
  <c r="V365" i="4"/>
  <c r="X364" i="4"/>
  <c r="V364" i="4"/>
  <c r="V369" i="4" l="1"/>
  <c r="X369" i="4"/>
  <c r="P369" i="4" l="1"/>
  <c r="N369" i="4"/>
  <c r="L369" i="4"/>
  <c r="K369" i="4"/>
  <c r="O368" i="4"/>
  <c r="M368" i="4"/>
  <c r="O367" i="4"/>
  <c r="M367" i="4"/>
  <c r="O366" i="4"/>
  <c r="M366" i="4"/>
  <c r="O365" i="4"/>
  <c r="M365" i="4"/>
  <c r="O364" i="4"/>
  <c r="M364" i="4"/>
  <c r="M369" i="4" l="1"/>
  <c r="O369" i="4"/>
  <c r="F370" i="4" l="1"/>
  <c r="D370" i="4"/>
  <c r="G371" i="4"/>
  <c r="E371" i="4"/>
  <c r="B371" i="4"/>
  <c r="C371" i="4"/>
  <c r="F369" i="4"/>
  <c r="D369" i="4"/>
  <c r="F368" i="4"/>
  <c r="D368" i="4"/>
  <c r="F367" i="4"/>
  <c r="D367" i="4"/>
  <c r="F366" i="4"/>
  <c r="D366" i="4"/>
  <c r="F365" i="4"/>
  <c r="D365" i="4"/>
  <c r="F364" i="4"/>
  <c r="D364" i="4"/>
  <c r="F371" i="4" l="1"/>
  <c r="D371" i="4"/>
  <c r="Y357" i="4" l="1"/>
  <c r="W357" i="4"/>
  <c r="U357" i="4"/>
  <c r="T357" i="4"/>
  <c r="X356" i="4"/>
  <c r="V356" i="4"/>
  <c r="X355" i="4"/>
  <c r="V355" i="4"/>
  <c r="X354" i="4"/>
  <c r="V354" i="4"/>
  <c r="X353" i="4"/>
  <c r="V353" i="4"/>
  <c r="X352" i="4"/>
  <c r="V352" i="4"/>
  <c r="X351" i="4"/>
  <c r="V351" i="4"/>
  <c r="X357" i="4" l="1"/>
  <c r="V357" i="4"/>
  <c r="P357" i="4" l="1"/>
  <c r="N357" i="4"/>
  <c r="L357" i="4"/>
  <c r="K357" i="4"/>
  <c r="O356" i="4"/>
  <c r="M356" i="4"/>
  <c r="O355" i="4"/>
  <c r="M355" i="4"/>
  <c r="O354" i="4"/>
  <c r="M354" i="4"/>
  <c r="O353" i="4"/>
  <c r="M353" i="4"/>
  <c r="O352" i="4"/>
  <c r="M352" i="4"/>
  <c r="O351" i="4"/>
  <c r="M351" i="4"/>
  <c r="O357" i="4" l="1"/>
  <c r="M357" i="4"/>
  <c r="G358" i="4"/>
  <c r="E358" i="4"/>
  <c r="C358" i="4"/>
  <c r="B358" i="4"/>
  <c r="D357" i="4"/>
  <c r="F357" i="4"/>
  <c r="F356" i="4"/>
  <c r="D356" i="4"/>
  <c r="F355" i="4"/>
  <c r="D355" i="4"/>
  <c r="F354" i="4"/>
  <c r="D354" i="4"/>
  <c r="F353" i="4"/>
  <c r="D353" i="4"/>
  <c r="F352" i="4"/>
  <c r="D352" i="4"/>
  <c r="F351" i="4"/>
  <c r="D351" i="4"/>
  <c r="D358" i="4" l="1"/>
  <c r="F358" i="4"/>
  <c r="Y345" i="4" l="1"/>
  <c r="W345" i="4"/>
  <c r="U345" i="4"/>
  <c r="T345" i="4"/>
  <c r="X344" i="4"/>
  <c r="V344" i="4"/>
  <c r="X343" i="4"/>
  <c r="V343" i="4"/>
  <c r="X342" i="4"/>
  <c r="V342" i="4"/>
  <c r="X341" i="4"/>
  <c r="V341" i="4"/>
  <c r="X340" i="4"/>
  <c r="V340" i="4"/>
  <c r="X339" i="4"/>
  <c r="V339" i="4"/>
  <c r="V345" i="4" l="1"/>
  <c r="X345" i="4"/>
  <c r="P345" i="4" l="1"/>
  <c r="N345" i="4"/>
  <c r="L345" i="4"/>
  <c r="K345" i="4"/>
  <c r="O344" i="4"/>
  <c r="M344" i="4"/>
  <c r="O343" i="4"/>
  <c r="M343" i="4"/>
  <c r="O342" i="4"/>
  <c r="M342" i="4"/>
  <c r="O341" i="4"/>
  <c r="M341" i="4"/>
  <c r="O340" i="4"/>
  <c r="M340" i="4"/>
  <c r="O339" i="4"/>
  <c r="M339" i="4"/>
  <c r="O345" i="4" l="1"/>
  <c r="M345" i="4"/>
  <c r="G345" i="4" l="1"/>
  <c r="E345" i="4"/>
  <c r="C345" i="4"/>
  <c r="B345" i="4"/>
  <c r="F344" i="4"/>
  <c r="D344" i="4"/>
  <c r="F343" i="4"/>
  <c r="D343" i="4"/>
  <c r="F342" i="4"/>
  <c r="D342" i="4"/>
  <c r="F341" i="4"/>
  <c r="D341" i="4"/>
  <c r="F340" i="4"/>
  <c r="D340" i="4"/>
  <c r="F339" i="4"/>
  <c r="D339" i="4"/>
  <c r="D345" i="4" l="1"/>
  <c r="F345" i="4"/>
  <c r="Y331" i="4" l="1"/>
  <c r="W331" i="4"/>
  <c r="U331" i="4"/>
  <c r="T331" i="4"/>
  <c r="X330" i="4"/>
  <c r="V330" i="4"/>
  <c r="X329" i="4"/>
  <c r="V329" i="4"/>
  <c r="X328" i="4"/>
  <c r="V328" i="4"/>
  <c r="X327" i="4"/>
  <c r="V327" i="4"/>
  <c r="X326" i="4"/>
  <c r="V326" i="4"/>
  <c r="X325" i="4"/>
  <c r="V325" i="4"/>
  <c r="V331" i="4" l="1"/>
  <c r="X331" i="4"/>
  <c r="P331" i="4" l="1"/>
  <c r="L331" i="4"/>
  <c r="K331" i="4"/>
  <c r="N331" i="4"/>
  <c r="M330" i="4"/>
  <c r="O330" i="4"/>
  <c r="O329" i="4"/>
  <c r="M329" i="4"/>
  <c r="O328" i="4"/>
  <c r="M328" i="4"/>
  <c r="O327" i="4"/>
  <c r="M327" i="4"/>
  <c r="O326" i="4"/>
  <c r="M326" i="4"/>
  <c r="O325" i="4"/>
  <c r="M325" i="4"/>
  <c r="M331" i="4" l="1"/>
  <c r="O331" i="4"/>
  <c r="G330" i="4" l="1"/>
  <c r="E330" i="4"/>
  <c r="C330" i="4"/>
  <c r="B330" i="4"/>
  <c r="F329" i="4"/>
  <c r="D329" i="4"/>
  <c r="F328" i="4"/>
  <c r="D328" i="4"/>
  <c r="F327" i="4"/>
  <c r="D327" i="4"/>
  <c r="F326" i="4"/>
  <c r="D326" i="4"/>
  <c r="F325" i="4"/>
  <c r="D325" i="4"/>
  <c r="D330" i="4" l="1"/>
  <c r="F330" i="4"/>
  <c r="W309" i="4" l="1"/>
  <c r="W318" i="4" s="1"/>
  <c r="Y318" i="4"/>
  <c r="U318" i="4"/>
  <c r="X317" i="4"/>
  <c r="V317" i="4"/>
  <c r="X316" i="4"/>
  <c r="V316" i="4"/>
  <c r="X315" i="4"/>
  <c r="V315" i="4"/>
  <c r="X314" i="4"/>
  <c r="X313" i="4"/>
  <c r="V313" i="4"/>
  <c r="X312" i="4"/>
  <c r="V312" i="4"/>
  <c r="X311" i="4"/>
  <c r="V311" i="4"/>
  <c r="X310" i="4"/>
  <c r="V310" i="4"/>
  <c r="V309" i="4"/>
  <c r="X309" i="4" l="1"/>
  <c r="X318" i="4" s="1"/>
  <c r="V314" i="4"/>
  <c r="V318" i="4" s="1"/>
  <c r="T318" i="4"/>
  <c r="L315" i="4"/>
  <c r="K315" i="4"/>
  <c r="O310" i="4"/>
  <c r="M310" i="4"/>
  <c r="O309" i="4"/>
  <c r="M309" i="4"/>
  <c r="G315" i="4" l="1"/>
  <c r="E315" i="4"/>
  <c r="C315" i="4"/>
  <c r="D314" i="4"/>
  <c r="F313" i="4"/>
  <c r="D313" i="4"/>
  <c r="F312" i="4"/>
  <c r="D312" i="4"/>
  <c r="F311" i="4"/>
  <c r="D311" i="4"/>
  <c r="F310" i="4"/>
  <c r="D310" i="4"/>
  <c r="F309" i="4"/>
  <c r="D309" i="4"/>
  <c r="D315" i="4" l="1"/>
  <c r="B315" i="4"/>
  <c r="F314" i="4"/>
  <c r="F315" i="4" s="1"/>
  <c r="G292" i="4" l="1"/>
  <c r="F291" i="4"/>
  <c r="F290" i="4"/>
  <c r="F289" i="4"/>
  <c r="F287" i="4"/>
  <c r="F286" i="4"/>
  <c r="F285" i="4"/>
  <c r="F284" i="4"/>
  <c r="F283" i="4"/>
  <c r="D284" i="4"/>
  <c r="D285" i="4"/>
  <c r="D286" i="4"/>
  <c r="D287" i="4"/>
  <c r="D289" i="4"/>
  <c r="D290" i="4"/>
  <c r="D291" i="4"/>
  <c r="D283" i="4"/>
  <c r="B288" i="4"/>
  <c r="F288" i="4" s="1"/>
  <c r="E292" i="4"/>
  <c r="C292" i="4"/>
  <c r="B292" i="4" l="1"/>
  <c r="D288" i="4"/>
  <c r="D292" i="4" s="1"/>
  <c r="F292" i="4"/>
  <c r="Y272" i="4"/>
  <c r="X261" i="4"/>
  <c r="AA261" i="4" s="1"/>
  <c r="AB272" i="4"/>
  <c r="Z272" i="4"/>
  <c r="AA271" i="4"/>
  <c r="AA270" i="4"/>
  <c r="AA269" i="4"/>
  <c r="AA268" i="4"/>
  <c r="AA267" i="4"/>
  <c r="AA266" i="4"/>
  <c r="AA265" i="4"/>
  <c r="AA264" i="4"/>
  <c r="AA263" i="4"/>
  <c r="AA262" i="4"/>
  <c r="AA260" i="4"/>
  <c r="AA259" i="4"/>
  <c r="AA258" i="4"/>
  <c r="AA257" i="4"/>
  <c r="AA256" i="4"/>
  <c r="X272" i="4" l="1"/>
  <c r="AA272" i="4"/>
  <c r="U278" i="4"/>
  <c r="R278" i="4"/>
  <c r="Q278" i="4"/>
  <c r="S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78" i="4" l="1"/>
  <c r="K273" i="4" l="1"/>
  <c r="K259" i="4"/>
  <c r="K266" i="4"/>
  <c r="K272" i="4"/>
  <c r="K271" i="4"/>
  <c r="K275" i="4"/>
  <c r="K255" i="4"/>
  <c r="K263" i="4"/>
  <c r="K270" i="4"/>
  <c r="K268" i="4"/>
  <c r="K264" i="4"/>
  <c r="K258" i="4"/>
  <c r="K260" i="4"/>
  <c r="K269" i="4"/>
  <c r="K276" i="4"/>
  <c r="K277" i="4"/>
  <c r="K262" i="4"/>
  <c r="K267" i="4"/>
  <c r="K257" i="4"/>
  <c r="K265" i="4"/>
  <c r="K274" i="4"/>
  <c r="K261" i="4"/>
  <c r="K254" i="4"/>
  <c r="N278" i="4" l="1"/>
  <c r="J278" i="4"/>
  <c r="L278" i="4"/>
  <c r="I256" i="4"/>
  <c r="K256" i="4" s="1"/>
  <c r="K278" i="4" s="1"/>
  <c r="M273" i="4"/>
  <c r="M259" i="4"/>
  <c r="M266" i="4"/>
  <c r="M272" i="4"/>
  <c r="M271" i="4"/>
  <c r="M275" i="4"/>
  <c r="M255" i="4"/>
  <c r="M263" i="4"/>
  <c r="M270" i="4"/>
  <c r="M268" i="4"/>
  <c r="M264" i="4"/>
  <c r="M258" i="4"/>
  <c r="M260" i="4"/>
  <c r="M269" i="4"/>
  <c r="M276" i="4"/>
  <c r="M277" i="4"/>
  <c r="M262" i="4"/>
  <c r="M267" i="4"/>
  <c r="M257" i="4"/>
  <c r="M265" i="4"/>
  <c r="M274" i="4"/>
  <c r="M261" i="4"/>
  <c r="M254" i="4"/>
  <c r="M256" i="4" l="1"/>
  <c r="M278" i="4" s="1"/>
  <c r="I278" i="4"/>
  <c r="D278" i="4"/>
  <c r="C278" i="4"/>
  <c r="F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B278" i="4"/>
  <c r="E260" i="4"/>
  <c r="E259" i="4"/>
  <c r="E258" i="4"/>
  <c r="E257" i="4"/>
  <c r="E256" i="4"/>
  <c r="E255" i="4"/>
  <c r="E254" i="4"/>
  <c r="E253" i="4"/>
  <c r="E261" i="4" l="1"/>
  <c r="E278" i="4" s="1"/>
  <c r="U249" i="4"/>
  <c r="R249" i="4"/>
  <c r="T248" i="4"/>
  <c r="T247" i="4"/>
  <c r="T246" i="4"/>
  <c r="T245" i="4"/>
  <c r="T244" i="4"/>
  <c r="Q232" i="4"/>
  <c r="T232" i="4" s="1"/>
  <c r="T243" i="4"/>
  <c r="T242" i="4"/>
  <c r="T241" i="4"/>
  <c r="T240" i="4"/>
  <c r="T239" i="4"/>
  <c r="T238" i="4"/>
  <c r="T237" i="4"/>
  <c r="T236" i="4"/>
  <c r="T235" i="4"/>
  <c r="T234" i="4"/>
  <c r="T233" i="4"/>
  <c r="T231" i="4"/>
  <c r="T230" i="4"/>
  <c r="T229" i="4"/>
  <c r="T228" i="4"/>
  <c r="T227" i="4"/>
  <c r="T225" i="4"/>
  <c r="T224" i="4"/>
  <c r="Q249" i="4" l="1"/>
  <c r="T226" i="4"/>
  <c r="T249" i="4" s="1"/>
  <c r="S249" i="4" l="1"/>
  <c r="N243" i="4" l="1"/>
  <c r="J243" i="4"/>
  <c r="I240" i="4"/>
  <c r="M240" i="4" s="1"/>
  <c r="I232" i="4"/>
  <c r="M232" i="4" s="1"/>
  <c r="I230" i="4"/>
  <c r="M230" i="4" s="1"/>
  <c r="I229" i="4"/>
  <c r="M229" i="4" s="1"/>
  <c r="I228" i="4"/>
  <c r="I227" i="4"/>
  <c r="M227" i="4" s="1"/>
  <c r="I225" i="4"/>
  <c r="M225" i="4" s="1"/>
  <c r="L243" i="4"/>
  <c r="M242" i="4"/>
  <c r="M241" i="4"/>
  <c r="M239" i="4"/>
  <c r="M238" i="4"/>
  <c r="M237" i="4"/>
  <c r="M236" i="4"/>
  <c r="M235" i="4"/>
  <c r="M234" i="4"/>
  <c r="M233" i="4"/>
  <c r="M231" i="4"/>
  <c r="M226" i="4"/>
  <c r="M224" i="4"/>
  <c r="M223" i="4"/>
  <c r="I243" i="4" l="1"/>
  <c r="M228" i="4"/>
  <c r="M243" i="4" s="1"/>
  <c r="F243" i="4" l="1"/>
  <c r="D243" i="4"/>
  <c r="E242" i="4"/>
  <c r="E241" i="4"/>
  <c r="C243" i="4"/>
  <c r="B243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43" i="4" l="1"/>
  <c r="AB220" i="4" l="1"/>
  <c r="Z220" i="4"/>
  <c r="Y220" i="4"/>
  <c r="X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20" i="4" l="1"/>
  <c r="U220" i="4"/>
  <c r="S220" i="4"/>
  <c r="R220" i="4"/>
  <c r="Q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20" i="4" l="1"/>
  <c r="I219" i="4"/>
  <c r="J219" i="4"/>
  <c r="L219" i="4"/>
  <c r="N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19" i="4" l="1"/>
  <c r="F212" i="4"/>
  <c r="D212" i="4"/>
  <c r="C212" i="4"/>
  <c r="B212" i="4"/>
  <c r="E203" i="4"/>
  <c r="E204" i="4"/>
  <c r="E205" i="4"/>
  <c r="E206" i="4"/>
  <c r="E207" i="4"/>
  <c r="E208" i="4"/>
  <c r="E209" i="4"/>
  <c r="E210" i="4"/>
  <c r="E211" i="4"/>
  <c r="E202" i="4"/>
  <c r="E212" i="4" l="1"/>
  <c r="K294" i="4" s="1"/>
  <c r="S183" i="4"/>
  <c r="R183" i="4"/>
  <c r="Q182" i="4"/>
  <c r="Q183" i="4" s="1"/>
  <c r="U183" i="4"/>
  <c r="T181" i="4"/>
  <c r="T180" i="4"/>
  <c r="T179" i="4"/>
  <c r="T178" i="4"/>
  <c r="T177" i="4"/>
  <c r="T176" i="4"/>
  <c r="T175" i="4"/>
  <c r="T182" i="4" l="1"/>
  <c r="T183" i="4" s="1"/>
  <c r="I188" i="4"/>
  <c r="J188" i="4"/>
  <c r="L188" i="4"/>
  <c r="N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88" i="4" l="1"/>
  <c r="D193" i="4"/>
  <c r="C193" i="4"/>
  <c r="B193" i="4"/>
  <c r="F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93" i="4" l="1"/>
  <c r="U171" i="4"/>
  <c r="R171" i="4"/>
  <c r="S171" i="4"/>
  <c r="T170" i="4"/>
  <c r="T169" i="4"/>
  <c r="T168" i="4"/>
  <c r="T160" i="4"/>
  <c r="T153" i="4"/>
  <c r="Q159" i="4"/>
  <c r="Q171" i="4" s="1"/>
  <c r="T167" i="4"/>
  <c r="T166" i="4"/>
  <c r="T165" i="4"/>
  <c r="T164" i="4"/>
  <c r="T163" i="4"/>
  <c r="T162" i="4"/>
  <c r="T161" i="4"/>
  <c r="T158" i="4"/>
  <c r="T156" i="4"/>
  <c r="T155" i="4"/>
  <c r="T154" i="4"/>
  <c r="T152" i="4"/>
  <c r="T151" i="4"/>
  <c r="T150" i="4"/>
  <c r="T149" i="4"/>
  <c r="T159" i="4" l="1"/>
  <c r="T157" i="4"/>
  <c r="N169" i="4"/>
  <c r="L169" i="4"/>
  <c r="J169" i="4"/>
  <c r="M162" i="4"/>
  <c r="M161" i="4"/>
  <c r="M154" i="4"/>
  <c r="I160" i="4"/>
  <c r="M160" i="4" s="1"/>
  <c r="I158" i="4"/>
  <c r="M158" i="4" s="1"/>
  <c r="M168" i="4"/>
  <c r="M167" i="4"/>
  <c r="M166" i="4"/>
  <c r="M165" i="4"/>
  <c r="M164" i="4"/>
  <c r="M163" i="4"/>
  <c r="M159" i="4"/>
  <c r="M157" i="4"/>
  <c r="M156" i="4"/>
  <c r="M155" i="4"/>
  <c r="M152" i="4"/>
  <c r="M151" i="4"/>
  <c r="M150" i="4"/>
  <c r="M149" i="4"/>
  <c r="T171" i="4" l="1"/>
  <c r="I169" i="4"/>
  <c r="M153" i="4"/>
  <c r="M169" i="4" s="1"/>
  <c r="F170" i="4"/>
  <c r="D170" i="4" l="1"/>
  <c r="C170" i="4"/>
  <c r="E169" i="4"/>
  <c r="E168" i="4"/>
  <c r="E167" i="4"/>
  <c r="E166" i="4"/>
  <c r="E165" i="4"/>
  <c r="E164" i="4"/>
  <c r="E163" i="4"/>
  <c r="E162" i="4"/>
  <c r="E161" i="4"/>
  <c r="E160" i="4"/>
  <c r="B170" i="4"/>
  <c r="E159" i="4"/>
  <c r="E158" i="4"/>
  <c r="E157" i="4"/>
  <c r="E156" i="4"/>
  <c r="E155" i="4"/>
  <c r="E154" i="4"/>
  <c r="E153" i="4"/>
  <c r="E152" i="4"/>
  <c r="E151" i="4"/>
  <c r="E150" i="4"/>
  <c r="E149" i="4"/>
  <c r="E170" i="4" l="1"/>
  <c r="U144" i="4"/>
  <c r="S144" i="4"/>
  <c r="R144" i="4"/>
  <c r="Q134" i="4"/>
  <c r="Q144" i="4" s="1"/>
  <c r="T123" i="4"/>
  <c r="T124" i="4"/>
  <c r="T125" i="4"/>
  <c r="T126" i="4"/>
  <c r="T127" i="4"/>
  <c r="T128" i="4"/>
  <c r="T129" i="4"/>
  <c r="T130" i="4"/>
  <c r="T131" i="4"/>
  <c r="T132" i="4"/>
  <c r="T133" i="4"/>
  <c r="T135" i="4"/>
  <c r="T136" i="4"/>
  <c r="T137" i="4"/>
  <c r="T138" i="4"/>
  <c r="T139" i="4"/>
  <c r="T140" i="4"/>
  <c r="T141" i="4"/>
  <c r="T142" i="4"/>
  <c r="T143" i="4"/>
  <c r="T134" i="4" l="1"/>
  <c r="T144" i="4" s="1"/>
  <c r="N145" i="4" l="1"/>
  <c r="L145" i="4"/>
  <c r="J145" i="4"/>
  <c r="I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45" i="4" l="1"/>
  <c r="F145" i="4"/>
  <c r="D145" i="4"/>
  <c r="E144" i="4"/>
  <c r="C145" i="4"/>
  <c r="B145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45" i="4" l="1"/>
  <c r="U119" i="4"/>
  <c r="S119" i="4"/>
  <c r="R119" i="4"/>
  <c r="Q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119" i="4" l="1"/>
  <c r="P118" i="4"/>
  <c r="I117" i="4" l="1"/>
  <c r="J117" i="4"/>
  <c r="L117" i="4"/>
  <c r="N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117" i="4" l="1"/>
  <c r="D115" i="4" l="1"/>
  <c r="F115" i="4"/>
  <c r="C115" i="4"/>
  <c r="B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115" i="4" l="1"/>
  <c r="U93" i="4"/>
  <c r="S93" i="4"/>
  <c r="R93" i="4"/>
  <c r="Q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93" i="4" l="1"/>
  <c r="N90" i="4"/>
  <c r="L90" i="4"/>
  <c r="J90" i="4"/>
  <c r="I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90" i="4" l="1"/>
  <c r="F89" i="4"/>
  <c r="D89" i="4"/>
  <c r="C89" i="4"/>
  <c r="B89" i="4"/>
  <c r="E88" i="4"/>
  <c r="E87" i="4"/>
  <c r="E86" i="4"/>
  <c r="E85" i="4"/>
  <c r="E84" i="4"/>
  <c r="E83" i="4"/>
  <c r="E82" i="4"/>
  <c r="E81" i="4"/>
  <c r="E80" i="4"/>
  <c r="E79" i="4"/>
  <c r="E78" i="4"/>
  <c r="E77" i="4"/>
  <c r="E89" i="4" l="1"/>
  <c r="T72" i="4" l="1"/>
  <c r="T70" i="4"/>
  <c r="T69" i="4"/>
  <c r="T68" i="4"/>
  <c r="T67" i="4"/>
  <c r="T66" i="4"/>
  <c r="T65" i="4"/>
  <c r="T64" i="4"/>
  <c r="T63" i="4"/>
  <c r="T62" i="4"/>
  <c r="S73" i="4"/>
  <c r="R73" i="4"/>
  <c r="Q73" i="4"/>
  <c r="U73" i="4"/>
  <c r="T73" i="4" l="1"/>
  <c r="N72" i="4"/>
  <c r="I72" i="4"/>
  <c r="J72" i="4"/>
  <c r="L72" i="4"/>
  <c r="M71" i="4"/>
  <c r="M70" i="4"/>
  <c r="M69" i="4"/>
  <c r="M68" i="4"/>
  <c r="M67" i="4"/>
  <c r="M66" i="4"/>
  <c r="M65" i="4"/>
  <c r="M64" i="4"/>
  <c r="M63" i="4"/>
  <c r="M62" i="4"/>
  <c r="M61" i="4"/>
  <c r="M72" i="4" l="1"/>
  <c r="F67" i="4"/>
  <c r="B67" i="4"/>
  <c r="D67" i="4"/>
  <c r="C67" i="4"/>
  <c r="E66" i="4"/>
  <c r="E65" i="4"/>
  <c r="E64" i="4"/>
  <c r="E63" i="4"/>
  <c r="E61" i="4"/>
  <c r="E62" i="4" l="1"/>
  <c r="E67" i="4" s="1"/>
  <c r="T192" i="4" s="1"/>
  <c r="S43" i="4" l="1"/>
  <c r="R43" i="4"/>
  <c r="Q41" i="4"/>
  <c r="T41" i="4" s="1"/>
  <c r="Q40" i="4"/>
  <c r="T40" i="4" s="1"/>
  <c r="Q37" i="4"/>
  <c r="U43" i="4"/>
  <c r="T42" i="4"/>
  <c r="T39" i="4"/>
  <c r="T38" i="4"/>
  <c r="T36" i="4"/>
  <c r="Q43" i="4" l="1"/>
  <c r="T37" i="4"/>
  <c r="T43" i="4" s="1"/>
  <c r="N47" i="4" l="1"/>
  <c r="L47" i="4"/>
  <c r="I47" i="4"/>
  <c r="J47" i="4"/>
  <c r="M41" i="4"/>
  <c r="M45" i="4"/>
  <c r="M46" i="4"/>
  <c r="M44" i="4"/>
  <c r="M42" i="4"/>
  <c r="M38" i="4"/>
  <c r="M37" i="4"/>
  <c r="M43" i="4"/>
  <c r="M40" i="4"/>
  <c r="M39" i="4"/>
  <c r="M36" i="4" l="1"/>
  <c r="M47" i="4" s="1"/>
  <c r="F53" i="4" l="1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53" i="4" l="1"/>
  <c r="U30" i="4" l="1"/>
  <c r="S30" i="4"/>
  <c r="T29" i="4"/>
  <c r="T28" i="4"/>
  <c r="R30" i="4"/>
  <c r="Q30" i="4"/>
  <c r="T27" i="4"/>
  <c r="T26" i="4"/>
  <c r="T25" i="4"/>
  <c r="T24" i="4"/>
  <c r="T23" i="4"/>
  <c r="T22" i="4"/>
  <c r="T21" i="4"/>
  <c r="T20" i="4"/>
  <c r="T19" i="4"/>
  <c r="T18" i="4"/>
  <c r="T17" i="4"/>
  <c r="T16" i="4"/>
  <c r="T30" i="4" l="1"/>
  <c r="I28" i="4" l="1"/>
  <c r="J28" i="4"/>
  <c r="L28" i="4"/>
  <c r="N28" i="4"/>
  <c r="M27" i="4"/>
  <c r="M26" i="4"/>
  <c r="M25" i="4" l="1"/>
  <c r="M24" i="4"/>
  <c r="M23" i="4"/>
  <c r="M22" i="4"/>
  <c r="M21" i="4"/>
  <c r="M20" i="4"/>
  <c r="M19" i="4"/>
  <c r="M18" i="4"/>
  <c r="M17" i="4"/>
  <c r="M16" i="4"/>
  <c r="M28" i="4" l="1"/>
  <c r="F28" i="4"/>
  <c r="D28" i="4"/>
  <c r="C28" i="4"/>
  <c r="B28" i="4"/>
  <c r="E27" i="4"/>
  <c r="E26" i="4" l="1"/>
  <c r="E25" i="4"/>
  <c r="E24" i="4"/>
  <c r="E23" i="4"/>
  <c r="E22" i="4"/>
  <c r="E21" i="4"/>
  <c r="E20" i="4"/>
  <c r="E19" i="4"/>
  <c r="E18" i="4"/>
  <c r="E17" i="4"/>
  <c r="E16" i="4"/>
  <c r="E28" i="4" l="1"/>
  <c r="AA12" i="4"/>
  <c r="Y12" i="4"/>
  <c r="X12" i="4"/>
  <c r="W12" i="4"/>
  <c r="Z11" i="4"/>
  <c r="Z10" i="4"/>
  <c r="Z9" i="4"/>
  <c r="Z8" i="4"/>
  <c r="Z7" i="4"/>
  <c r="Z6" i="4"/>
  <c r="Z5" i="4"/>
  <c r="Z4" i="4"/>
  <c r="Z3" i="4"/>
  <c r="Z12" i="4" l="1"/>
  <c r="Q10" i="4" l="1"/>
  <c r="R10" i="4"/>
  <c r="T10" i="4"/>
  <c r="S9" i="4"/>
  <c r="S8" i="4"/>
  <c r="S7" i="4"/>
  <c r="S6" i="4"/>
  <c r="S5" i="4"/>
  <c r="S4" i="4"/>
  <c r="S3" i="4"/>
  <c r="S10" i="4" l="1"/>
  <c r="M9" i="4" l="1"/>
  <c r="J9" i="4"/>
  <c r="J2" i="4" s="1"/>
  <c r="I9" i="4"/>
  <c r="H9" i="4"/>
  <c r="L4" i="4"/>
  <c r="L2" i="4" s="1"/>
  <c r="E5" i="4" l="1"/>
  <c r="E4" i="4"/>
  <c r="E3" i="4"/>
  <c r="H52" i="4" l="1"/>
  <c r="L233" i="1"/>
  <c r="A233" i="1"/>
  <c r="G233" i="1"/>
  <c r="L234" i="1" l="1"/>
  <c r="N233" i="1"/>
  <c r="R233" i="1" s="1"/>
  <c r="L235" i="1"/>
  <c r="A234" i="1"/>
  <c r="A235" i="1"/>
  <c r="K233" i="1"/>
  <c r="G235" i="1"/>
  <c r="G234" i="1"/>
  <c r="N234" i="1" l="1"/>
  <c r="R234" i="1" s="1"/>
  <c r="N235" i="1"/>
  <c r="R235" i="1" s="1"/>
  <c r="L236" i="1"/>
  <c r="Z233" i="1"/>
  <c r="A236" i="1"/>
  <c r="K234" i="1"/>
  <c r="G236" i="1"/>
  <c r="N236" i="1" l="1"/>
  <c r="R236" i="1" s="1"/>
  <c r="L237" i="1"/>
  <c r="L238" i="1" s="1"/>
  <c r="Z234" i="1"/>
  <c r="B238" i="1"/>
  <c r="M238" i="1"/>
  <c r="A238" i="1"/>
  <c r="A237" i="1"/>
  <c r="K235" i="1"/>
  <c r="C238" i="1"/>
  <c r="E238" i="1"/>
  <c r="K238" i="1"/>
  <c r="D238" i="1"/>
  <c r="I238" i="1"/>
  <c r="G237" i="1"/>
  <c r="G238" i="1"/>
  <c r="H238" i="1"/>
  <c r="J238" i="1"/>
  <c r="F238" i="1"/>
  <c r="N238" i="1" l="1"/>
  <c r="R238" i="1" s="1"/>
  <c r="L239" i="1"/>
  <c r="N237" i="1"/>
  <c r="R237" i="1" s="1"/>
  <c r="Z235" i="1"/>
  <c r="Z238" i="1"/>
  <c r="A239" i="1"/>
  <c r="K236" i="1"/>
  <c r="G239" i="1"/>
  <c r="K239" i="1"/>
  <c r="N239" i="1" l="1"/>
  <c r="R239" i="1" s="1"/>
  <c r="L240" i="1"/>
  <c r="Z236" i="1"/>
  <c r="Z239" i="1"/>
  <c r="A240" i="1"/>
  <c r="G240" i="1"/>
  <c r="K240" i="1"/>
  <c r="K237" i="1"/>
  <c r="N240" i="1" l="1"/>
  <c r="R240" i="1" s="1"/>
  <c r="Z237" i="1"/>
  <c r="Z240" i="1"/>
  <c r="A242" i="1"/>
  <c r="M234" i="1"/>
  <c r="B235" i="1"/>
  <c r="M236" i="1"/>
  <c r="B233" i="1"/>
  <c r="B239" i="1"/>
  <c r="M237" i="1"/>
  <c r="M240" i="1"/>
  <c r="M239" i="1"/>
  <c r="M235" i="1"/>
  <c r="M233" i="1"/>
  <c r="M242" i="1"/>
  <c r="B237" i="1"/>
  <c r="B240" i="1"/>
  <c r="B236" i="1"/>
  <c r="B242" i="1"/>
  <c r="B234" i="1"/>
  <c r="F237" i="1"/>
  <c r="I240" i="1"/>
  <c r="H242" i="1"/>
  <c r="I237" i="1"/>
  <c r="I236" i="1"/>
  <c r="C235" i="1"/>
  <c r="D235" i="1"/>
  <c r="E233" i="1"/>
  <c r="E237" i="1"/>
  <c r="D237" i="1"/>
  <c r="C233" i="1"/>
  <c r="F233" i="1"/>
  <c r="H240" i="1"/>
  <c r="C239" i="1"/>
  <c r="F242" i="1"/>
  <c r="F236" i="1"/>
  <c r="F235" i="1"/>
  <c r="C236" i="1"/>
  <c r="H234" i="1"/>
  <c r="G242" i="1"/>
  <c r="C234" i="1"/>
  <c r="J235" i="1"/>
  <c r="I242" i="1"/>
  <c r="J236" i="1"/>
  <c r="D233" i="1"/>
  <c r="E239" i="1"/>
  <c r="H239" i="1"/>
  <c r="H235" i="1"/>
  <c r="D239" i="1"/>
  <c r="D236" i="1"/>
  <c r="D240" i="1"/>
  <c r="F234" i="1"/>
  <c r="E240" i="1"/>
  <c r="I239" i="1"/>
  <c r="I233" i="1"/>
  <c r="C242" i="1"/>
  <c r="E234" i="1"/>
  <c r="F239" i="1"/>
  <c r="J234" i="1"/>
  <c r="E235" i="1"/>
  <c r="D234" i="1"/>
  <c r="H233" i="1"/>
  <c r="J237" i="1"/>
  <c r="J233" i="1"/>
  <c r="J239" i="1"/>
  <c r="F240" i="1"/>
  <c r="E236" i="1"/>
  <c r="K242" i="1"/>
  <c r="E242" i="1"/>
  <c r="H237" i="1"/>
  <c r="I234" i="1"/>
  <c r="D242" i="1"/>
  <c r="C240" i="1"/>
  <c r="C237" i="1"/>
  <c r="J242" i="1"/>
  <c r="J240" i="1"/>
  <c r="I235" i="1"/>
  <c r="H236" i="1"/>
  <c r="N242" i="1" l="1"/>
  <c r="R242" i="1" s="1"/>
  <c r="Z242" i="1"/>
  <c r="A246" i="1"/>
  <c r="B246" i="1"/>
  <c r="M246" i="1"/>
  <c r="D246" i="1"/>
  <c r="J246" i="1"/>
  <c r="H246" i="1"/>
  <c r="E246" i="1"/>
  <c r="C246" i="1"/>
  <c r="K246" i="1"/>
  <c r="G246" i="1"/>
  <c r="I246" i="1"/>
  <c r="F246" i="1"/>
  <c r="N246" i="1" l="1"/>
  <c r="R246" i="1" s="1"/>
  <c r="Z246" i="1"/>
  <c r="B247" i="1"/>
  <c r="A247" i="1"/>
  <c r="M247" i="1"/>
  <c r="K247" i="1"/>
  <c r="C247" i="1"/>
  <c r="J247" i="1"/>
  <c r="G247" i="1"/>
  <c r="D247" i="1"/>
  <c r="F247" i="1"/>
  <c r="E247" i="1"/>
  <c r="I247" i="1"/>
  <c r="H247" i="1"/>
  <c r="Z247" i="1" l="1"/>
  <c r="N247" i="1"/>
  <c r="R247" i="1" s="1"/>
  <c r="M248" i="1"/>
  <c r="A248" i="1"/>
  <c r="B248" i="1"/>
  <c r="G248" i="1"/>
  <c r="I248" i="1"/>
  <c r="D248" i="1"/>
  <c r="F248" i="1"/>
  <c r="J248" i="1"/>
  <c r="C248" i="1"/>
  <c r="E248" i="1"/>
  <c r="H248" i="1"/>
  <c r="K248" i="1"/>
  <c r="N248" i="1" l="1"/>
  <c r="R248" i="1" s="1"/>
  <c r="Z248" i="1"/>
  <c r="AA248" i="1" s="1"/>
  <c r="K14" i="1" s="1"/>
  <c r="K2" i="1" s="1"/>
  <c r="T248" i="1" l="1"/>
  <c r="N14" i="1" s="1"/>
  <c r="N2" i="1" s="1"/>
  <c r="S248" i="1"/>
  <c r="U248" i="1" l="1"/>
  <c r="M14" i="1" s="1"/>
  <c r="M2" i="1" s="1"/>
</calcChain>
</file>

<file path=xl/sharedStrings.xml><?xml version="1.0" encoding="utf-8"?>
<sst xmlns="http://schemas.openxmlformats.org/spreadsheetml/2006/main" count="5014" uniqueCount="198">
  <si>
    <t>Symbol</t>
  </si>
  <si>
    <t>Series/Expiry</t>
  </si>
  <si>
    <t>Bid Qty</t>
  </si>
  <si>
    <t>Bid Rate</t>
  </si>
  <si>
    <t>Ask Rate</t>
  </si>
  <si>
    <t>Ask Qty</t>
  </si>
  <si>
    <t>LTP</t>
  </si>
  <si>
    <t>% Change</t>
  </si>
  <si>
    <t>ATP</t>
  </si>
  <si>
    <t>Volume Traded Today</t>
  </si>
  <si>
    <t>Net Change</t>
  </si>
  <si>
    <t>Strike Price</t>
  </si>
  <si>
    <t>Option Type</t>
  </si>
  <si>
    <t>LALPATHLAB</t>
  </si>
  <si>
    <t>METROPOLIS</t>
  </si>
  <si>
    <t>JUBLFOOD</t>
  </si>
  <si>
    <t>CROMPTON</t>
  </si>
  <si>
    <t>APOLLOHOSP</t>
  </si>
  <si>
    <t>BERGEPAINT</t>
  </si>
  <si>
    <t>ABB</t>
  </si>
  <si>
    <t>CUB</t>
  </si>
  <si>
    <t>RBLBANK</t>
  </si>
  <si>
    <t xml:space="preserve">LOW </t>
  </si>
  <si>
    <t>CASH LTP</t>
  </si>
  <si>
    <t>m2m</t>
  </si>
  <si>
    <t>SYMBOL</t>
  </si>
  <si>
    <t>DELTA</t>
  </si>
  <si>
    <t>GLENMARK</t>
  </si>
  <si>
    <t>POSITION</t>
  </si>
  <si>
    <t>FACTOR%</t>
  </si>
  <si>
    <t>FACTOR</t>
  </si>
  <si>
    <t>PRV FACTOR</t>
  </si>
  <si>
    <t>% CHANGE</t>
  </si>
  <si>
    <t>% Chng in factor</t>
  </si>
  <si>
    <t>STOCKS</t>
  </si>
  <si>
    <t>COROMANDEL</t>
  </si>
  <si>
    <t>MGL</t>
  </si>
  <si>
    <t>POLYCAB</t>
  </si>
  <si>
    <t>PERSISTENT</t>
  </si>
  <si>
    <t>VOLTAS</t>
  </si>
  <si>
    <t>IGL</t>
  </si>
  <si>
    <t>MPHASIS</t>
  </si>
  <si>
    <t>CHAMBLFERT</t>
  </si>
  <si>
    <t>GUJGASLTD</t>
  </si>
  <si>
    <t>TRENT</t>
  </si>
  <si>
    <t>WIPRO</t>
  </si>
  <si>
    <t>HAL</t>
  </si>
  <si>
    <t>MFSL</t>
  </si>
  <si>
    <t>LTI</t>
  </si>
  <si>
    <t>SBICARD</t>
  </si>
  <si>
    <t>ADANIPORTS</t>
  </si>
  <si>
    <t>STAR</t>
  </si>
  <si>
    <t>CUMMINSIND</t>
  </si>
  <si>
    <t>VEDL</t>
  </si>
  <si>
    <t>CONCOR</t>
  </si>
  <si>
    <t>GRANULES</t>
  </si>
  <si>
    <t>TATACOMM</t>
  </si>
  <si>
    <t>MUTHOOTFIN</t>
  </si>
  <si>
    <t>IBULHSGFIN</t>
  </si>
  <si>
    <t>DIXON</t>
  </si>
  <si>
    <t>RELIANCE</t>
  </si>
  <si>
    <t>AUROPHARMA</t>
  </si>
  <si>
    <t>NAUKRI</t>
  </si>
  <si>
    <t>MINDTREE</t>
  </si>
  <si>
    <t>LTTS</t>
  </si>
  <si>
    <t>CANFINHOME</t>
  </si>
  <si>
    <t>MANAPPURAM</t>
  </si>
  <si>
    <t>BSOFT</t>
  </si>
  <si>
    <t>ABFRL</t>
  </si>
  <si>
    <t>IEX</t>
  </si>
  <si>
    <t>MCDOWELL-N</t>
  </si>
  <si>
    <t>APOLLOTYRE</t>
  </si>
  <si>
    <t>GSPL</t>
  </si>
  <si>
    <t>LUPIN</t>
  </si>
  <si>
    <t>PEL</t>
  </si>
  <si>
    <t>LICHSGFIN</t>
  </si>
  <si>
    <t>ABCAPITAL</t>
  </si>
  <si>
    <t>COFORGE</t>
  </si>
  <si>
    <t>BAJFINANCE</t>
  </si>
  <si>
    <t>RAIN</t>
  </si>
  <si>
    <t>M&amp;MFIN</t>
  </si>
  <si>
    <t>M&amp;M</t>
  </si>
  <si>
    <t>GODREJPROP</t>
  </si>
  <si>
    <t>CANBK</t>
  </si>
  <si>
    <t>LAURUSLABS</t>
  </si>
  <si>
    <t>SBIN</t>
  </si>
  <si>
    <t>GNFC</t>
  </si>
  <si>
    <t>TATAPOWER</t>
  </si>
  <si>
    <t>INDIGO</t>
  </si>
  <si>
    <t>INDIACEM</t>
  </si>
  <si>
    <t>BALRAMCHIN</t>
  </si>
  <si>
    <t>INTELLECT</t>
  </si>
  <si>
    <t>INDHOTEL</t>
  </si>
  <si>
    <t>BANKBARODA</t>
  </si>
  <si>
    <t>BANDHANBNK</t>
  </si>
  <si>
    <t>PVR</t>
  </si>
  <si>
    <t>IRCTC</t>
  </si>
  <si>
    <t>JINDALSTEL</t>
  </si>
  <si>
    <t>HINDCOPPER</t>
  </si>
  <si>
    <t>ONGC</t>
  </si>
  <si>
    <t>AUBANK</t>
  </si>
  <si>
    <t>SRTRANSFIN</t>
  </si>
  <si>
    <t>TATAMOTORS</t>
  </si>
  <si>
    <t>AMBUJACEM</t>
  </si>
  <si>
    <t>DAY</t>
  </si>
  <si>
    <t xml:space="preserve">CARRY </t>
  </si>
  <si>
    <t>EXCEL ADJ</t>
  </si>
  <si>
    <t>TOTAL</t>
  </si>
  <si>
    <t>NET</t>
  </si>
  <si>
    <t>M$M</t>
  </si>
  <si>
    <t>JUBILANT</t>
  </si>
  <si>
    <t>MOTHERSON</t>
  </si>
  <si>
    <t>M2M</t>
  </si>
  <si>
    <t>starting</t>
  </si>
  <si>
    <t>PNL</t>
  </si>
  <si>
    <t>Nov</t>
  </si>
  <si>
    <t>LTIM</t>
  </si>
  <si>
    <t>High</t>
  </si>
  <si>
    <t>march</t>
  </si>
  <si>
    <t>PVRINOX</t>
  </si>
  <si>
    <t>Friday</t>
  </si>
  <si>
    <t>MARUTI</t>
  </si>
  <si>
    <t>Carry</t>
  </si>
  <si>
    <t>Day</t>
  </si>
  <si>
    <t>Net</t>
  </si>
  <si>
    <t>Value</t>
  </si>
  <si>
    <t>AUGUST</t>
  </si>
  <si>
    <t>JSWSTEEL</t>
  </si>
  <si>
    <t>UPL</t>
  </si>
  <si>
    <t>ICICIPRULI</t>
  </si>
  <si>
    <t>BEL</t>
  </si>
  <si>
    <t>CHOLAFIN</t>
  </si>
  <si>
    <t>nifty</t>
  </si>
  <si>
    <t>UBL</t>
  </si>
  <si>
    <t>FEDERALBNK</t>
  </si>
  <si>
    <t>NIFTY</t>
  </si>
  <si>
    <t>ASHOKLEY</t>
  </si>
  <si>
    <t>AXISBANK</t>
  </si>
  <si>
    <t>BAJAJ-AUTO</t>
  </si>
  <si>
    <t>BHEL</t>
  </si>
  <si>
    <t>HINDALCO</t>
  </si>
  <si>
    <t>NMDC</t>
  </si>
  <si>
    <t>TATACHEM</t>
  </si>
  <si>
    <t>TATACONSUM</t>
  </si>
  <si>
    <t>TCS</t>
  </si>
  <si>
    <t>TVSMOTOR</t>
  </si>
  <si>
    <t>Ac.Day</t>
  </si>
  <si>
    <t>PE Avg.</t>
  </si>
  <si>
    <t>DABUR</t>
  </si>
  <si>
    <t xml:space="preserve"> </t>
  </si>
  <si>
    <t>COALINDIA</t>
  </si>
  <si>
    <t>01-15-2023</t>
  </si>
  <si>
    <t>01-16-2023</t>
  </si>
  <si>
    <t>01-18-2023</t>
  </si>
  <si>
    <t>01-19-2023</t>
  </si>
  <si>
    <t>01-20-2023</t>
  </si>
  <si>
    <t>01-23-2023</t>
  </si>
  <si>
    <t>BPCL</t>
  </si>
  <si>
    <t>INDUSINDBK</t>
  </si>
  <si>
    <t>HINDPETRO</t>
  </si>
  <si>
    <t>GODREJRPOP</t>
  </si>
  <si>
    <t>excel</t>
  </si>
  <si>
    <t>qty</t>
  </si>
  <si>
    <t>TATASTEEL</t>
  </si>
  <si>
    <t>AARTIIND</t>
  </si>
  <si>
    <t>HDFCLIFE</t>
  </si>
  <si>
    <t>SBILIFE</t>
  </si>
  <si>
    <t>ASIANPAINT</t>
  </si>
  <si>
    <t>FUT</t>
  </si>
  <si>
    <t>expiry</t>
  </si>
  <si>
    <t>IOC</t>
  </si>
  <si>
    <t>LT</t>
  </si>
  <si>
    <t>VIJUAL</t>
  </si>
  <si>
    <t>NITIN</t>
  </si>
  <si>
    <t>17-09-2024</t>
  </si>
  <si>
    <t>19-09-2024</t>
  </si>
  <si>
    <t>18-09-2024</t>
  </si>
  <si>
    <t>20-09-2024</t>
  </si>
  <si>
    <t>21-09-2024</t>
  </si>
  <si>
    <t>17-10-2024</t>
  </si>
  <si>
    <t>18-10-2024</t>
  </si>
  <si>
    <t>21-10-2024</t>
  </si>
  <si>
    <t>22-10-2024</t>
  </si>
  <si>
    <t>23-10-2024</t>
  </si>
  <si>
    <t>24-10-2024</t>
  </si>
  <si>
    <t>25-10-2024</t>
  </si>
  <si>
    <t>28-10-2024</t>
  </si>
  <si>
    <t>HDFCAMC</t>
  </si>
  <si>
    <t>n</t>
  </si>
  <si>
    <t>19-11-2024</t>
  </si>
  <si>
    <t>21-11-2024</t>
  </si>
  <si>
    <t>net</t>
  </si>
  <si>
    <t>bnx</t>
  </si>
  <si>
    <t>bnf</t>
  </si>
  <si>
    <t>fin</t>
  </si>
  <si>
    <t>sensex</t>
  </si>
  <si>
    <t>26DEC24</t>
  </si>
  <si>
    <t>ADANIGREEN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</si>
</sst>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4" fillId="0" borderId="0"/>
  </cellStyleXfs>
  <cellXfs count="14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" fontId="1" fillId="0" borderId="1" xfId="0" applyNumberFormat="1" applyFont="1" applyFill="1" applyBorder="1"/>
    <xf numFmtId="0" fontId="0" fillId="0" borderId="0" xfId="0" applyBorder="1"/>
    <xf numFmtId="0" fontId="0" fillId="2" borderId="1" xfId="0" applyFill="1" applyBorder="1"/>
    <xf numFmtId="0" fontId="0" fillId="2" borderId="4" xfId="0" applyFill="1" applyBorder="1"/>
    <xf numFmtId="0" fontId="0" fillId="0" borderId="0" xfId="0" applyFill="1" applyBorder="1"/>
    <xf numFmtId="0" fontId="0" fillId="5" borderId="0" xfId="0" applyFill="1"/>
    <xf numFmtId="1" fontId="1" fillId="0" borderId="1" xfId="0" applyNumberFormat="1" applyFont="1" applyBorder="1"/>
    <xf numFmtId="0" fontId="0" fillId="6" borderId="0" xfId="0" applyFill="1"/>
    <xf numFmtId="1" fontId="0" fillId="0" borderId="0" xfId="0" applyNumberFormat="1" applyFill="1" applyBorder="1"/>
    <xf numFmtId="1" fontId="3" fillId="0" borderId="1" xfId="0" applyNumberFormat="1" applyFont="1" applyFill="1" applyBorder="1"/>
    <xf numFmtId="1" fontId="3" fillId="0" borderId="1" xfId="0" applyNumberFormat="1" applyFont="1" applyBorder="1"/>
    <xf numFmtId="0" fontId="4" fillId="0" borderId="0" xfId="0" applyFont="1"/>
    <xf numFmtId="1" fontId="4" fillId="0" borderId="1" xfId="0" applyNumberFormat="1" applyFont="1" applyBorder="1"/>
    <xf numFmtId="0" fontId="3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1" fontId="3" fillId="0" borderId="0" xfId="0" applyNumberFormat="1" applyFont="1" applyBorder="1"/>
    <xf numFmtId="0" fontId="0" fillId="0" borderId="0" xfId="0" applyFont="1"/>
    <xf numFmtId="1" fontId="0" fillId="0" borderId="1" xfId="0" applyNumberFormat="1" applyFill="1" applyBorder="1"/>
    <xf numFmtId="0" fontId="4" fillId="2" borderId="1" xfId="0" applyFont="1" applyFill="1" applyBorder="1"/>
    <xf numFmtId="14" fontId="0" fillId="0" borderId="0" xfId="0" applyNumberFormat="1"/>
    <xf numFmtId="1" fontId="4" fillId="0" borderId="0" xfId="0" applyNumberFormat="1" applyFont="1" applyFill="1" applyBorder="1"/>
    <xf numFmtId="0" fontId="4" fillId="0" borderId="0" xfId="0" applyFont="1" applyFill="1" applyBorder="1"/>
    <xf numFmtId="0" fontId="4" fillId="0" borderId="4" xfId="0" applyFont="1" applyFill="1" applyBorder="1"/>
    <xf numFmtId="0" fontId="0" fillId="0" borderId="0" xfId="0" applyFont="1" applyAlignment="1"/>
    <xf numFmtId="1" fontId="3" fillId="0" borderId="1" xfId="0" applyNumberFormat="1" applyFont="1" applyBorder="1" applyAlignment="1"/>
    <xf numFmtId="1" fontId="0" fillId="0" borderId="0" xfId="0" applyNumberFormat="1" applyBorder="1" applyAlignment="1"/>
    <xf numFmtId="1" fontId="0" fillId="0" borderId="0" xfId="0" applyNumberFormat="1" applyFill="1" applyBorder="1" applyAlignment="1"/>
    <xf numFmtId="0" fontId="4" fillId="0" borderId="5" xfId="0" applyFont="1" applyBorder="1"/>
    <xf numFmtId="0" fontId="4" fillId="2" borderId="6" xfId="0" applyFont="1" applyFill="1" applyBorder="1"/>
    <xf numFmtId="0" fontId="3" fillId="0" borderId="7" xfId="0" applyFont="1" applyFill="1" applyBorder="1"/>
    <xf numFmtId="0" fontId="0" fillId="2" borderId="1" xfId="0" applyFill="1" applyBorder="1" applyAlignment="1"/>
    <xf numFmtId="0" fontId="4" fillId="2" borderId="1" xfId="0" applyNumberFormat="1" applyFont="1" applyFill="1" applyBorder="1"/>
    <xf numFmtId="164" fontId="4" fillId="2" borderId="1" xfId="0" applyNumberFormat="1" applyFont="1" applyFill="1" applyBorder="1" applyAlignment="1"/>
    <xf numFmtId="1" fontId="4" fillId="0" borderId="1" xfId="0" applyNumberFormat="1" applyFont="1" applyBorder="1" applyAlignment="1"/>
    <xf numFmtId="1" fontId="4" fillId="0" borderId="1" xfId="0" applyNumberFormat="1" applyFont="1" applyFill="1" applyBorder="1" applyAlignment="1"/>
    <xf numFmtId="1" fontId="0" fillId="0" borderId="0" xfId="0" applyNumberFormat="1"/>
    <xf numFmtId="164" fontId="4" fillId="2" borderId="4" xfId="0" applyNumberFormat="1" applyFont="1" applyFill="1" applyBorder="1" applyAlignment="1"/>
    <xf numFmtId="1" fontId="4" fillId="0" borderId="4" xfId="0" applyNumberFormat="1" applyFont="1" applyFill="1" applyBorder="1"/>
    <xf numFmtId="0" fontId="3" fillId="4" borderId="1" xfId="0" applyFont="1" applyFill="1" applyBorder="1"/>
    <xf numFmtId="1" fontId="4" fillId="0" borderId="4" xfId="0" applyNumberFormat="1" applyFont="1" applyFill="1" applyBorder="1" applyAlignment="1"/>
    <xf numFmtId="0" fontId="0" fillId="0" borderId="10" xfId="0" applyBorder="1"/>
    <xf numFmtId="164" fontId="4" fillId="0" borderId="1" xfId="0" applyNumberFormat="1" applyFont="1" applyFill="1" applyBorder="1" applyAlignment="1"/>
    <xf numFmtId="164" fontId="4" fillId="0" borderId="1" xfId="0" applyNumberFormat="1" applyFont="1" applyBorder="1"/>
    <xf numFmtId="164" fontId="4" fillId="2" borderId="0" xfId="0" applyNumberFormat="1" applyFont="1" applyFill="1" applyBorder="1" applyAlignment="1"/>
    <xf numFmtId="0" fontId="15" fillId="0" borderId="0" xfId="0" applyFont="1" applyAlignment="1">
      <alignment vertical="center"/>
    </xf>
    <xf numFmtId="164" fontId="4" fillId="0" borderId="0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49" fontId="0" fillId="9" borderId="0" xfId="0" applyNumberFormat="1" applyFill="1"/>
    <xf numFmtId="0" fontId="0" fillId="9" borderId="0" xfId="0" applyFill="1"/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11" borderId="0" xfId="0" applyNumberFormat="1" applyFill="1" applyAlignment="1">
      <alignment horizontal="center"/>
    </xf>
    <xf numFmtId="14" fontId="3" fillId="3" borderId="8" xfId="0" applyNumberFormat="1" applyFont="1" applyFill="1" applyBorder="1" applyAlignment="1"/>
    <xf numFmtId="14" fontId="3" fillId="3" borderId="9" xfId="0" applyNumberFormat="1" applyFont="1" applyFill="1" applyBorder="1" applyAlignment="1"/>
    <xf numFmtId="1" fontId="3" fillId="0" borderId="0" xfId="0" applyNumberFormat="1" applyFont="1" applyAlignment="1">
      <alignment horizontal="left" vertical="center"/>
    </xf>
    <xf numFmtId="14" fontId="3" fillId="3" borderId="1" xfId="0" applyNumberFormat="1" applyFont="1" applyFill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14" fontId="3" fillId="3" borderId="9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6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5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" fontId="15" fillId="0" borderId="1" xfId="0" applyNumberFormat="1" applyFont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7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39966"/>
      <color rgb="FFFF3737"/>
      <color rgb="FFFF0000"/>
      <color rgb="FFFF3F3F"/>
      <color rgb="FFFF3300"/>
      <color rgb="FFF84E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nest.scriprtd">
      <tp t="s">
        <v>CE</v>
        <stp/>
        <stp>nse_fo|JUBLFOOD26DEC24690CE</stp>
        <stp>Option Type</stp>
        <tr r="M145" s="1"/>
      </tp>
      <tp t="s">
        <v>CE</v>
        <stp/>
        <stp>nse_fo|JUBLFOOD26DEC24680CE</stp>
        <stp>Option Type</stp>
        <tr r="M144" s="1"/>
      </tp>
      <tp t="s">
        <v>CE</v>
        <stp/>
        <stp>nse_fo|JUBLFOOD26DEC24650CE</stp>
        <stp>Option Type</stp>
        <tr r="M141" s="1"/>
      </tp>
      <tp t="s">
        <v>CE</v>
        <stp/>
        <stp>nse_fo|JUBLFOOD26DEC24640CE</stp>
        <stp>Option Type</stp>
        <tr r="M140" s="1"/>
      </tp>
      <tp t="s">
        <v>CE</v>
        <stp/>
        <stp>nse_fo|JUBLFOOD26DEC24670CE</stp>
        <stp>Option Type</stp>
        <tr r="M143" s="1"/>
      </tp>
      <tp t="s">
        <v>CE</v>
        <stp/>
        <stp>nse_fo|JUBLFOOD26DEC24660CE</stp>
        <stp>Option Type</stp>
        <tr r="M142" s="1"/>
      </tp>
      <tp t="s">
        <v>CE</v>
        <stp/>
        <stp>nse_fo|JUBLFOOD26DEC24610CE</stp>
        <stp>Option Type</stp>
        <tr r="M137" s="1"/>
      </tp>
      <tp t="s">
        <v>CE</v>
        <stp/>
        <stp>nse_fo|JUBLFOOD26DEC24600CE</stp>
        <stp>Option Type</stp>
        <tr r="M136" s="1"/>
      </tp>
      <tp t="s">
        <v>CE</v>
        <stp/>
        <stp>nse_fo|JUBLFOOD26DEC24630CE</stp>
        <stp>Option Type</stp>
        <tr r="M139" s="1"/>
      </tp>
      <tp t="s">
        <v>CE</v>
        <stp/>
        <stp>nse_fo|JUBLFOOD26DEC24620CE</stp>
        <stp>Option Type</stp>
        <tr r="M138" s="1"/>
      </tp>
      <tp t="s">
        <v>CE</v>
        <stp/>
        <stp>nse_fo|JUBLFOOD26DEC24700CE</stp>
        <stp>Option Type</stp>
        <tr r="M146" s="1"/>
      </tp>
      <tp>
        <v>2.9</v>
        <stp/>
        <stp>nse_fo|FEDERALBNK26DEC24210PE</stp>
        <stp>LTP</stp>
        <tr r="G114" s="1"/>
      </tp>
      <tp>
        <v>0.85</v>
        <stp/>
        <stp>nse_fo|FEDERALBNK26DEC24200PE</stp>
        <stp>LTP</stp>
        <tr r="G110" s="1"/>
      </tp>
      <tp t="s">
        <v>PE</v>
        <stp/>
        <stp>nse_fo|JUBLFOOD26DEC24640PE</stp>
        <stp>Option Type</stp>
        <tr r="M151" s="1"/>
      </tp>
      <tp t="s">
        <v>PE</v>
        <stp/>
        <stp>nse_fo|JUBLFOOD26DEC24610PE</stp>
        <stp>Option Type</stp>
        <tr r="M148" s="1"/>
      </tp>
      <tp t="s">
        <v>PE</v>
        <stp/>
        <stp>nse_fo|JUBLFOOD26DEC24600PE</stp>
        <stp>Option Type</stp>
        <tr r="M147" s="1"/>
      </tp>
      <tp t="s">
        <v>PE</v>
        <stp/>
        <stp>nse_fo|JUBLFOOD26DEC24630PE</stp>
        <stp>Option Type</stp>
        <tr r="M150" s="1"/>
      </tp>
      <tp t="s">
        <v>PE</v>
        <stp/>
        <stp>nse_fo|JUBLFOOD26DEC24620PE</stp>
        <stp>Option Type</stp>
        <tr r="M149" s="1"/>
      </tp>
      <tp t="s">
        <v>BSOFT</v>
        <stp/>
        <stp>nse_fo|BSOFT26DEC24610CE</stp>
        <stp>Symbol</stp>
        <tr r="A87" s="1"/>
      </tp>
      <tp>
        <v>2.5</v>
        <stp/>
        <stp>nse_fo|FEDERALBNK26DEC24220CE</stp>
        <stp>LTP</stp>
        <tr r="G108" s="1"/>
      </tp>
      <tp>
        <v>7.2</v>
        <stp/>
        <stp>nse_fo|FEDERALBNK26DEC24210CE</stp>
        <stp>LTP</stp>
        <tr r="G104" s="1"/>
      </tp>
      <tp>
        <v>14.65</v>
        <stp/>
        <stp>nse_fo|FEDERALBNK26DEC24200CE</stp>
        <stp>LTP</stp>
        <tr r="G100" s="1"/>
      </tp>
      <tp>
        <v>-2.56</v>
        <stp/>
        <stp>nse_fo|MOTHERSON26DEC24FUT</stp>
        <stp>% Change</stp>
        <tr r="J174" s="1"/>
        <tr r="E11" s="1"/>
      </tp>
      <tp>
        <v>-3.65</v>
        <stp/>
        <stp>nse_fo|ADANIGREEN26DEC241340CE</stp>
        <stp>Net Change</stp>
        <tr r="K50" s="1"/>
      </tp>
      <tp>
        <v>-2.8</v>
        <stp/>
        <stp>nse_fo|ADANIGREEN26DEC241240CE</stp>
        <stp>Net Change</stp>
        <tr r="K45" s="1"/>
      </tp>
      <tp>
        <v>-5.6</v>
        <stp/>
        <stp>nse_fo|ADANIGREEN26DEC241040PE</stp>
        <stp>Net Change</stp>
        <tr r="K51" s="1"/>
      </tp>
      <tp>
        <v>125</v>
        <stp/>
        <stp>nse_fo|ABB26DEC24FUT</stp>
        <stp>Ask Qty</stp>
        <tr r="F19" s="1"/>
      </tp>
      <tp>
        <v>110000</v>
        <stp/>
        <stp>nse_fo|FEDERALBNK26DEC24205CE</stp>
        <stp>Volume Traded Today</stp>
        <tr r="I102" s="1"/>
      </tp>
      <tp>
        <v>8600000</v>
        <stp/>
        <stp>nse_fo|FEDERALBNK26DEC24215CE</stp>
        <stp>Volume Traded Today</stp>
        <tr r="I106" s="1"/>
      </tp>
      <tp>
        <v>2540000</v>
        <stp/>
        <stp>nse_fo|FEDERALBNK26DEC24205PE</stp>
        <stp>Volume Traded Today</stp>
        <tr r="I112" s="1"/>
      </tp>
      <tp t="s">
        <v>VEDL</v>
        <stp/>
        <stp>nse_fo|VEDL26DEC24FUT</stp>
        <stp>Symbol</stp>
        <tr r="A230" s="1"/>
      </tp>
      <tp t="s">
        <v>BSOFT</v>
        <stp/>
        <stp>nse_fo|BSOFT26DEC24600CE</stp>
        <stp>Symbol</stp>
        <tr r="A86" s="1"/>
      </tp>
      <tp t="s">
        <v>CE</v>
        <stp/>
        <stp>nse_fo|LAURUSLABS26DEC24570CE</stp>
        <stp>Option Type</stp>
        <tr r="M166" s="1"/>
      </tp>
      <tp t="s">
        <v>CE</v>
        <stp/>
        <stp>nse_fo|LAURUSLABS26DEC24560CE</stp>
        <stp>Option Type</stp>
        <tr r="M165" s="1"/>
      </tp>
      <tp t="s">
        <v>CE</v>
        <stp/>
        <stp>nse_fo|LAURUSLABS26DEC24550CE</stp>
        <stp>Option Type</stp>
        <tr r="M164" s="1"/>
      </tp>
      <tp t="s">
        <v>CE</v>
        <stp/>
        <stp>nse_fo|LAURUSLABS26DEC24540CE</stp>
        <stp>Option Type</stp>
        <tr r="M163" s="1"/>
      </tp>
      <tp t="s">
        <v>CE</v>
        <stp/>
        <stp>nse_fo|LAURUSLABS26DEC24530CE</stp>
        <stp>Option Type</stp>
        <tr r="M162" s="1"/>
      </tp>
      <tp t="s">
        <v>CE</v>
        <stp/>
        <stp>nse_fo|LAURUSLABS26DEC24520CE</stp>
        <stp>Option Type</stp>
        <tr r="M161" s="1"/>
      </tp>
      <tp t="s">
        <v>CE</v>
        <stp/>
        <stp>nse_fo|LAURUSLABS26DEC24510CE</stp>
        <stp>Option Type</stp>
        <tr r="M160" s="1"/>
      </tp>
      <tp t="s">
        <v>CE</v>
        <stp/>
        <stp>nse_fo|LAURUSLABS26DEC24500CE</stp>
        <stp>Option Type</stp>
        <tr r="M159" s="1"/>
      </tp>
      <tp t="s">
        <v>CE</v>
        <stp/>
        <stp>nse_fo|LAURUSLABS26DEC24490CE</stp>
        <stp>Option Type</stp>
        <tr r="M158" s="1"/>
      </tp>
      <tp t="s">
        <v>CE</v>
        <stp/>
        <stp>nse_fo|LAURUSLABS26DEC24480CE</stp>
        <stp>Option Type</stp>
        <tr r="M157" s="1"/>
      </tp>
      <tp t="s">
        <v>CE</v>
        <stp/>
        <stp>nse_fo|LAURUSLABS26DEC24470CE</stp>
        <stp>Option Type</stp>
        <tr r="M156" s="1"/>
      </tp>
      <tp t="s">
        <v>PE</v>
        <stp/>
        <stp>nse_fo|LAURUSLABS26DEC24510PE</stp>
        <stp>Option Type</stp>
        <tr r="M171" s="1"/>
      </tp>
      <tp t="s">
        <v>PE</v>
        <stp/>
        <stp>nse_fo|LAURUSLABS26DEC24500PE</stp>
        <stp>Option Type</stp>
        <tr r="M170" s="1"/>
      </tp>
      <tp t="s">
        <v>PE</v>
        <stp/>
        <stp>nse_fo|LAURUSLABS26DEC24490PE</stp>
        <stp>Option Type</stp>
        <tr r="M169" s="1"/>
      </tp>
      <tp t="s">
        <v>PE</v>
        <stp/>
        <stp>nse_fo|LAURUSLABS26DEC24480PE</stp>
        <stp>Option Type</stp>
        <tr r="M168" s="1"/>
      </tp>
      <tp t="s">
        <v>PE</v>
        <stp/>
        <stp>nse_fo|LAURUSLABS26DEC24470PE</stp>
        <stp>Option Type</stp>
        <tr r="M167" s="1"/>
      </tp>
      <tp>
        <v>-1</v>
        <stp/>
        <stp>nse_fo|MUTHOOTFIN26DEC241800PE</stp>
        <stp>Net Change</stp>
        <tr r="K206" s="1"/>
      </tp>
      <tp>
        <v>22.55</v>
        <stp/>
        <stp>nse_fo|MUTHOOTFIN26DEC241900CE</stp>
        <stp>Net Change</stp>
        <tr r="K197" s="1"/>
      </tp>
      <tp>
        <v>17</v>
        <stp/>
        <stp>nse_fo|MUTHOOTFIN26DEC242000CE</stp>
        <stp>Net Change</stp>
        <tr r="K202" s="1"/>
      </tp>
      <tp>
        <v>6181742</v>
        <stp/>
        <stp>nse_cm|VEDL-EQ</stp>
        <stp>Volume Traded Today</stp>
        <tr r="I231" s="1"/>
      </tp>
      <tp>
        <v>4</v>
        <stp/>
        <stp>nse_cm|HDFCAMC-EQ</stp>
        <stp>Ask Qty</stp>
        <tr r="F118" s="1"/>
      </tp>
      <tp t="s">
        <v>EQ</v>
        <stp/>
        <stp>nse_cm|ADANIGREEN-EQ</stp>
        <stp>Series/Expiry</stp>
        <tr r="B40" s="1"/>
      </tp>
      <tp>
        <v>43.3</v>
        <stp/>
        <stp>nse_fo|ABB26DEC24FUT</stp>
        <stp>Net Change</stp>
        <tr r="K19" s="1"/>
      </tp>
      <tp>
        <v>20.2</v>
        <stp/>
        <stp>nse_fo|BSOFT26DEC24600CE</stp>
        <stp>Bid Rate</stp>
        <tr r="D86" s="1"/>
      </tp>
      <tp>
        <v>14.85</v>
        <stp/>
        <stp>nse_fo|BSOFT26DEC24610CE</stp>
        <stp>Bid Rate</stp>
        <tr r="D87" s="1"/>
      </tp>
      <tp>
        <v>10.55</v>
        <stp/>
        <stp>nse_fo|BSOFT26DEC24620CE</stp>
        <stp>Bid Rate</stp>
        <tr r="D88" s="1"/>
      </tp>
      <tp>
        <v>7.3</v>
        <stp/>
        <stp>nse_fo|BSOFT26DEC24630CE</stp>
        <stp>Bid Rate</stp>
        <tr r="D89" s="1"/>
      </tp>
      <tp>
        <v>5.0999999999999996</v>
        <stp/>
        <stp>nse_fo|BSOFT26DEC24640CE</stp>
        <stp>Bid Rate</stp>
        <tr r="D90" s="1"/>
      </tp>
      <tp t="s">
        <v>BSOFT</v>
        <stp/>
        <stp>nse_fo|BSOFT26DEC24630CE</stp>
        <stp>Symbol</stp>
        <tr r="A89" s="1"/>
      </tp>
      <tp t="s">
        <v>BSOFT</v>
        <stp/>
        <stp>nse_fo|BSOFT26DEC24530CE</stp>
        <stp>Symbol</stp>
        <tr r="A92" s="1"/>
      </tp>
      <tp>
        <v>33.85</v>
        <stp/>
        <stp>nse_fo|BSOFT26DEC24580CE</stp>
        <stp>Bid Rate</stp>
        <tr r="D84" s="1"/>
      </tp>
      <tp>
        <v>26.6</v>
        <stp/>
        <stp>nse_fo|BSOFT26DEC24590CE</stp>
        <stp>Bid Rate</stp>
        <tr r="D85" s="1"/>
      </tp>
      <tp>
        <v>69.599999999999994</v>
        <stp/>
        <stp>nse_fo|BSOFT26DEC24540CE</stp>
        <stp>Bid Rate</stp>
        <tr r="D80" s="1"/>
      </tp>
      <tp>
        <v>59.85</v>
        <stp/>
        <stp>nse_fo|BSOFT26DEC24550CE</stp>
        <stp>Bid Rate</stp>
        <tr r="D81" s="1"/>
      </tp>
      <tp>
        <v>51.3</v>
        <stp/>
        <stp>nse_fo|BSOFT26DEC24560CE</stp>
        <stp>Bid Rate</stp>
        <tr r="D82" s="1"/>
      </tp>
      <tp>
        <v>42.25</v>
        <stp/>
        <stp>nse_fo|BSOFT26DEC24570CE</stp>
        <stp>Bid Rate</stp>
        <tr r="D83" s="1"/>
      </tp>
      <tp>
        <v>-2.75</v>
        <stp/>
        <stp>nse_fo|ADANIGREEN26DEC241260CE</stp>
        <stp>Net Change</stp>
        <tr r="K46" s="1"/>
      </tp>
      <tp>
        <v>1.35</v>
        <stp/>
        <stp>nse_fo|ADANIGREEN26DEC241160CE</stp>
        <stp>Net Change</stp>
        <tr r="K41" s="1"/>
      </tp>
      <tp>
        <v>-6.55</v>
        <stp/>
        <stp>nse_fo|ADANIGREEN26DEC241060PE</stp>
        <stp>Net Change</stp>
        <tr r="K52" s="1"/>
      </tp>
      <tp>
        <v>5</v>
        <stp/>
        <stp>nse_cm|HDFCAMC-EQ</stp>
        <stp>Bid Qty</stp>
        <tr r="C118" s="1"/>
      </tp>
      <tp t="s">
        <v>BSOFT</v>
        <stp/>
        <stp>nse_fo|BSOFT26DEC24620CE</stp>
        <stp>Symbol</stp>
        <tr r="A88" s="1"/>
      </tp>
      <tp t="s">
        <v>BSOFT</v>
        <stp/>
        <stp>nse_fo|BSOFT26DEC24520CE</stp>
        <stp>Symbol</stp>
        <tr r="A91" s="1"/>
      </tp>
      <tp>
        <v>5420</v>
        <stp/>
        <stp>nse_fo|UPL26DEC24590PE</stp>
        <stp>Volume Traded Today</stp>
        <tr r="I265" s="1"/>
      </tp>
      <tp>
        <v>0</v>
        <stp/>
        <stp>nse_fo|UPL26DEC24620PE</stp>
        <stp>Volume Traded Today</stp>
        <tr r="I268" s="1"/>
      </tp>
      <tp>
        <v>0</v>
        <stp/>
        <stp>nse_fo|UPL26DEC24630PE</stp>
        <stp>Volume Traded Today</stp>
        <tr r="I269" s="1"/>
      </tp>
      <tp>
        <v>2710</v>
        <stp/>
        <stp>nse_fo|UPL26DEC24600PE</stp>
        <stp>Volume Traded Today</stp>
        <tr r="I266" s="1"/>
      </tp>
      <tp>
        <v>0</v>
        <stp/>
        <stp>nse_fo|UPL26DEC24610PE</stp>
        <stp>Volume Traded Today</stp>
        <tr r="I267" s="1"/>
      </tp>
      <tp>
        <v>166.25</v>
        <stp/>
        <stp>nse_cm|MOTHERSON-EQ</stp>
        <stp>Ask Rate</stp>
        <tr r="E175" s="1"/>
      </tp>
      <tp>
        <v>884815</v>
        <stp/>
        <stp>nse_fo|UPL26DEC24580CE</stp>
        <stp>Volume Traded Today</stp>
        <tr r="I254" s="1"/>
      </tp>
      <tp>
        <v>573165</v>
        <stp/>
        <stp>nse_fo|UPL26DEC24590CE</stp>
        <stp>Volume Traded Today</stp>
        <tr r="I255" s="1"/>
      </tp>
      <tp>
        <v>0</v>
        <stp/>
        <stp>nse_fo|UPL26DEC24660CE</stp>
        <stp>Volume Traded Today</stp>
        <tr r="I262" s="1"/>
      </tp>
      <tp t="e">
        <v>#N/A</v>
        <stp/>
        <stp>nse_fo|UPL26DEC24670CE</stp>
        <stp>Volume Traded Today</stp>
        <tr r="I263" s="1"/>
      </tp>
      <tp>
        <v>0</v>
        <stp/>
        <stp>nse_fo|UPL26DEC24640CE</stp>
        <stp>Volume Traded Today</stp>
        <tr r="I260" s="1"/>
      </tp>
      <tp t="e">
        <v>#N/A</v>
        <stp/>
        <stp>nse_fo|UPL26DEC24650CE</stp>
        <stp>Volume Traded Today</stp>
        <tr r="I261" s="1"/>
      </tp>
      <tp>
        <v>158535</v>
        <stp/>
        <stp>nse_fo|UPL26DEC24620CE</stp>
        <stp>Volume Traded Today</stp>
        <tr r="I258" s="1"/>
      </tp>
      <tp>
        <v>0</v>
        <stp/>
        <stp>nse_fo|UPL26DEC24630CE</stp>
        <stp>Volume Traded Today</stp>
        <tr r="I259" s="1"/>
      </tp>
      <tp>
        <v>367205</v>
        <stp/>
        <stp>nse_fo|UPL26DEC24600CE</stp>
        <stp>Volume Traded Today</stp>
        <tr r="I256" s="1"/>
      </tp>
      <tp>
        <v>65040</v>
        <stp/>
        <stp>nse_fo|UPL26DEC24610CE</stp>
        <stp>Volume Traded Today</stp>
        <tr r="I257" s="1"/>
      </tp>
      <tp>
        <v>0</v>
        <stp/>
        <stp>nse_fo|UPL26DEC24680CE</stp>
        <stp>Volume Traded Today</stp>
        <tr r="I264" s="1"/>
      </tp>
      <tp>
        <v>-1.2</v>
        <stp/>
        <stp>nse_fo|MUTHOOTFIN26DEC241820PE</stp>
        <stp>Net Change</stp>
        <tr r="K207" s="1"/>
      </tp>
      <tp>
        <v>14.3</v>
        <stp/>
        <stp>nse_fo|MUTHOOTFIN26DEC241920CE</stp>
        <stp>Net Change</stp>
        <tr r="K198" s="1"/>
      </tp>
      <tp>
        <v>15.55</v>
        <stp/>
        <stp>nse_fo|MUTHOOTFIN26DEC242020CE</stp>
        <stp>Net Change</stp>
        <tr r="K203" s="1"/>
      </tp>
      <tp>
        <v>167.66</v>
        <stp/>
        <stp>nse_cm|MOTHERSON-EQ</stp>
        <stp>ATP</stp>
        <tr r="H175" s="1"/>
      </tp>
      <tp>
        <v>125</v>
        <stp/>
        <stp>nse_fo|ABB26DEC24FUT</stp>
        <stp>Bid Qty</stp>
        <tr r="C19" s="1"/>
      </tp>
      <tp>
        <v>555.65</v>
        <stp/>
        <stp>nse_fo|LAURUSLABS26DEC24FUT</stp>
        <stp xml:space="preserve">Low </stp>
        <tr r="B10" s="1"/>
      </tp>
      <tp t="e">
        <v>#N/A</v>
        <stp/>
        <stp>nse_fo|NIFTY26OCT2319500PE</stp>
        <stp>Symbol</stp>
        <tr r="A303" s="4"/>
      </tp>
      <tp>
        <v>12.67</v>
        <stp/>
        <stp>nse_fo|TATAMOTORS26DEC24830CE</stp>
        <stp>ATP</stp>
        <tr r="H65" s="1"/>
        <tr r="H220" s="1"/>
      </tp>
      <tp>
        <v>16.47</v>
        <stp/>
        <stp>nse_fo|TATAMOTORS26DEC24820CE</stp>
        <stp>ATP</stp>
        <tr r="H64" s="1"/>
        <tr r="H219" s="1"/>
      </tp>
      <tp>
        <v>20.73</v>
        <stp/>
        <stp>nse_fo|TATAMOTORS26DEC24810CE</stp>
        <stp>ATP</stp>
        <tr r="H63" s="1"/>
        <tr r="H218" s="1"/>
      </tp>
      <tp>
        <v>26.57</v>
        <stp/>
        <stp>nse_fo|TATAMOTORS26DEC24800CE</stp>
        <stp>ATP</stp>
        <tr r="H62" s="1"/>
        <tr r="H217" s="1"/>
      </tp>
      <tp>
        <v>4.0599999999999996</v>
        <stp/>
        <stp>nse_fo|TATAMOTORS26DEC24870CE</stp>
        <stp>ATP</stp>
        <tr r="H69" s="1"/>
      </tp>
      <tp>
        <v>5.29</v>
        <stp/>
        <stp>nse_fo|TATAMOTORS26DEC24860CE</stp>
        <stp>ATP</stp>
        <tr r="H68" s="1"/>
      </tp>
      <tp>
        <v>7.15</v>
        <stp/>
        <stp>nse_fo|TATAMOTORS26DEC24850CE</stp>
        <stp>ATP</stp>
        <tr r="H222" s="1"/>
        <tr r="H67" s="1"/>
      </tp>
      <tp>
        <v>9.52</v>
        <stp/>
        <stp>nse_fo|TATAMOTORS26DEC24840CE</stp>
        <stp>ATP</stp>
        <tr r="H221" s="1"/>
        <tr r="H66" s="1"/>
      </tp>
      <tp>
        <v>3.13</v>
        <stp/>
        <stp>nse_fo|TATAMOTORS26DEC24880CE</stp>
        <stp>ATP</stp>
        <tr r="H70" s="1"/>
      </tp>
      <tp>
        <v>32.99</v>
        <stp/>
        <stp>nse_fo|TATAMOTORS26DEC24790CE</stp>
        <stp>ATP</stp>
        <tr r="H61" s="1"/>
        <tr r="H216" s="1"/>
      </tp>
      <tp>
        <v>40.31</v>
        <stp/>
        <stp>nse_fo|TATAMOTORS26DEC24780CE</stp>
        <stp>ATP</stp>
        <tr r="H215" s="1"/>
        <tr r="H60" s="1"/>
      </tp>
      <tp t="s">
        <v>BSOFT</v>
        <stp/>
        <stp>nse_fo|BSOFT26DEC24550CE</stp>
        <stp>Symbol</stp>
        <tr r="A94" s="1"/>
        <tr r="A81" s="1"/>
      </tp>
      <tp>
        <v>1.79</v>
        <stp/>
        <stp>nse_fo|TATAMOTORS26DEC24730PE</stp>
        <stp>ATP</stp>
        <tr r="H74" s="1"/>
      </tp>
      <tp>
        <v>1.39</v>
        <stp/>
        <stp>nse_fo|TATAMOTORS26DEC24720PE</stp>
        <stp>ATP</stp>
        <tr r="H73" s="1"/>
      </tp>
      <tp>
        <v>1.1000000000000001</v>
        <stp/>
        <stp>nse_fo|TATAMOTORS26DEC24710PE</stp>
        <stp>ATP</stp>
        <tr r="H72" s="1"/>
      </tp>
      <tp>
        <v>0.91</v>
        <stp/>
        <stp>nse_fo|TATAMOTORS26DEC24700PE</stp>
        <stp>ATP</stp>
        <tr r="H71" s="1"/>
      </tp>
      <tp>
        <v>5.37</v>
        <stp/>
        <stp>nse_fo|TATAMOTORS26DEC24770PE</stp>
        <stp>ATP</stp>
        <tr r="H225" s="1"/>
      </tp>
      <tp>
        <v>4.01</v>
        <stp/>
        <stp>nse_fo|TATAMOTORS26DEC24760PE</stp>
        <stp>ATP</stp>
        <tr r="H224" s="1"/>
      </tp>
      <tp>
        <v>3.04</v>
        <stp/>
        <stp>nse_fo|TATAMOTORS26DEC24750PE</stp>
        <stp>ATP</stp>
        <tr r="H223" s="1"/>
      </tp>
      <tp>
        <v>2.4</v>
        <stp/>
        <stp>nse_fo|TATAMOTORS26DEC24740PE</stp>
        <stp>ATP</stp>
        <tr r="H75" s="1"/>
      </tp>
      <tp>
        <v>9.7200000000000006</v>
        <stp/>
        <stp>nse_fo|TATAMOTORS26DEC24790PE</stp>
        <stp>ATP</stp>
        <tr r="H227" s="1"/>
      </tp>
      <tp>
        <v>7.12</v>
        <stp/>
        <stp>nse_fo|TATAMOTORS26DEC24780PE</stp>
        <stp>ATP</stp>
        <tr r="H226" s="1"/>
      </tp>
      <tp>
        <v>489.9</v>
        <stp/>
        <stp>nse_cm|VEDL-EQ</stp>
        <stp>LTP</stp>
        <tr r="C14" s="1"/>
        <tr r="G231" s="1"/>
      </tp>
      <tp>
        <v>694.55</v>
        <stp/>
        <stp>nse_fo|JUBLFOOD26DEC24FUT</stp>
        <stp>Bid Rate</stp>
        <tr r="D134" s="1"/>
      </tp>
      <tp>
        <v>-3.2</v>
        <stp/>
        <stp>nse_fo|ADANIGREEN26DEC241300CE</stp>
        <stp>Net Change</stp>
        <tr r="K48" s="1"/>
      </tp>
      <tp>
        <v>-1.8</v>
        <stp/>
        <stp>nse_fo|ADANIGREEN26DEC241200CE</stp>
        <stp>Net Change</stp>
        <tr r="K43" s="1"/>
      </tp>
      <tp>
        <v>-8.75</v>
        <stp/>
        <stp>nse_fo|ADANIGREEN26DEC241100PE</stp>
        <stp>Net Change</stp>
        <tr r="K54" s="1"/>
      </tp>
      <tp>
        <v>5.0999999999999996</v>
        <stp/>
        <stp>nse_fo|FEDERALBNK26DEC24215PE</stp>
        <stp>LTP</stp>
        <tr r="E21" s="2"/>
      </tp>
      <tp>
        <v>1.55</v>
        <stp/>
        <stp>nse_fo|FEDERALBNK26DEC24205PE</stp>
        <stp>LTP</stp>
        <tr r="G112" s="1"/>
      </tp>
      <tp t="s">
        <v>BSOFT</v>
        <stp/>
        <stp>nse_fo|BSOFT26DEC24640CE</stp>
        <stp>Symbol</stp>
        <tr r="A90" s="1"/>
      </tp>
      <tp t="s">
        <v>BSOFT</v>
        <stp/>
        <stp>nse_fo|BSOFT26DEC24540CE</stp>
        <stp>Symbol</stp>
        <tr r="A93" s="1"/>
        <tr r="A80" s="1"/>
      </tp>
      <tp>
        <v>0</v>
        <stp/>
        <stp>nse_fo|FEDERALBNK26DEC24FUT</stp>
        <stp>Strike Price</stp>
        <tr r="L98" s="1"/>
      </tp>
      <tp>
        <v>4.45</v>
        <stp/>
        <stp>nse_fo|FEDERALBNK26DEC24215CE</stp>
        <stp>LTP</stp>
        <tr r="D21" s="2"/>
        <tr r="G106" s="1"/>
      </tp>
      <tp>
        <v>10.65</v>
        <stp/>
        <stp>nse_fo|FEDERALBNK26DEC24205CE</stp>
        <stp>LTP</stp>
        <tr r="G102" s="1"/>
      </tp>
      <tp>
        <v>42.86</v>
        <stp/>
        <stp>nse_fo|TATAMOTORS26DEC24750PE</stp>
        <stp>% Change</stp>
        <tr r="J223" s="1"/>
      </tp>
      <tp>
        <v>36.840000000000003</v>
        <stp/>
        <stp>nse_fo|TATAMOTORS26DEC24740PE</stp>
        <stp>% Change</stp>
        <tr r="J75" s="1"/>
      </tp>
      <tp>
        <v>49.41</v>
        <stp/>
        <stp>nse_fo|TATAMOTORS26DEC24770PE</stp>
        <stp>% Change</stp>
        <tr r="J225" s="1"/>
      </tp>
      <tp>
        <v>43.08</v>
        <stp/>
        <stp>nse_fo|TATAMOTORS26DEC24760PE</stp>
        <stp>% Change</stp>
        <tr r="J224" s="1"/>
      </tp>
      <tp>
        <v>21.05</v>
        <stp/>
        <stp>nse_fo|TATAMOTORS26DEC24710PE</stp>
        <stp>% Change</stp>
        <tr r="J72" s="1"/>
      </tp>
      <tp>
        <v>25</v>
        <stp/>
        <stp>nse_fo|TATAMOTORS26DEC24700PE</stp>
        <stp>% Change</stp>
        <tr r="J71" s="1"/>
      </tp>
      <tp>
        <v>30</v>
        <stp/>
        <stp>nse_fo|TATAMOTORS26DEC24730PE</stp>
        <stp>% Change</stp>
        <tr r="J74" s="1"/>
      </tp>
      <tp>
        <v>25</v>
        <stp/>
        <stp>nse_fo|TATAMOTORS26DEC24720PE</stp>
        <stp>% Change</stp>
        <tr r="J73" s="1"/>
      </tp>
      <tp>
        <v>50.32</v>
        <stp/>
        <stp>nse_fo|TATAMOTORS26DEC24790PE</stp>
        <stp>% Change</stp>
        <tr r="J227" s="1"/>
      </tp>
      <tp>
        <v>50.88</v>
        <stp/>
        <stp>nse_fo|TATAMOTORS26DEC24780PE</stp>
        <stp>% Change</stp>
        <tr r="J226" s="1"/>
      </tp>
      <tp>
        <v>-1.35</v>
        <stp/>
        <stp>nse_fo|MUTHOOTFIN26DEC241840PE</stp>
        <stp>Net Change</stp>
        <tr r="K208" s="1"/>
      </tp>
      <tp>
        <v>22.45</v>
        <stp/>
        <stp>nse_fo|MUTHOOTFIN26DEC241940CE</stp>
        <stp>Net Change</stp>
        <tr r="K199" s="1"/>
      </tp>
      <tp>
        <v>12.75</v>
        <stp/>
        <stp>nse_fo|MUTHOOTFIN26DEC242040CE</stp>
        <stp>Net Change</stp>
        <tr r="K204" s="1"/>
      </tp>
      <tp>
        <v>43.5</v>
        <stp/>
        <stp>nse_fo|MUTHOOTFIN26DEC242000CE</stp>
        <stp>Ask Rate</stp>
        <tr r="E202" s="1"/>
      </tp>
      <tp>
        <v>35</v>
        <stp/>
        <stp>nse_fo|MUTHOOTFIN26DEC242020CE</stp>
        <stp>Ask Rate</stp>
        <tr r="E203" s="1"/>
      </tp>
      <tp>
        <v>27.7</v>
        <stp/>
        <stp>nse_fo|MUTHOOTFIN26DEC242040CE</stp>
        <stp>Ask Rate</stp>
        <tr r="E204" s="1"/>
      </tp>
      <tp>
        <v>21.75</v>
        <stp/>
        <stp>nse_fo|MUTHOOTFIN26DEC242060CE</stp>
        <stp>Ask Rate</stp>
        <tr r="E205" s="1"/>
      </tp>
      <tp>
        <v>42.35</v>
        <stp/>
        <stp>nse_fo|ADANIGREEN26DEC241280CE</stp>
        <stp>Bid Rate</stp>
        <tr r="D47" s="1"/>
      </tp>
      <tp>
        <v>57.25</v>
        <stp/>
        <stp>nse_fo|ADANIGREEN26DEC241240CE</stp>
        <stp>Bid Rate</stp>
        <tr r="D45" s="1"/>
      </tp>
      <tp>
        <v>49.5</v>
        <stp/>
        <stp>nse_fo|ADANIGREEN26DEC241260CE</stp>
        <stp>Bid Rate</stp>
        <tr r="D46" s="1"/>
      </tp>
      <tp>
        <v>76.45</v>
        <stp/>
        <stp>nse_fo|ADANIGREEN26DEC241200CE</stp>
        <stp>Bid Rate</stp>
        <tr r="D43" s="1"/>
      </tp>
      <tp>
        <v>66.3</v>
        <stp/>
        <stp>nse_fo|ADANIGREEN26DEC241220CE</stp>
        <stp>Bid Rate</stp>
        <tr r="D44" s="1"/>
      </tp>
      <tp>
        <v>27.45</v>
        <stp/>
        <stp>nse_fo|ADANIGREEN26DEC241340CE</stp>
        <stp>Bid Rate</stp>
        <tr r="D50" s="1"/>
      </tp>
      <tp>
        <v>36.799999999999997</v>
        <stp/>
        <stp>nse_fo|ADANIGREEN26DEC241300CE</stp>
        <stp>Bid Rate</stp>
        <tr r="D48" s="1"/>
      </tp>
      <tp>
        <v>31.7</v>
        <stp/>
        <stp>nse_fo|ADANIGREEN26DEC241320CE</stp>
        <stp>Bid Rate</stp>
        <tr r="D49" s="1"/>
      </tp>
      <tp>
        <v>87.8</v>
        <stp/>
        <stp>nse_fo|ADANIGREEN26DEC241180CE</stp>
        <stp>Bid Rate</stp>
        <tr r="D42" s="1"/>
      </tp>
      <tp>
        <v>99.9</v>
        <stp/>
        <stp>nse_fo|ADANIGREEN26DEC241160CE</stp>
        <stp>Bid Rate</stp>
        <tr r="D41" s="1"/>
      </tp>
      <tp>
        <v>590.15</v>
        <stp/>
        <stp>nse_fo|LAURUSLABS26DEC24FUT</stp>
        <stp>High</stp>
        <tr r="A10" s="1"/>
      </tp>
      <tp>
        <v>180000</v>
        <stp/>
        <stp>nse_fo|FEDERALBNK26DEC24200CE</stp>
        <stp>Volume Traded Today</stp>
        <tr r="I100" s="1"/>
      </tp>
      <tp>
        <v>2910000</v>
        <stp/>
        <stp>nse_fo|FEDERALBNK26DEC24210CE</stp>
        <stp>Volume Traded Today</stp>
        <tr r="I104" s="1"/>
      </tp>
      <tp>
        <v>5825000</v>
        <stp/>
        <stp>nse_fo|FEDERALBNK26DEC24220CE</stp>
        <stp>Volume Traded Today</stp>
        <tr r="I108" s="1"/>
      </tp>
      <tp>
        <v>1935000</v>
        <stp/>
        <stp>nse_fo|FEDERALBNK26DEC24200PE</stp>
        <stp>Volume Traded Today</stp>
        <tr r="I110" s="1"/>
      </tp>
      <tp>
        <v>3820000</v>
        <stp/>
        <stp>nse_fo|FEDERALBNK26DEC24210PE</stp>
        <stp>Volume Traded Today</stp>
        <tr r="I114" s="1"/>
      </tp>
      <tp>
        <v>-46.43</v>
        <stp/>
        <stp>nse_fo|MOTHERSON26DEC24185CE</stp>
        <stp>% Change</stp>
        <tr r="J184" s="1"/>
      </tp>
      <tp>
        <v>-45.65</v>
        <stp/>
        <stp>nse_fo|MOTHERSON26DEC24180CE</stp>
        <stp>% Change</stp>
        <tr r="J182" s="1"/>
      </tp>
      <tp>
        <v>-33.71</v>
        <stp/>
        <stp>nse_fo|MOTHERSON26DEC24165CE</stp>
        <stp>% Change</stp>
        <tr r="J176" s="1"/>
      </tp>
      <tp>
        <v>-43.24</v>
        <stp/>
        <stp>nse_fo|MOTHERSON26DEC24175CE</stp>
        <stp>% Change</stp>
        <tr r="J180" s="1"/>
      </tp>
      <tp>
        <v>-38.79</v>
        <stp/>
        <stp>nse_fo|MOTHERSON26DEC24170CE</stp>
        <stp>% Change</stp>
        <tr r="J178" s="1"/>
      </tp>
      <tp t="s">
        <v>BSOFT</v>
        <stp/>
        <stp>nse_fo|BSOFT26DEC24570CE</stp>
        <stp>Symbol</stp>
        <tr r="A83" s="1"/>
      </tp>
      <tp>
        <v>0</v>
        <stp/>
        <stp>nse_fo|LAURUSLABS26DEC24480CE</stp>
        <stp>% Change</stp>
        <tr r="J157" s="1"/>
      </tp>
      <tp>
        <v>0</v>
        <stp/>
        <stp>nse_fo|LAURUSLABS26DEC24490CE</stp>
        <stp>% Change</stp>
        <tr r="J158" s="1"/>
      </tp>
      <tp>
        <v>0</v>
        <stp/>
        <stp>nse_fo|LAURUSLABS26DEC24470CE</stp>
        <stp>% Change</stp>
        <tr r="J156" s="1"/>
      </tp>
      <tp>
        <v>-27.71</v>
        <stp/>
        <stp>nse_fo|LAURUSLABS26DEC24540CE</stp>
        <stp>% Change</stp>
        <tr r="J163" s="1"/>
      </tp>
      <tp>
        <v>-33.26</v>
        <stp/>
        <stp>nse_fo|LAURUSLABS26DEC24550CE</stp>
        <stp>% Change</stp>
        <tr r="J164" s="1"/>
      </tp>
      <tp>
        <v>-36.770000000000003</v>
        <stp/>
        <stp>nse_fo|LAURUSLABS26DEC24560CE</stp>
        <stp>% Change</stp>
        <tr r="J165" s="1"/>
      </tp>
      <tp>
        <v>-37.130000000000003</v>
        <stp/>
        <stp>nse_fo|LAURUSLABS26DEC24570CE</stp>
        <stp>% Change</stp>
        <tr r="J166" s="1"/>
      </tp>
      <tp>
        <v>-24.12</v>
        <stp/>
        <stp>nse_fo|LAURUSLABS26DEC24500CE</stp>
        <stp>% Change</stp>
        <tr r="J159" s="1"/>
      </tp>
      <tp>
        <v>-26.75</v>
        <stp/>
        <stp>nse_fo|LAURUSLABS26DEC24510CE</stp>
        <stp>% Change</stp>
        <tr r="J160" s="1"/>
      </tp>
      <tp>
        <v>-22.52</v>
        <stp/>
        <stp>nse_fo|LAURUSLABS26DEC24520CE</stp>
        <stp>% Change</stp>
        <tr r="J161" s="1"/>
      </tp>
      <tp>
        <v>-18.32</v>
        <stp/>
        <stp>nse_fo|LAURUSLABS26DEC24530CE</stp>
        <stp>% Change</stp>
        <tr r="J162" s="1"/>
      </tp>
      <tp>
        <v>-14</v>
        <stp/>
        <stp>nse_fo|FEDERALBNK26DEC24207.5PE</stp>
        <stp>% Change</stp>
        <tr r="J113" s="1"/>
      </tp>
      <tp>
        <v>-17.86</v>
        <stp/>
        <stp>nse_fo|FEDERALBNK26DEC24202.5PE</stp>
        <stp>% Change</stp>
        <tr r="J111" s="1"/>
      </tp>
      <tp>
        <v>1.75</v>
        <stp/>
        <stp>nse_fo|UPL26DEC24630CE</stp>
        <stp>Ask Rate</stp>
        <tr r="E259" s="1"/>
      </tp>
      <tp>
        <v>0.8</v>
        <stp/>
        <stp>nse_fo|UPL26DEC24620CE</stp>
        <stp>Ask Rate</stp>
        <tr r="E258" s="1"/>
      </tp>
      <tp>
        <v>1.1499999999999999</v>
        <stp/>
        <stp>nse_fo|UPL26DEC24610CE</stp>
        <stp>Ask Rate</stp>
        <tr r="E257" s="1"/>
      </tp>
      <tp>
        <v>1.85</v>
        <stp/>
        <stp>nse_fo|UPL26DEC24600CE</stp>
        <stp>Ask Rate</stp>
        <tr r="E256" s="1"/>
      </tp>
      <tp t="e">
        <v>#N/A</v>
        <stp/>
        <stp>nse_fo|UPL26DEC24670CE</stp>
        <stp>Ask Rate</stp>
        <tr r="E263" s="1"/>
      </tp>
      <tp>
        <v>2.4500000000000002</v>
        <stp/>
        <stp>nse_fo|UPL26DEC24660CE</stp>
        <stp>Ask Rate</stp>
        <tr r="E262" s="1"/>
      </tp>
      <tp t="e">
        <v>#N/A</v>
        <stp/>
        <stp>nse_fo|UPL26DEC24650CE</stp>
        <stp>Ask Rate</stp>
        <tr r="E261" s="1"/>
      </tp>
      <tp>
        <v>0.65</v>
        <stp/>
        <stp>nse_fo|UPL26DEC24640CE</stp>
        <stp>Ask Rate</stp>
        <tr r="E260" s="1"/>
      </tp>
      <tp>
        <v>0</v>
        <stp/>
        <stp>nse_fo|UPL26DEC24680CE</stp>
        <stp>Ask Rate</stp>
        <tr r="E264" s="1"/>
      </tp>
      <tp>
        <v>3</v>
        <stp/>
        <stp>nse_fo|UPL26DEC24590CE</stp>
        <stp>Ask Rate</stp>
        <tr r="E255" s="1"/>
      </tp>
      <tp>
        <v>4.95</v>
        <stp/>
        <stp>nse_fo|UPL26DEC24580CE</stp>
        <stp>Ask Rate</stp>
        <tr r="E254" s="1"/>
      </tp>
      <tp>
        <v>3</v>
        <stp/>
        <stp>nse_fo|UPL26DEC24590CE</stp>
        <stp>LTP</stp>
        <tr r="G255" s="1"/>
      </tp>
      <tp>
        <v>5.0999999999999996</v>
        <stp/>
        <stp>nse_fo|UPL26DEC24580CE</stp>
        <stp>LTP</stp>
        <tr r="G254" s="1"/>
      </tp>
      <tp>
        <v>17.75</v>
        <stp/>
        <stp>nse_fo|UPL26DEC24550CE</stp>
        <stp>LTP</stp>
        <tr r="L27" s="2"/>
      </tp>
      <tp>
        <v>12</v>
        <stp/>
        <stp>nse_fo|UPL26DEC24560CE</stp>
        <stp>LTP</stp>
        <tr r="L26" s="2"/>
      </tp>
      <tp>
        <v>0</v>
        <stp/>
        <stp>nse_fo|UPL26DEC24680CE</stp>
        <stp>LTP</stp>
        <tr r="G264" s="1"/>
      </tp>
      <tp t="e">
        <v>#N/A</v>
        <stp/>
        <stp>nse_fo|UPL26DEC24650CE</stp>
        <stp>LTP</stp>
        <tr r="G261" s="1"/>
      </tp>
      <tp>
        <v>0.65</v>
        <stp/>
        <stp>nse_fo|UPL26DEC24640CE</stp>
        <stp>LTP</stp>
        <tr r="G260" s="1"/>
      </tp>
      <tp t="e">
        <v>#N/A</v>
        <stp/>
        <stp>nse_fo|UPL26DEC24670CE</stp>
        <stp>LTP</stp>
        <tr r="G263" s="1"/>
      </tp>
      <tp>
        <v>0</v>
        <stp/>
        <stp>nse_fo|UPL26DEC24660CE</stp>
        <stp>LTP</stp>
        <tr r="G262" s="1"/>
      </tp>
      <tp>
        <v>1.1499999999999999</v>
        <stp/>
        <stp>nse_fo|UPL26DEC24610CE</stp>
        <stp>LTP</stp>
        <tr r="G257" s="1"/>
      </tp>
      <tp>
        <v>1.85</v>
        <stp/>
        <stp>nse_fo|UPL26DEC24600CE</stp>
        <stp>LTP</stp>
        <tr r="G256" s="1"/>
      </tp>
      <tp>
        <v>0</v>
        <stp/>
        <stp>nse_fo|UPL26DEC24630CE</stp>
        <stp>LTP</stp>
        <tr r="G259" s="1"/>
      </tp>
      <tp>
        <v>0.75</v>
        <stp/>
        <stp>nse_fo|UPL26DEC24620CE</stp>
        <stp>LTP</stp>
        <tr r="G258" s="1"/>
      </tp>
      <tp>
        <v>127.15</v>
        <stp/>
        <stp>nse_fo|MUTHOOTFIN26DEC241880CE</stp>
        <stp>Ask Rate</stp>
        <tr r="E196" s="1"/>
      </tp>
      <tp>
        <v>142.65</v>
        <stp/>
        <stp>nse_fo|MUTHOOTFIN26DEC241860CE</stp>
        <stp>Ask Rate</stp>
        <tr r="E195" s="1"/>
      </tp>
      <tp>
        <v>53.15</v>
        <stp/>
        <stp>nse_fo|MUTHOOTFIN26DEC241980CE</stp>
        <stp>Ask Rate</stp>
        <tr r="E201" s="1"/>
      </tp>
      <tp>
        <v>105.7</v>
        <stp/>
        <stp>nse_fo|MUTHOOTFIN26DEC241900CE</stp>
        <stp>Ask Rate</stp>
        <tr r="E197" s="1"/>
      </tp>
      <tp>
        <v>91.85</v>
        <stp/>
        <stp>nse_fo|MUTHOOTFIN26DEC241920CE</stp>
        <stp>Ask Rate</stp>
        <tr r="E198" s="1"/>
      </tp>
      <tp>
        <v>76.95</v>
        <stp/>
        <stp>nse_fo|MUTHOOTFIN26DEC241940CE</stp>
        <stp>Ask Rate</stp>
        <tr r="E199" s="1"/>
      </tp>
      <tp>
        <v>64.3</v>
        <stp/>
        <stp>nse_fo|MUTHOOTFIN26DEC241960CE</stp>
        <stp>Ask Rate</stp>
        <tr r="E200" s="1"/>
      </tp>
      <tp>
        <v>-2.95</v>
        <stp/>
        <stp>nse_fo|ADANIGREEN26DEC241320CE</stp>
        <stp>Net Change</stp>
        <tr r="K49" s="1"/>
      </tp>
      <tp>
        <v>-2.0499999999999998</v>
        <stp/>
        <stp>nse_fo|ADANIGREEN26DEC241220CE</stp>
        <stp>Net Change</stp>
        <tr r="K44" s="1"/>
      </tp>
      <tp>
        <v>-8</v>
        <stp/>
        <stp>nse_fo|ADANIGREEN26DEC241120PE</stp>
        <stp>Net Change</stp>
        <tr r="K55" s="1"/>
      </tp>
      <tp t="e">
        <v>#N/A</v>
        <stp/>
        <stp>nse_fo|NIFTY26OCT2319450PE</stp>
        <stp>Symbol</stp>
        <tr r="A302" s="4"/>
      </tp>
      <tp>
        <v>37.450000000000003</v>
        <stp/>
        <stp>nse_fo|UPL26DEC24590PE</stp>
        <stp>LTP</stp>
        <tr r="G265" s="1"/>
      </tp>
      <tp>
        <v>8.75</v>
        <stp/>
        <stp>nse_fo|UPL26DEC24550PE</stp>
        <stp>LTP</stp>
        <tr r="M27" s="2"/>
      </tp>
      <tp>
        <v>13.4</v>
        <stp/>
        <stp>nse_fo|UPL26DEC24560PE</stp>
        <stp>LTP</stp>
        <tr r="M26" s="2"/>
      </tp>
      <tp>
        <v>44.9</v>
        <stp/>
        <stp>nse_fo|UPL26DEC24610PE</stp>
        <stp>LTP</stp>
        <tr r="G267" s="1"/>
      </tp>
      <tp>
        <v>44.25</v>
        <stp/>
        <stp>nse_fo|UPL26DEC24600PE</stp>
        <stp>LTP</stp>
        <tr r="G266" s="1"/>
      </tp>
      <tp>
        <v>0</v>
        <stp/>
        <stp>nse_fo|UPL26DEC24630PE</stp>
        <stp>LTP</stp>
        <tr r="G269" s="1"/>
      </tp>
      <tp>
        <v>58.5</v>
        <stp/>
        <stp>nse_fo|UPL26DEC24620PE</stp>
        <stp>LTP</stp>
        <tr r="G268" s="1"/>
      </tp>
      <tp t="s">
        <v>JUBLFOOD</v>
        <stp/>
        <stp>nse_fo|JUBLFOOD26DEC24690CE</stp>
        <stp>Symbol</stp>
        <tr r="A145" s="1"/>
      </tp>
      <tp t="s">
        <v>BSOFT</v>
        <stp/>
        <stp>nse_fo|BSOFT26DEC24560CE</stp>
        <stp>Symbol</stp>
        <tr r="A95" s="1"/>
        <tr r="A82" s="1"/>
      </tp>
      <tp>
        <v>0.7</v>
        <stp/>
        <stp>nse_fo|FEDERALBNK26DEC24210CE</stp>
        <stp>% Change</stp>
        <tr r="J104" s="1"/>
      </tp>
      <tp>
        <v>-1.1100000000000001</v>
        <stp/>
        <stp>nse_fo|FEDERALBNK26DEC24215CE</stp>
        <stp>% Change</stp>
        <tr r="J106" s="1"/>
      </tp>
      <tp>
        <v>-0.68</v>
        <stp/>
        <stp>nse_fo|FEDERALBNK26DEC24200CE</stp>
        <stp>% Change</stp>
        <tr r="J100" s="1"/>
      </tp>
      <tp>
        <v>-0.47</v>
        <stp/>
        <stp>nse_fo|FEDERALBNK26DEC24205CE</stp>
        <stp>% Change</stp>
        <tr r="J102" s="1"/>
      </tp>
      <tp>
        <v>-5.66</v>
        <stp/>
        <stp>nse_fo|FEDERALBNK26DEC24220CE</stp>
        <stp>% Change</stp>
        <tr r="J108" s="1"/>
      </tp>
      <tp>
        <v>-1.65</v>
        <stp/>
        <stp>nse_fo|MUTHOOTFIN26DEC241860PE</stp>
        <stp>Net Change</stp>
        <tr r="K209" s="1"/>
      </tp>
      <tp>
        <v>25.05</v>
        <stp/>
        <stp>nse_fo|MUTHOOTFIN26DEC241860CE</stp>
        <stp>Net Change</stp>
        <tr r="K195" s="1"/>
      </tp>
      <tp>
        <v>19.75</v>
        <stp/>
        <stp>nse_fo|MUTHOOTFIN26DEC241960CE</stp>
        <stp>Net Change</stp>
        <tr r="K200" s="1"/>
      </tp>
      <tp>
        <v>10</v>
        <stp/>
        <stp>nse_fo|MUTHOOTFIN26DEC242060CE</stp>
        <stp>Net Change</stp>
        <tr r="K205" s="1"/>
      </tp>
      <tp t="s">
        <v>JUBLFOOD</v>
        <stp/>
        <stp>nse_fo|JUBLFOOD26DEC24680CE</stp>
        <stp>Symbol</stp>
        <tr r="A144" s="1"/>
      </tp>
      <tp t="s">
        <v>EQ</v>
        <stp/>
        <stp>nse_cm|MUTHOOTFIN-EQ</stp>
        <stp>Series/Expiry</stp>
        <tr r="B194" s="1"/>
      </tp>
      <tp t="s">
        <v>EQ</v>
        <stp/>
        <stp>nse_cm|TATAMOTORS-EQ</stp>
        <stp>Series/Expiry</stp>
        <tr r="B59" s="1"/>
        <tr r="B214" s="1"/>
      </tp>
      <tp>
        <v>1.72</v>
        <stp/>
        <stp>nse_fo|FEDERALBNK26DEC24205PE</stp>
        <stp>ATP</stp>
        <tr r="H112" s="1"/>
      </tp>
      <tp t="s">
        <v>BSOFT</v>
        <stp/>
        <stp>nse_fo|BSOFT26DEC24590CE</stp>
        <stp>Symbol</stp>
        <tr r="A85" s="1"/>
      </tp>
      <tp>
        <v>4.45</v>
        <stp/>
        <stp>nse_fo|FEDERALBNK26DEC24215CE</stp>
        <stp>ATP</stp>
        <tr r="H106" s="1"/>
      </tp>
      <tp>
        <v>11.04</v>
        <stp/>
        <stp>nse_fo|FEDERALBNK26DEC24205CE</stp>
        <stp>ATP</stp>
        <tr r="H102" s="1"/>
      </tp>
      <tp t="s">
        <v>26Dec2024</v>
        <stp/>
        <stp>nse_fo|HDFCAMC26DEC244400CE</stp>
        <stp>Series/Expiry</stp>
        <tr r="B123" s="1"/>
      </tp>
      <tp t="s">
        <v>26Dec2024</v>
        <stp/>
        <stp>nse_fo|HDFCAMC26DEC244450CE</stp>
        <stp>Series/Expiry</stp>
        <tr r="B124" s="1"/>
      </tp>
      <tp t="s">
        <v>26Dec2024</v>
        <stp/>
        <stp>nse_fo|LAURUSLABS26DEC24FUT</stp>
        <stp>Series/Expiry</stp>
        <tr r="B154" s="1"/>
      </tp>
      <tp>
        <v>609.35</v>
        <stp/>
        <stp>nse_fo|BSOFT26DEC24FUT</stp>
        <stp>Bid Rate</stp>
        <tr r="D78" s="1"/>
      </tp>
      <tp t="s">
        <v>JUBLFOOD</v>
        <stp/>
        <stp>nse_fo|JUBLFOOD26DEC24670CE</stp>
        <stp>Symbol</stp>
        <tr r="A143" s="1"/>
      </tp>
      <tp>
        <v>10.1</v>
        <stp/>
        <stp>nse_fo|TATAMOTORS26DEC24830CE</stp>
        <stp>LTP</stp>
        <tr r="G65" s="1"/>
        <tr r="G220" s="1"/>
      </tp>
      <tp>
        <v>13.5</v>
        <stp/>
        <stp>nse_fo|TATAMOTORS26DEC24820CE</stp>
        <stp>LTP</stp>
        <tr r="G64" s="1"/>
        <tr r="G219" s="1"/>
      </tp>
      <tp>
        <v>17.7</v>
        <stp/>
        <stp>nse_fo|TATAMOTORS26DEC24810CE</stp>
        <stp>LTP</stp>
        <tr r="G63" s="1"/>
        <tr r="G218" s="1"/>
        <tr r="L17" s="2"/>
        <tr r="D12" s="2"/>
      </tp>
      <tp>
        <v>22.75</v>
        <stp/>
        <stp>nse_fo|TATAMOTORS26DEC24800CE</stp>
        <stp>LTP</stp>
        <tr r="G62" s="1"/>
        <tr r="G217" s="1"/>
        <tr r="D13" s="2"/>
        <tr r="L18" s="2"/>
      </tp>
      <tp>
        <v>3.25</v>
        <stp/>
        <stp>nse_fo|TATAMOTORS26DEC24870CE</stp>
        <stp>LTP</stp>
        <tr r="G69" s="1"/>
      </tp>
      <tp>
        <v>4.25</v>
        <stp/>
        <stp>nse_fo|TATAMOTORS26DEC24860CE</stp>
        <stp>LTP</stp>
        <tr r="G68" s="1"/>
      </tp>
      <tp>
        <v>5.8</v>
        <stp/>
        <stp>nse_fo|TATAMOTORS26DEC24850CE</stp>
        <stp>LTP</stp>
        <tr r="G222" s="1"/>
        <tr r="G67" s="1"/>
      </tp>
      <tp>
        <v>7.6</v>
        <stp/>
        <stp>nse_fo|TATAMOTORS26DEC24840CE</stp>
        <stp>LTP</stp>
        <tr r="G221" s="1"/>
        <tr r="G66" s="1"/>
      </tp>
      <tp>
        <v>2.5</v>
        <stp/>
        <stp>nse_fo|TATAMOTORS26DEC24880CE</stp>
        <stp>LTP</stp>
        <tr r="G70" s="1"/>
      </tp>
      <tp>
        <v>28.6</v>
        <stp/>
        <stp>nse_fo|TATAMOTORS26DEC24790CE</stp>
        <stp>LTP</stp>
        <tr r="G61" s="1"/>
        <tr r="G216" s="1"/>
      </tp>
      <tp>
        <v>35.5</v>
        <stp/>
        <stp>nse_fo|TATAMOTORS26DEC24780CE</stp>
        <stp>LTP</stp>
        <tr r="G215" s="1"/>
        <tr r="G60" s="1"/>
      </tp>
      <tp t="s">
        <v>BSOFT</v>
        <stp/>
        <stp>nse_fo|BSOFT26DEC24580CE</stp>
        <stp>Symbol</stp>
        <tr r="A84" s="1"/>
      </tp>
      <tp>
        <v>20.5</v>
        <stp/>
        <stp>nse_fo|TATAMOTORS26DEC24810PE</stp>
        <stp>LTP</stp>
        <tr r="E12" s="2"/>
        <tr r="M17" s="2"/>
      </tp>
      <tp>
        <v>15.6</v>
        <stp/>
        <stp>nse_fo|TATAMOTORS26DEC24800PE</stp>
        <stp>LTP</stp>
        <tr r="E13" s="2"/>
        <tr r="M18" s="2"/>
      </tp>
      <tp>
        <v>1.95</v>
        <stp/>
        <stp>nse_fo|TATAMOTORS26DEC24730PE</stp>
        <stp>LTP</stp>
        <tr r="G74" s="1"/>
      </tp>
      <tp>
        <v>1.5</v>
        <stp/>
        <stp>nse_fo|TATAMOTORS26DEC24720PE</stp>
        <stp>LTP</stp>
        <tr r="G73" s="1"/>
      </tp>
      <tp>
        <v>1.1499999999999999</v>
        <stp/>
        <stp>nse_fo|TATAMOTORS26DEC24710PE</stp>
        <stp>LTP</stp>
        <tr r="G72" s="1"/>
      </tp>
      <tp>
        <v>1</v>
        <stp/>
        <stp>nse_fo|TATAMOTORS26DEC24700PE</stp>
        <stp>LTP</stp>
        <tr r="G71" s="1"/>
      </tp>
      <tp>
        <v>6.35</v>
        <stp/>
        <stp>nse_fo|TATAMOTORS26DEC24770PE</stp>
        <stp>LTP</stp>
        <tr r="G225" s="1"/>
      </tp>
      <tp>
        <v>4.6500000000000004</v>
        <stp/>
        <stp>nse_fo|TATAMOTORS26DEC24760PE</stp>
        <stp>LTP</stp>
        <tr r="G224" s="1"/>
      </tp>
      <tp>
        <v>3.5</v>
        <stp/>
        <stp>nse_fo|TATAMOTORS26DEC24750PE</stp>
        <stp>LTP</stp>
        <tr r="G223" s="1"/>
      </tp>
      <tp>
        <v>2.6</v>
        <stp/>
        <stp>nse_fo|TATAMOTORS26DEC24740PE</stp>
        <stp>LTP</stp>
        <tr r="G75" s="1"/>
      </tp>
      <tp>
        <v>11.65</v>
        <stp/>
        <stp>nse_fo|TATAMOTORS26DEC24790PE</stp>
        <stp>LTP</stp>
        <tr r="G227" s="1"/>
      </tp>
      <tp>
        <v>8.6</v>
        <stp/>
        <stp>nse_fo|TATAMOTORS26DEC24780PE</stp>
        <stp>LTP</stp>
        <tr r="G226" s="1"/>
      </tp>
      <tp>
        <v>492.8</v>
        <stp/>
        <stp>nse_cm|VEDL-EQ</stp>
        <stp>ATP</stp>
        <tr r="H231" s="1"/>
      </tp>
      <tp>
        <v>-1.65</v>
        <stp/>
        <stp>nse_fo|MUTHOOTFIN26DEC241880PE</stp>
        <stp>Net Change</stp>
        <tr r="K210" s="1"/>
      </tp>
      <tp>
        <v>0</v>
        <stp/>
        <stp>nse_fo|MUTHOOTFIN26DEC241880CE</stp>
        <stp>Net Change</stp>
        <tr r="K196" s="1"/>
      </tp>
      <tp>
        <v>18.8</v>
        <stp/>
        <stp>nse_fo|MUTHOOTFIN26DEC241980CE</stp>
        <stp>Net Change</stp>
        <tr r="K201" s="1"/>
      </tp>
      <tp t="s">
        <v>26Dec2024</v>
        <stp/>
        <stp>nse_fo|HDFCAMC26DEC244500CE</stp>
        <stp>Series/Expiry</stp>
        <tr r="B125" s="1"/>
      </tp>
      <tp t="s">
        <v>26Dec2024</v>
        <stp/>
        <stp>nse_fo|HDFCAMC26DEC244550CE</stp>
        <stp>Series/Expiry</stp>
        <tr r="B126" s="1"/>
      </tp>
      <tp>
        <v>1175.7</v>
        <stp/>
        <stp>nse_fo|ADANIGREEN26DEC24FUT</stp>
        <stp xml:space="preserve">Low </stp>
        <tr r="B4" s="1"/>
      </tp>
      <tp t="s">
        <v>JUBLFOOD</v>
        <stp/>
        <stp>nse_fo|JUBLFOOD26DEC24660CE</stp>
        <stp>Symbol</stp>
        <tr r="A142" s="1"/>
      </tp>
      <tp t="s">
        <v>26Dec2024</v>
        <stp/>
        <stp>nse_fo|JUBLFOOD26DEC24FUT</stp>
        <stp>Series/Expiry</stp>
        <tr r="B134" s="1"/>
      </tp>
      <tp>
        <v>4509</v>
        <stp/>
        <stp>nse_fo|HDFCAMC26DEC24FUT</stp>
        <stp>Ask Rate</stp>
        <tr r="E117" s="1"/>
      </tp>
      <tp t="s">
        <v>JUBLFOOD</v>
        <stp/>
        <stp>nse_fo|JUBLFOOD26DEC24650CE</stp>
        <stp>Symbol</stp>
        <tr r="A141" s="1"/>
      </tp>
      <tp>
        <v>0</v>
        <stp/>
        <stp>nse_cm|VEDL-EQ</stp>
        <stp>Strike Price</stp>
        <tr r="L231" s="1"/>
      </tp>
      <tp>
        <v>0.55000000000000004</v>
        <stp/>
        <stp>nse_fo|BSOFT26DEC24520PE</stp>
        <stp>Ask Rate</stp>
        <tr r="E91" s="1"/>
      </tp>
      <tp>
        <v>0.75</v>
        <stp/>
        <stp>nse_fo|BSOFT26DEC24530PE</stp>
        <stp>Ask Rate</stp>
        <tr r="E92" s="1"/>
      </tp>
      <tp>
        <v>1.05</v>
        <stp/>
        <stp>nse_fo|BSOFT26DEC24540PE</stp>
        <stp>Ask Rate</stp>
        <tr r="E93" s="1"/>
      </tp>
      <tp>
        <v>1.4</v>
        <stp/>
        <stp>nse_fo|BSOFT26DEC24550PE</stp>
        <stp>Ask Rate</stp>
        <tr r="E94" s="1"/>
      </tp>
      <tp>
        <v>2.0499999999999998</v>
        <stp/>
        <stp>nse_fo|BSOFT26DEC24560PE</stp>
        <stp>Ask Rate</stp>
        <tr r="E95" s="1"/>
      </tp>
      <tp>
        <v>12181963</v>
        <stp/>
        <stp>nse_cm|MOTHERSON-EQ</stp>
        <stp>Volume Traded Today</stp>
        <tr r="I175" s="1"/>
      </tp>
      <tp>
        <v>2.9</v>
        <stp/>
        <stp>nse_fo|UPL26DEC24590CE</stp>
        <stp>ATP</stp>
        <tr r="H255" s="1"/>
      </tp>
      <tp>
        <v>4.79</v>
        <stp/>
        <stp>nse_fo|UPL26DEC24580CE</stp>
        <stp>ATP</stp>
        <tr r="H254" s="1"/>
      </tp>
      <tp>
        <v>0</v>
        <stp/>
        <stp>nse_fo|UPL26DEC24680CE</stp>
        <stp>ATP</stp>
        <tr r="H264" s="1"/>
      </tp>
      <tp t="e">
        <v>#N/A</v>
        <stp/>
        <stp>nse_fo|UPL26DEC24650CE</stp>
        <stp>ATP</stp>
        <tr r="H261" s="1"/>
      </tp>
      <tp>
        <v>0</v>
        <stp/>
        <stp>nse_fo|UPL26DEC24640CE</stp>
        <stp>ATP</stp>
        <tr r="H260" s="1"/>
      </tp>
      <tp t="e">
        <v>#N/A</v>
        <stp/>
        <stp>nse_fo|UPL26DEC24670CE</stp>
        <stp>ATP</stp>
        <tr r="H263" s="1"/>
      </tp>
      <tp>
        <v>0</v>
        <stp/>
        <stp>nse_fo|UPL26DEC24660CE</stp>
        <stp>ATP</stp>
        <tr r="H262" s="1"/>
      </tp>
      <tp>
        <v>1.1000000000000001</v>
        <stp/>
        <stp>nse_fo|UPL26DEC24610CE</stp>
        <stp>ATP</stp>
        <tr r="H257" s="1"/>
      </tp>
      <tp>
        <v>1.83</v>
        <stp/>
        <stp>nse_fo|UPL26DEC24600CE</stp>
        <stp>ATP</stp>
        <tr r="H256" s="1"/>
      </tp>
      <tp>
        <v>0</v>
        <stp/>
        <stp>nse_fo|UPL26DEC24630CE</stp>
        <stp>ATP</stp>
        <tr r="H259" s="1"/>
      </tp>
      <tp>
        <v>0.7</v>
        <stp/>
        <stp>nse_fo|UPL26DEC24620CE</stp>
        <stp>ATP</stp>
        <tr r="H258" s="1"/>
      </tp>
      <tp>
        <v>36.26</v>
        <stp/>
        <stp>nse_fo|UPL26DEC24590PE</stp>
        <stp>ATP</stp>
        <tr r="H265" s="1"/>
      </tp>
      <tp>
        <v>0</v>
        <stp/>
        <stp>nse_fo|UPL26DEC24610PE</stp>
        <stp>ATP</stp>
        <tr r="H267" s="1"/>
      </tp>
      <tp>
        <v>45.27</v>
        <stp/>
        <stp>nse_fo|UPL26DEC24600PE</stp>
        <stp>ATP</stp>
        <tr r="H266" s="1"/>
      </tp>
      <tp>
        <v>0</v>
        <stp/>
        <stp>nse_fo|UPL26DEC24630PE</stp>
        <stp>ATP</stp>
        <tr r="H269" s="1"/>
      </tp>
      <tp>
        <v>0</v>
        <stp/>
        <stp>nse_fo|UPL26DEC24620PE</stp>
        <stp>ATP</stp>
        <tr r="H268" s="1"/>
      </tp>
      <tp t="s">
        <v>JUBLFOOD</v>
        <stp/>
        <stp>nse_fo|JUBLFOOD26DEC24640CE</stp>
        <stp>Symbol</stp>
        <tr r="A151" s="1"/>
        <tr r="A140" s="1"/>
      </tp>
      <tp t="s">
        <v>26Dec2024</v>
        <stp/>
        <stp>nse_fo|ABB26DEC24FUT</stp>
        <stp>Series/Expiry</stp>
        <tr r="B19" s="1"/>
      </tp>
      <tp>
        <v>-3.25</v>
        <stp/>
        <stp>nse_fo|ADANIGREEN26DEC241280CE</stp>
        <stp>Net Change</stp>
        <tr r="K47" s="1"/>
      </tp>
      <tp>
        <v>-0.1</v>
        <stp/>
        <stp>nse_fo|ADANIGREEN26DEC241180CE</stp>
        <stp>Net Change</stp>
        <tr r="K42" s="1"/>
      </tp>
      <tp>
        <v>-6.9</v>
        <stp/>
        <stp>nse_fo|ADANIGREEN26DEC241080PE</stp>
        <stp>Net Change</stp>
        <tr r="K53" s="1"/>
      </tp>
      <tp t="s">
        <v>26Dec2024</v>
        <stp/>
        <stp>nse_fo|HDFCAMC26DEC244000PE</stp>
        <stp>Series/Expiry</stp>
        <tr r="B127" s="1"/>
      </tp>
      <tp t="s">
        <v>26Dec2024</v>
        <stp/>
        <stp>nse_fo|HDFCAMC26DEC244050PE</stp>
        <stp>Series/Expiry</stp>
        <tr r="B128" s="1"/>
      </tp>
      <tp>
        <v>25.3</v>
        <stp/>
        <stp>nse_fo|ADANIGREEN26DEC241100PE</stp>
        <stp>Ask Rate</stp>
        <tr r="E54" s="1"/>
      </tp>
      <tp>
        <v>30.45</v>
        <stp/>
        <stp>nse_fo|ADANIGREEN26DEC241120PE</stp>
        <stp>Ask Rate</stp>
        <tr r="E55" s="1"/>
      </tp>
      <tp>
        <v>21</v>
        <stp/>
        <stp>nse_fo|ADANIGREEN26DEC241080PE</stp>
        <stp>Ask Rate</stp>
        <tr r="E53" s="1"/>
      </tp>
      <tp>
        <v>13.7</v>
        <stp/>
        <stp>nse_fo|ADANIGREEN26DEC241040PE</stp>
        <stp>Ask Rate</stp>
        <tr r="E51" s="1"/>
      </tp>
      <tp>
        <v>17.149999999999999</v>
        <stp/>
        <stp>nse_fo|ADANIGREEN26DEC241060PE</stp>
        <stp>Ask Rate</stp>
        <tr r="E52" s="1"/>
      </tp>
      <tp>
        <v>3275800</v>
        <stp/>
        <stp>nse_fo|TATAMOTORS26DEC24780PE</stp>
        <stp>Volume Traded Today</stp>
        <tr r="I226" s="1"/>
      </tp>
      <tp>
        <v>2861650</v>
        <stp/>
        <stp>nse_fo|TATAMOTORS26DEC24790PE</stp>
        <stp>Volume Traded Today</stp>
        <tr r="I227" s="1"/>
      </tp>
      <tp>
        <v>594550</v>
        <stp/>
        <stp>nse_fo|TATAMOTORS26DEC24700PE</stp>
        <stp>Volume Traded Today</stp>
        <tr r="I71" s="1"/>
      </tp>
      <tp>
        <v>404800</v>
        <stp/>
        <stp>nse_fo|TATAMOTORS26DEC24710PE</stp>
        <stp>Volume Traded Today</stp>
        <tr r="I72" s="1"/>
      </tp>
      <tp>
        <v>652300</v>
        <stp/>
        <stp>nse_fo|TATAMOTORS26DEC24720PE</stp>
        <stp>Volume Traded Today</stp>
        <tr r="I73" s="1"/>
      </tp>
      <tp>
        <v>595650</v>
        <stp/>
        <stp>nse_fo|TATAMOTORS26DEC24730PE</stp>
        <stp>Volume Traded Today</stp>
        <tr r="I74" s="1"/>
      </tp>
      <tp>
        <v>1082400</v>
        <stp/>
        <stp>nse_fo|TATAMOTORS26DEC24740PE</stp>
        <stp>Volume Traded Today</stp>
        <tr r="I75" s="1"/>
      </tp>
      <tp>
        <v>1578500</v>
        <stp/>
        <stp>nse_fo|TATAMOTORS26DEC24750PE</stp>
        <stp>Volume Traded Today</stp>
        <tr r="I223" s="1"/>
      </tp>
      <tp>
        <v>1642300</v>
        <stp/>
        <stp>nse_fo|TATAMOTORS26DEC24760PE</stp>
        <stp>Volume Traded Today</stp>
        <tr r="I224" s="1"/>
      </tp>
      <tp>
        <v>1642300</v>
        <stp/>
        <stp>nse_fo|TATAMOTORS26DEC24770PE</stp>
        <stp>Volume Traded Today</stp>
        <tr r="I225" s="1"/>
      </tp>
      <tp t="s">
        <v>JUBLFOOD</v>
        <stp/>
        <stp>nse_fo|JUBLFOOD26DEC24630CE</stp>
        <stp>Symbol</stp>
        <tr r="A139" s="1"/>
        <tr r="A150" s="1"/>
      </tp>
      <tp>
        <v>1904100</v>
        <stp/>
        <stp>nse_fo|TATAMOTORS26DEC24880CE</stp>
        <stp>Volume Traded Today</stp>
        <tr r="I70" s="1"/>
      </tp>
      <tp>
        <v>6642900</v>
        <stp/>
        <stp>nse_fo|TATAMOTORS26DEC24800CE</stp>
        <stp>Volume Traded Today</stp>
        <tr r="I62" s="1"/>
        <tr r="I217" s="1"/>
      </tp>
      <tp>
        <v>7365600</v>
        <stp/>
        <stp>nse_fo|TATAMOTORS26DEC24810CE</stp>
        <stp>Volume Traded Today</stp>
        <tr r="I63" s="1"/>
        <tr r="I218" s="1"/>
      </tp>
      <tp>
        <v>15106850</v>
        <stp/>
        <stp>nse_fo|TATAMOTORS26DEC24820CE</stp>
        <stp>Volume Traded Today</stp>
        <tr r="I64" s="1"/>
        <tr r="I219" s="1"/>
      </tp>
      <tp>
        <v>7465700</v>
        <stp/>
        <stp>nse_fo|TATAMOTORS26DEC24830CE</stp>
        <stp>Volume Traded Today</stp>
        <tr r="I65" s="1"/>
        <tr r="I220" s="1"/>
      </tp>
      <tp>
        <v>4767400</v>
        <stp/>
        <stp>nse_fo|TATAMOTORS26DEC24840CE</stp>
        <stp>Volume Traded Today</stp>
        <tr r="I221" s="1"/>
        <tr r="I66" s="1"/>
      </tp>
      <tp>
        <v>8124050</v>
        <stp/>
        <stp>nse_fo|TATAMOTORS26DEC24850CE</stp>
        <stp>Volume Traded Today</stp>
        <tr r="I222" s="1"/>
        <tr r="I67" s="1"/>
      </tp>
      <tp>
        <v>3608000</v>
        <stp/>
        <stp>nse_fo|TATAMOTORS26DEC24860CE</stp>
        <stp>Volume Traded Today</stp>
        <tr r="I68" s="1"/>
      </tp>
      <tp>
        <v>1944800</v>
        <stp/>
        <stp>nse_fo|TATAMOTORS26DEC24870CE</stp>
        <stp>Volume Traded Today</stp>
        <tr r="I69" s="1"/>
      </tp>
      <tp>
        <v>1397550</v>
        <stp/>
        <stp>nse_fo|TATAMOTORS26DEC24780CE</stp>
        <stp>Volume Traded Today</stp>
        <tr r="I60" s="1"/>
        <tr r="I215" s="1"/>
      </tp>
      <tp>
        <v>1151700</v>
        <stp/>
        <stp>nse_fo|TATAMOTORS26DEC24790CE</stp>
        <stp>Volume Traded Today</stp>
        <tr r="I61" s="1"/>
        <tr r="I216" s="1"/>
      </tp>
      <tp t="s">
        <v>MOTHERSON</v>
        <stp/>
        <stp>nse_cm|MOTHERSON-EQ</stp>
        <stp>Symbol</stp>
        <tr r="A175" s="1"/>
      </tp>
      <tp>
        <v>3.1</v>
        <stp/>
        <stp>nse_fo|FEDERALBNK26DEC24210PE</stp>
        <stp>ATP</stp>
        <tr r="H114" s="1"/>
      </tp>
      <tp>
        <v>0.94</v>
        <stp/>
        <stp>nse_fo|FEDERALBNK26DEC24200PE</stp>
        <stp>ATP</stp>
        <tr r="H110" s="1"/>
      </tp>
      <tp>
        <v>0</v>
        <stp/>
        <stp>nse_fo|TATAMOTORS26DEC24FUT</stp>
        <stp>Strike Price</stp>
        <tr r="L213" s="1"/>
        <tr r="L58" s="1"/>
      </tp>
      <tp>
        <v>0</v>
        <stp/>
        <stp>nse_fo|MUTHOOTFIN26DEC24FUT</stp>
        <stp>Strike Price</stp>
        <tr r="L193" s="1"/>
      </tp>
      <tp>
        <v>2.6</v>
        <stp/>
        <stp>nse_fo|FEDERALBNK26DEC24220CE</stp>
        <stp>ATP</stp>
        <tr r="H108" s="1"/>
      </tp>
      <tp>
        <v>7.2</v>
        <stp/>
        <stp>nse_fo|FEDERALBNK26DEC24210CE</stp>
        <stp>ATP</stp>
        <tr r="H104" s="1"/>
      </tp>
      <tp>
        <v>14.94</v>
        <stp/>
        <stp>nse_fo|FEDERALBNK26DEC24200CE</stp>
        <stp>ATP</stp>
        <tr r="H100" s="1"/>
      </tp>
      <tp>
        <v>2710</v>
        <stp/>
        <stp>nse_fo|UPL26DEC24FUT</stp>
        <stp>Bid Qty</stp>
        <tr r="C252" s="1"/>
      </tp>
      <tp t="s">
        <v>26Dec2024</v>
        <stp/>
        <stp>nse_fo|HDFCAMC26DEC244100PE</stp>
        <stp>Series/Expiry</stp>
        <tr r="B129" s="1"/>
      </tp>
      <tp t="s">
        <v>26Dec2024</v>
        <stp/>
        <stp>nse_fo|HDFCAMC26DEC244150PE</stp>
        <stp>Series/Expiry</stp>
        <tr r="B130" s="1"/>
      </tp>
      <tp>
        <v>-1.85</v>
        <stp/>
        <stp>nse_fo|BSOFT26DEC24FUT</stp>
        <stp>Net Change</stp>
        <tr r="K78" s="1"/>
      </tp>
      <tp t="s">
        <v>JUBLFOOD</v>
        <stp/>
        <stp>nse_fo|JUBLFOOD26DEC24620CE</stp>
        <stp>Symbol</stp>
        <tr r="A138" s="1"/>
        <tr r="A149" s="1"/>
      </tp>
      <tp>
        <v>166.25</v>
        <stp/>
        <stp>nse_cm|MOTHERSON-EQ</stp>
        <stp>LTP</stp>
        <tr r="G175" s="1"/>
        <tr r="C11" s="1"/>
      </tp>
      <tp t="s">
        <v>26Dec2024</v>
        <stp/>
        <stp>nse_fo|HDFCAMC26DEC244200CE</stp>
        <stp>Series/Expiry</stp>
        <tr r="B119" s="1"/>
      </tp>
      <tp t="s">
        <v>26Dec2024</v>
        <stp/>
        <stp>nse_fo|HDFCAMC26DEC244200PE</stp>
        <stp>Series/Expiry</stp>
        <tr r="B131" s="1"/>
      </tp>
      <tp t="s">
        <v>26Dec2024</v>
        <stp/>
        <stp>nse_fo|HDFCAMC26DEC244250CE</stp>
        <stp>Series/Expiry</stp>
        <tr r="B120" s="1"/>
      </tp>
      <tp>
        <v>1355</v>
        <stp/>
        <stp>nse_fo|UPL26DEC24FUT</stp>
        <stp>Ask Qty</stp>
        <tr r="F252" s="1"/>
      </tp>
      <tp t="s">
        <v>JUBLFOOD</v>
        <stp/>
        <stp>nse_fo|JUBLFOOD26DEC24610CE</stp>
        <stp>Symbol</stp>
        <tr r="A148" s="1"/>
        <tr r="A137" s="1"/>
      </tp>
      <tp>
        <v>33.85</v>
        <stp/>
        <stp>nse_fo|UPL26DEC24590PE</stp>
        <stp>Bid Rate</stp>
        <tr r="D265" s="1"/>
      </tp>
      <tp>
        <v>67.95</v>
        <stp/>
        <stp>nse_fo|UPL26DEC24630PE</stp>
        <stp>Bid Rate</stp>
        <tr r="D269" s="1"/>
      </tp>
      <tp>
        <v>58.55</v>
        <stp/>
        <stp>nse_fo|UPL26DEC24620PE</stp>
        <stp>Bid Rate</stp>
        <tr r="D268" s="1"/>
      </tp>
      <tp>
        <v>49</v>
        <stp/>
        <stp>nse_fo|UPL26DEC24610PE</stp>
        <stp>Bid Rate</stp>
        <tr r="D267" s="1"/>
      </tp>
      <tp>
        <v>41.95</v>
        <stp/>
        <stp>nse_fo|UPL26DEC24600PE</stp>
        <stp>Bid Rate</stp>
        <tr r="D266" s="1"/>
      </tp>
      <tp>
        <v>1229.75</v>
        <stp/>
        <stp>nse_fo|ADANIGREEN26DEC24FUT</stp>
        <stp>High</stp>
        <tr r="A4" s="1"/>
      </tp>
      <tp t="s">
        <v>26Dec2024</v>
        <stp/>
        <stp>nse_fo|HDFCAMC26DEC244300CE</stp>
        <stp>Series/Expiry</stp>
        <tr r="B121" s="1"/>
      </tp>
      <tp>
        <v>13.2</v>
        <stp/>
        <stp>nse_fo|MUTHOOTFIN26DEC241880PE</stp>
        <stp>Bid Rate</stp>
        <tr r="D210" s="1"/>
      </tp>
      <tp>
        <v>4.3499999999999996</v>
        <stp/>
        <stp>nse_fo|MUTHOOTFIN26DEC241800PE</stp>
        <stp>Bid Rate</stp>
        <tr r="D206" s="1"/>
      </tp>
      <tp t="s">
        <v>26Dec2024</v>
        <stp/>
        <stp>nse_fo|HDFCAMC26DEC244350CE</stp>
        <stp>Series/Expiry</stp>
        <tr r="B122" s="1"/>
      </tp>
      <tp>
        <v>5.7</v>
        <stp/>
        <stp>nse_fo|MUTHOOTFIN26DEC241820PE</stp>
        <stp>Bid Rate</stp>
        <tr r="D207" s="1"/>
      </tp>
      <tp>
        <v>7.6</v>
        <stp/>
        <stp>nse_fo|MUTHOOTFIN26DEC241840PE</stp>
        <stp>Bid Rate</stp>
        <tr r="D208" s="1"/>
      </tp>
      <tp>
        <v>10</v>
        <stp/>
        <stp>nse_fo|MUTHOOTFIN26DEC241860PE</stp>
        <stp>Bid Rate</stp>
        <tr r="D209" s="1"/>
      </tp>
      <tp t="s">
        <v>JUBLFOOD</v>
        <stp/>
        <stp>nse_fo|JUBLFOOD26DEC24600CE</stp>
        <stp>Symbol</stp>
        <tr r="A136" s="1"/>
        <tr r="A147" s="1"/>
      </tp>
      <tp t="s">
        <v>JUBLFOOD</v>
        <stp/>
        <stp>nse_fo|JUBLFOOD26DEC24700CE</stp>
        <stp>Symbol</stp>
        <tr r="A146" s="1"/>
      </tp>
      <tp t="s">
        <v>CE</v>
        <stp/>
        <stp>nse_fo|FEDERALBNK26DEC24205CE</stp>
        <stp>Option Type</stp>
        <tr r="M102" s="1"/>
      </tp>
      <tp t="s">
        <v>CE</v>
        <stp/>
        <stp>nse_fo|FEDERALBNK26DEC24215CE</stp>
        <stp>Option Type</stp>
        <tr r="M106" s="1"/>
      </tp>
      <tp t="s">
        <v>PE</v>
        <stp/>
        <stp>nse_fo|FEDERALBNK26DEC24205PE</stp>
        <stp>Option Type</stp>
        <tr r="M112" s="1"/>
      </tp>
      <tp>
        <v>0</v>
        <stp/>
        <stp>nse_fo|JUBLFOOD26DEC24630CE</stp>
        <stp>Volume Traded Today</stp>
        <tr r="I139" s="1"/>
      </tp>
      <tp>
        <v>0</v>
        <stp/>
        <stp>nse_fo|JUBLFOOD26DEC24620CE</stp>
        <stp>Volume Traded Today</stp>
        <tr r="I138" s="1"/>
      </tp>
      <tp>
        <v>0</v>
        <stp/>
        <stp>nse_fo|JUBLFOOD26DEC24610CE</stp>
        <stp>Volume Traded Today</stp>
        <tr r="I137" s="1"/>
      </tp>
      <tp>
        <v>28750</v>
        <stp/>
        <stp>nse_fo|JUBLFOOD26DEC24600CE</stp>
        <stp>Volume Traded Today</stp>
        <tr r="I136" s="1"/>
      </tp>
      <tp>
        <v>98750</v>
        <stp/>
        <stp>nse_fo|JUBLFOOD26DEC24670CE</stp>
        <stp>Volume Traded Today</stp>
        <tr r="I143" s="1"/>
      </tp>
      <tp>
        <v>111250</v>
        <stp/>
        <stp>nse_fo|JUBLFOOD26DEC24660CE</stp>
        <stp>Volume Traded Today</stp>
        <tr r="I142" s="1"/>
      </tp>
      <tp>
        <v>40000</v>
        <stp/>
        <stp>nse_fo|JUBLFOOD26DEC24650CE</stp>
        <stp>Volume Traded Today</stp>
        <tr r="I141" s="1"/>
      </tp>
      <tp>
        <v>2500</v>
        <stp/>
        <stp>nse_fo|JUBLFOOD26DEC24640CE</stp>
        <stp>Volume Traded Today</stp>
        <tr r="I140" s="1"/>
      </tp>
      <tp>
        <v>1077500</v>
        <stp/>
        <stp>nse_fo|JUBLFOOD26DEC24690CE</stp>
        <stp>Volume Traded Today</stp>
        <tr r="I145" s="1"/>
      </tp>
      <tp>
        <v>463750</v>
        <stp/>
        <stp>nse_fo|JUBLFOOD26DEC24680CE</stp>
        <stp>Volume Traded Today</stp>
        <tr r="I144" s="1"/>
      </tp>
      <tp>
        <v>1715000</v>
        <stp/>
        <stp>nse_fo|JUBLFOOD26DEC24700CE</stp>
        <stp>Volume Traded Today</stp>
        <tr r="I146" s="1"/>
      </tp>
      <tp t="s">
        <v>26Dec2024</v>
        <stp/>
        <stp>nse_fo|ADANIGREEN26DEC24FUT</stp>
        <stp>Series/Expiry</stp>
        <tr r="B39" s="1"/>
      </tp>
      <tp>
        <v>281250</v>
        <stp/>
        <stp>nse_fo|JUBLFOOD26DEC24630PE</stp>
        <stp>Volume Traded Today</stp>
        <tr r="I150" s="1"/>
      </tp>
      <tp>
        <v>256250</v>
        <stp/>
        <stp>nse_fo|JUBLFOOD26DEC24620PE</stp>
        <stp>Volume Traded Today</stp>
        <tr r="I149" s="1"/>
      </tp>
      <tp>
        <v>21250</v>
        <stp/>
        <stp>nse_fo|JUBLFOOD26DEC24610PE</stp>
        <stp>Volume Traded Today</stp>
        <tr r="I148" s="1"/>
      </tp>
      <tp>
        <v>133750</v>
        <stp/>
        <stp>nse_fo|JUBLFOOD26DEC24600PE</stp>
        <stp>Volume Traded Today</stp>
        <tr r="I147" s="1"/>
      </tp>
      <tp>
        <v>540000</v>
        <stp/>
        <stp>nse_fo|JUBLFOOD26DEC24640PE</stp>
        <stp>Volume Traded Today</stp>
        <tr r="I151" s="1"/>
      </tp>
      <tp>
        <v>4504.05</v>
        <stp/>
        <stp>nse_fo|HDFCAMC26DEC24FUT</stp>
        <stp>Bid Rate</stp>
        <tr r="D117" s="1"/>
      </tp>
      <tp>
        <v>0.35</v>
        <stp/>
        <stp>nse_fo|BSOFT26DEC24520PE</stp>
        <stp>Bid Rate</stp>
        <tr r="D91" s="1"/>
      </tp>
      <tp>
        <v>0.6</v>
        <stp/>
        <stp>nse_fo|BSOFT26DEC24530PE</stp>
        <stp>Bid Rate</stp>
        <tr r="D92" s="1"/>
      </tp>
      <tp>
        <v>0.95</v>
        <stp/>
        <stp>nse_fo|BSOFT26DEC24540PE</stp>
        <stp>Bid Rate</stp>
        <tr r="D93" s="1"/>
      </tp>
      <tp>
        <v>1.3</v>
        <stp/>
        <stp>nse_fo|BSOFT26DEC24550PE</stp>
        <stp>Bid Rate</stp>
        <tr r="D94" s="1"/>
      </tp>
      <tp>
        <v>1.95</v>
        <stp/>
        <stp>nse_fo|BSOFT26DEC24560PE</stp>
        <stp>Bid Rate</stp>
        <tr r="D95" s="1"/>
      </tp>
      <tp>
        <v>249900</v>
        <stp/>
        <stp>nse_fo|LAURUSLABS26DEC24510CE</stp>
        <stp>Volume Traded Today</stp>
        <tr r="I160" s="1"/>
      </tp>
      <tp>
        <v>18700</v>
        <stp/>
        <stp>nse_fo|LAURUSLABS26DEC24500CE</stp>
        <stp>Volume Traded Today</stp>
        <tr r="I159" s="1"/>
      </tp>
      <tp>
        <v>86700</v>
        <stp/>
        <stp>nse_fo|LAURUSLABS26DEC24530CE</stp>
        <stp>Volume Traded Today</stp>
        <tr r="I162" s="1"/>
      </tp>
      <tp>
        <v>224400</v>
        <stp/>
        <stp>nse_fo|LAURUSLABS26DEC24520CE</stp>
        <stp>Volume Traded Today</stp>
        <tr r="I161" s="1"/>
      </tp>
      <tp>
        <v>719100</v>
        <stp/>
        <stp>nse_fo|LAURUSLABS26DEC24550CE</stp>
        <stp>Volume Traded Today</stp>
        <tr r="I164" s="1"/>
      </tp>
      <tp>
        <v>355300</v>
        <stp/>
        <stp>nse_fo|LAURUSLABS26DEC24540CE</stp>
        <stp>Volume Traded Today</stp>
        <tr r="I163" s="1"/>
      </tp>
      <tp>
        <v>4110600</v>
        <stp/>
        <stp>nse_fo|LAURUSLABS26DEC24570CE</stp>
        <stp>Volume Traded Today</stp>
        <tr r="I166" s="1"/>
      </tp>
      <tp>
        <v>2663900</v>
        <stp/>
        <stp>nse_fo|LAURUSLABS26DEC24560CE</stp>
        <stp>Volume Traded Today</stp>
        <tr r="I165" s="1"/>
      </tp>
      <tp>
        <v>0</v>
        <stp/>
        <stp>nse_fo|LAURUSLABS26DEC24470CE</stp>
        <stp>Volume Traded Today</stp>
        <tr r="I156" s="1"/>
      </tp>
      <tp>
        <v>0</v>
        <stp/>
        <stp>nse_fo|LAURUSLABS26DEC24490CE</stp>
        <stp>Volume Traded Today</stp>
        <tr r="I158" s="1"/>
      </tp>
      <tp>
        <v>0</v>
        <stp/>
        <stp>nse_fo|LAURUSLABS26DEC24480CE</stp>
        <stp>Volume Traded Today</stp>
        <tr r="I157" s="1"/>
      </tp>
      <tp>
        <v>1110100</v>
        <stp/>
        <stp>nse_fo|LAURUSLABS26DEC24510PE</stp>
        <stp>Volume Traded Today</stp>
        <tr r="I171" s="1"/>
      </tp>
      <tp>
        <v>1730600</v>
        <stp/>
        <stp>nse_fo|LAURUSLABS26DEC24500PE</stp>
        <stp>Volume Traded Today</stp>
        <tr r="I170" s="1"/>
      </tp>
      <tp>
        <v>3400</v>
        <stp/>
        <stp>nse_fo|LAURUSLABS26DEC24470PE</stp>
        <stp>Volume Traded Today</stp>
        <tr r="I167" s="1"/>
      </tp>
      <tp>
        <v>309400</v>
        <stp/>
        <stp>nse_fo|LAURUSLABS26DEC24490PE</stp>
        <stp>Volume Traded Today</stp>
        <tr r="I169" s="1"/>
      </tp>
      <tp>
        <v>112200</v>
        <stp/>
        <stp>nse_fo|LAURUSLABS26DEC24480PE</stp>
        <stp>Volume Traded Today</stp>
        <tr r="I168" s="1"/>
      </tp>
      <tp t="s">
        <v>26Dec2024</v>
        <stp/>
        <stp>nse_fo|MOTHERSON26DEC24182.5CE</stp>
        <stp>Series/Expiry</stp>
        <tr r="B183" s="1"/>
      </tp>
      <tp t="s">
        <v>26Dec2024</v>
        <stp/>
        <stp>nse_fo|MOTHERSON26DEC24172.5CE</stp>
        <stp>Series/Expiry</stp>
        <tr r="B179" s="1"/>
      </tp>
      <tp t="s">
        <v>26Dec2024</v>
        <stp/>
        <stp>nse_fo|MOTHERSON26DEC24162.5PE</stp>
        <stp>Series/Expiry</stp>
        <tr r="B187" s="1"/>
      </tp>
      <tp>
        <v>609.70000000000005</v>
        <stp/>
        <stp>nse_fo|BSOFT26DEC24FUT</stp>
        <stp>Ask Rate</stp>
        <tr r="E78" s="1"/>
      </tp>
      <tp>
        <v>212.48</v>
        <stp/>
        <stp>nse_fo|FEDERALBNK26DEC24FUT</stp>
        <stp xml:space="preserve">Low </stp>
        <tr r="B7" s="1"/>
      </tp>
      <tp>
        <v>131.9</v>
        <stp/>
        <stp>nse_cm|HDFCAMC-EQ</stp>
        <stp>Net Change</stp>
        <tr r="K118" s="1"/>
      </tp>
      <tp t="s">
        <v>JUBLFOOD</v>
        <stp/>
        <stp>nse_cm|JUBLFOOD-EQ</stp>
        <stp>Symbol</stp>
        <tr r="A135" s="1"/>
      </tp>
      <tp>
        <v>7589.08</v>
        <stp/>
        <stp>nse_cm|ABB-EQ</stp>
        <stp>ATP</stp>
        <tr r="H20" s="1"/>
      </tp>
      <tp t="s">
        <v>PE</v>
        <stp/>
        <stp>nse_fo|UPL26DEC24590PE</stp>
        <stp>Option Type</stp>
        <tr r="M265" s="1"/>
      </tp>
      <tp t="s">
        <v>PE</v>
        <stp/>
        <stp>nse_fo|UPL26DEC24600PE</stp>
        <stp>Option Type</stp>
        <tr r="M266" s="1"/>
      </tp>
      <tp t="s">
        <v>PE</v>
        <stp/>
        <stp>nse_fo|UPL26DEC24610PE</stp>
        <stp>Option Type</stp>
        <tr r="M267" s="1"/>
      </tp>
      <tp t="s">
        <v>PE</v>
        <stp/>
        <stp>nse_fo|UPL26DEC24620PE</stp>
        <stp>Option Type</stp>
        <tr r="M268" s="1"/>
      </tp>
      <tp t="s">
        <v>PE</v>
        <stp/>
        <stp>nse_fo|UPL26DEC24630PE</stp>
        <stp>Option Type</stp>
        <tr r="M269" s="1"/>
      </tp>
      <tp>
        <v>556.59</v>
        <stp/>
        <stp>nse_cm|UPL-EQ</stp>
        <stp>ATP</stp>
        <tr r="H253" s="1"/>
      </tp>
      <tp>
        <v>-5.6</v>
        <stp/>
        <stp>nse_fo|UPL26DEC24FUT</stp>
        <stp>Net Change</stp>
        <tr r="K252" s="1"/>
      </tp>
      <tp t="s">
        <v>CE</v>
        <stp/>
        <stp>nse_fo|UPL26DEC24580CE</stp>
        <stp>Option Type</stp>
        <tr r="M254" s="1"/>
      </tp>
      <tp t="s">
        <v>CE</v>
        <stp/>
        <stp>nse_fo|UPL26DEC24590CE</stp>
        <stp>Option Type</stp>
        <tr r="M255" s="1"/>
      </tp>
      <tp t="s">
        <v>CE</v>
        <stp/>
        <stp>nse_fo|UPL26DEC24680CE</stp>
        <stp>Option Type</stp>
        <tr r="M264" s="1"/>
      </tp>
      <tp t="s">
        <v>CE</v>
        <stp/>
        <stp>nse_fo|UPL26DEC24600CE</stp>
        <stp>Option Type</stp>
        <tr r="M256" s="1"/>
      </tp>
      <tp t="s">
        <v>CE</v>
        <stp/>
        <stp>nse_fo|UPL26DEC24610CE</stp>
        <stp>Option Type</stp>
        <tr r="M257" s="1"/>
      </tp>
      <tp t="s">
        <v>CE</v>
        <stp/>
        <stp>nse_fo|UPL26DEC24620CE</stp>
        <stp>Option Type</stp>
        <tr r="M258" s="1"/>
      </tp>
      <tp t="s">
        <v>CE</v>
        <stp/>
        <stp>nse_fo|UPL26DEC24630CE</stp>
        <stp>Option Type</stp>
        <tr r="M259" s="1"/>
      </tp>
      <tp t="s">
        <v>CE</v>
        <stp/>
        <stp>nse_fo|UPL26DEC24640CE</stp>
        <stp>Option Type</stp>
        <tr r="M260" s="1"/>
      </tp>
      <tp t="e">
        <v>#N/A</v>
        <stp/>
        <stp>nse_fo|UPL26DEC24650CE</stp>
        <stp>Option Type</stp>
        <tr r="M261" s="1"/>
      </tp>
      <tp t="s">
        <v>CE</v>
        <stp/>
        <stp>nse_fo|UPL26DEC24660CE</stp>
        <stp>Option Type</stp>
        <tr r="M262" s="1"/>
      </tp>
      <tp t="e">
        <v>#N/A</v>
        <stp/>
        <stp>nse_fo|UPL26DEC24670CE</stp>
        <stp>Option Type</stp>
        <tr r="M263" s="1"/>
      </tp>
      <tp>
        <v>0</v>
        <stp/>
        <stp>nse_fo|LAURUSLABS26DEC24FUT</stp>
        <stp>Strike Price</stp>
        <tr r="L154" s="1"/>
      </tp>
      <tp>
        <v>0.45</v>
        <stp/>
        <stp>nse_fo|LAURUSLABS26DEC24480PE</stp>
        <stp>LTP</stp>
        <tr r="G168" s="1"/>
      </tp>
      <tp>
        <v>0.65</v>
        <stp/>
        <stp>nse_fo|LAURUSLABS26DEC24490PE</stp>
        <stp>LTP</stp>
        <tr r="G169" s="1"/>
      </tp>
      <tp>
        <v>0.45</v>
        <stp/>
        <stp>nse_fo|LAURUSLABS26DEC24470PE</stp>
        <stp>LTP</stp>
        <tr r="G167" s="1"/>
      </tp>
      <tp>
        <v>18.75</v>
        <stp/>
        <stp>nse_fo|LAURUSLABS26DEC24580PE</stp>
        <stp>LTP</stp>
        <tr r="M3" s="2"/>
      </tp>
      <tp>
        <v>1</v>
        <stp/>
        <stp>nse_fo|LAURUSLABS26DEC24500PE</stp>
        <stp>LTP</stp>
        <tr r="G170" s="1"/>
      </tp>
      <tp>
        <v>1.4</v>
        <stp/>
        <stp>nse_fo|LAURUSLABS26DEC24510PE</stp>
        <stp>LTP</stp>
        <tr r="G171" s="1"/>
      </tp>
      <tp>
        <v>14</v>
        <stp/>
        <stp>nse_fo|LAURUSLABS26DEC24570PE</stp>
        <stp>LTP</stp>
        <tr r="M4" s="2"/>
      </tp>
      <tp>
        <v>103</v>
        <stp/>
        <stp>nse_fo|LAURUSLABS26DEC24480CE</stp>
        <stp>LTP</stp>
        <tr r="G157" s="1"/>
      </tp>
      <tp>
        <v>90</v>
        <stp/>
        <stp>nse_fo|LAURUSLABS26DEC24490CE</stp>
        <stp>LTP</stp>
        <tr r="G158" s="1"/>
      </tp>
      <tp>
        <v>43.45</v>
        <stp/>
        <stp>nse_fo|LAURUSLABS26DEC24470CE</stp>
        <stp>LTP</stp>
        <tr r="G156" s="1"/>
      </tp>
      <tp>
        <v>14.05</v>
        <stp/>
        <stp>nse_fo|LAURUSLABS26DEC24580CE</stp>
        <stp>LTP</stp>
        <tr r="L3" s="2"/>
      </tp>
      <tp>
        <v>55.4</v>
        <stp/>
        <stp>nse_fo|LAURUSLABS26DEC24520CE</stp>
        <stp>LTP</stp>
        <tr r="G161" s="1"/>
      </tp>
      <tp>
        <v>46.6</v>
        <stp/>
        <stp>nse_fo|LAURUSLABS26DEC24530CE</stp>
        <stp>LTP</stp>
        <tr r="G162" s="1"/>
      </tp>
      <tp>
        <v>68.75</v>
        <stp/>
        <stp>nse_fo|LAURUSLABS26DEC24500CE</stp>
        <stp>LTP</stp>
        <tr r="G159" s="1"/>
      </tp>
      <tp>
        <v>60.8</v>
        <stp/>
        <stp>nse_fo|LAURUSLABS26DEC24510CE</stp>
        <stp>LTP</stp>
        <tr r="G160" s="1"/>
      </tp>
      <tp>
        <v>24.5</v>
        <stp/>
        <stp>nse_fo|LAURUSLABS26DEC24560CE</stp>
        <stp>LTP</stp>
        <tr r="G165" s="1"/>
      </tp>
      <tp>
        <v>19.05</v>
        <stp/>
        <stp>nse_fo|LAURUSLABS26DEC24570CE</stp>
        <stp>LTP</stp>
        <tr r="G166" s="1"/>
        <tr r="L4" s="2"/>
      </tp>
      <tp>
        <v>39</v>
        <stp/>
        <stp>nse_fo|LAURUSLABS26DEC24540CE</stp>
        <stp>LTP</stp>
        <tr r="G163" s="1"/>
      </tp>
      <tp>
        <v>31.9</v>
        <stp/>
        <stp>nse_fo|LAURUSLABS26DEC24550CE</stp>
        <stp>LTP</stp>
        <tr r="G164" s="1"/>
      </tp>
      <tp>
        <v>-2.86</v>
        <stp/>
        <stp>nse_fo|FEDERALBNK26DEC24217.5CE</stp>
        <stp>% Change</stp>
        <tr r="J107" s="1"/>
      </tp>
      <tp>
        <v>-13.43</v>
        <stp/>
        <stp>nse_fo|FEDERALBNK26DEC24210PE</stp>
        <stp>% Change</stp>
        <tr r="J114" s="1"/>
      </tp>
      <tp>
        <v>-19.05</v>
        <stp/>
        <stp>nse_fo|FEDERALBNK26DEC24200PE</stp>
        <stp>% Change</stp>
        <tr r="J110" s="1"/>
      </tp>
      <tp>
        <v>-18.420000000000002</v>
        <stp/>
        <stp>nse_fo|FEDERALBNK26DEC24205PE</stp>
        <stp>% Change</stp>
        <tr r="J112" s="1"/>
      </tp>
      <tp>
        <v>-0.86</v>
        <stp/>
        <stp>nse_fo|FEDERALBNK26DEC24212.5CE</stp>
        <stp>% Change</stp>
        <tr r="J105" s="1"/>
      </tp>
      <tp>
        <v>-2.4900000000000002</v>
        <stp/>
        <stp>nse_fo|VEDL26DEC24FUT</stp>
        <stp>% Change</stp>
        <tr r="J230" s="1"/>
        <tr r="E14" s="1"/>
      </tp>
      <tp>
        <v>215.41</v>
        <stp/>
        <stp>nse_fo|FEDERALBNK26DEC24FUT</stp>
        <stp>High</stp>
        <tr r="A7" s="1"/>
      </tp>
      <tp t="s">
        <v>26Dec2024</v>
        <stp/>
        <stp>nse_fo|MOTHERSON26DEC24187.5CE</stp>
        <stp>Series/Expiry</stp>
        <tr r="B185" s="1"/>
      </tp>
      <tp t="s">
        <v>26Dec2024</v>
        <stp/>
        <stp>nse_fo|MOTHERSON26DEC24167.5CE</stp>
        <stp>Series/Expiry</stp>
        <tr r="B177" s="1"/>
      </tp>
      <tp t="s">
        <v>26Dec2024</v>
        <stp/>
        <stp>nse_fo|MOTHERSON26DEC24177.5CE</stp>
        <stp>Series/Expiry</stp>
        <tr r="B181" s="1"/>
      </tp>
      <tp t="s">
        <v>26Dec2024</v>
        <stp/>
        <stp>nse_fo|MOTHERSON26DEC24167.5PE</stp>
        <stp>Series/Expiry</stp>
        <tr r="B189" s="1"/>
      </tp>
      <tp>
        <v>-0.99</v>
        <stp/>
        <stp>nse_fo|UPL26DEC24FUT</stp>
        <stp>% Change</stp>
        <tr r="E15" s="1"/>
        <tr r="J252" s="1"/>
      </tp>
      <tp>
        <v>0.56999999999999995</v>
        <stp/>
        <stp>nse_fo|ABB26DEC24FUT</stp>
        <stp>% Change</stp>
        <tr r="J19" s="1"/>
        <tr r="E3" s="1"/>
      </tp>
      <tp>
        <v>12.5</v>
        <stp/>
        <stp>nse_fo|LAURUSLABS26DEC24480PE</stp>
        <stp>% Change</stp>
        <tr r="J168" s="1"/>
      </tp>
      <tp>
        <v>30</v>
        <stp/>
        <stp>nse_fo|LAURUSLABS26DEC24490PE</stp>
        <stp>% Change</stp>
        <tr r="J169" s="1"/>
      </tp>
      <tp>
        <v>50</v>
        <stp/>
        <stp>nse_fo|LAURUSLABS26DEC24470PE</stp>
        <stp>% Change</stp>
        <tr r="J167" s="1"/>
      </tp>
      <tp>
        <v>11.11</v>
        <stp/>
        <stp>nse_fo|LAURUSLABS26DEC24500PE</stp>
        <stp>% Change</stp>
        <tr r="J170" s="1"/>
      </tp>
      <tp>
        <v>27.27</v>
        <stp/>
        <stp>nse_fo|LAURUSLABS26DEC24510PE</stp>
        <stp>% Change</stp>
        <tr r="J171" s="1"/>
      </tp>
      <tp t="s">
        <v>CE</v>
        <stp/>
        <stp>nse_fo|FEDERALBNK26DEC24220CE</stp>
        <stp>Option Type</stp>
        <tr r="M108" s="1"/>
      </tp>
      <tp t="s">
        <v>CE</v>
        <stp/>
        <stp>nse_fo|FEDERALBNK26DEC24200CE</stp>
        <stp>Option Type</stp>
        <tr r="M100" s="1"/>
      </tp>
      <tp t="s">
        <v>CE</v>
        <stp/>
        <stp>nse_fo|FEDERALBNK26DEC24210CE</stp>
        <stp>Option Type</stp>
        <tr r="M104" s="1"/>
      </tp>
      <tp>
        <v>19.399999999999999</v>
        <stp/>
        <stp>nse_fo|JUBLFOOD26DEC24700PE</stp>
        <stp>LTP</stp>
        <tr r="E31" s="2"/>
      </tp>
      <tp>
        <v>14.3</v>
        <stp/>
        <stp>nse_fo|JUBLFOOD26DEC24690PE</stp>
        <stp>LTP</stp>
        <tr r="E32" s="2"/>
      </tp>
      <tp>
        <v>0.6</v>
        <stp/>
        <stp>nse_fo|JUBLFOOD26DEC24600PE</stp>
        <stp>LTP</stp>
        <tr r="G147" s="1"/>
      </tp>
      <tp>
        <v>0.8</v>
        <stp/>
        <stp>nse_fo|JUBLFOOD26DEC24610PE</stp>
        <stp>LTP</stp>
        <tr r="G148" s="1"/>
      </tp>
      <tp>
        <v>1</v>
        <stp/>
        <stp>nse_fo|JUBLFOOD26DEC24620PE</stp>
        <stp>LTP</stp>
        <tr r="G149" s="1"/>
      </tp>
      <tp>
        <v>1.45</v>
        <stp/>
        <stp>nse_fo|JUBLFOOD26DEC24630PE</stp>
        <stp>LTP</stp>
        <tr r="G150" s="1"/>
      </tp>
      <tp>
        <v>2.15</v>
        <stp/>
        <stp>nse_fo|JUBLFOOD26DEC24640PE</stp>
        <stp>LTP</stp>
        <tr r="G151" s="1"/>
      </tp>
      <tp>
        <v>5750</v>
        <stp/>
        <stp>nse_fo|VEDL26DEC24480PE</stp>
        <stp>Bid Qty</stp>
        <tr r="C248" s="1"/>
      </tp>
      <tp>
        <v>3450</v>
        <stp/>
        <stp>nse_fo|VEDL26DEC24420PE</stp>
        <stp>Bid Qty</stp>
        <tr r="C242" s="1"/>
      </tp>
      <tp>
        <v>26450</v>
        <stp/>
        <stp>nse_fo|VEDL26DEC24430PE</stp>
        <stp>Bid Qty</stp>
        <tr r="C243" s="1"/>
      </tp>
      <tp>
        <v>10350</v>
        <stp/>
        <stp>nse_fo|VEDL26DEC24410PE</stp>
        <stp>Bid Qty</stp>
        <tr r="C241" s="1"/>
      </tp>
      <tp>
        <v>33350</v>
        <stp/>
        <stp>nse_fo|VEDL26DEC24460PE</stp>
        <stp>Bid Qty</stp>
        <tr r="C246" s="1"/>
      </tp>
      <tp>
        <v>3450</v>
        <stp/>
        <stp>nse_fo|VEDL26DEC24470PE</stp>
        <stp>Bid Qty</stp>
        <tr r="C247" s="1"/>
      </tp>
      <tp>
        <v>25300</v>
        <stp/>
        <stp>nse_fo|VEDL26DEC24440PE</stp>
        <stp>Bid Qty</stp>
        <tr r="C244" s="1"/>
      </tp>
      <tp>
        <v>14950</v>
        <stp/>
        <stp>nse_fo|VEDL26DEC24450PE</stp>
        <stp>Bid Qty</stp>
        <tr r="C245" s="1"/>
      </tp>
      <tp>
        <v>-2.84</v>
        <stp/>
        <stp>nse_fo|FEDERALBNK26DEC24207.5CE</stp>
        <stp>% Change</stp>
        <tr r="J103" s="1"/>
      </tp>
      <tp>
        <v>6.07</v>
        <stp/>
        <stp>nse_fo|FEDERALBNK26DEC24202.5CE</stp>
        <stp>% Change</stp>
        <tr r="J101" s="1"/>
      </tp>
      <tp t="s">
        <v>PE</v>
        <stp/>
        <stp>nse_fo|FEDERALBNK26DEC24200PE</stp>
        <stp>Option Type</stp>
        <tr r="M110" s="1"/>
      </tp>
      <tp t="s">
        <v>PE</v>
        <stp/>
        <stp>nse_fo|FEDERALBNK26DEC24210PE</stp>
        <stp>Option Type</stp>
        <tr r="M114" s="1"/>
      </tp>
      <tp>
        <v>74.400000000000006</v>
        <stp/>
        <stp>nse_fo|UPL26DEC24630PE</stp>
        <stp>Ask Rate</stp>
        <tr r="E269" s="1"/>
      </tp>
      <tp>
        <v>63.85</v>
        <stp/>
        <stp>nse_fo|UPL26DEC24620PE</stp>
        <stp>Ask Rate</stp>
        <tr r="E268" s="1"/>
      </tp>
      <tp>
        <v>54.3</v>
        <stp/>
        <stp>nse_fo|UPL26DEC24610PE</stp>
        <stp>Ask Rate</stp>
        <tr r="E267" s="1"/>
      </tp>
      <tp>
        <v>43.65</v>
        <stp/>
        <stp>nse_fo|UPL26DEC24600PE</stp>
        <stp>Ask Rate</stp>
        <tr r="E266" s="1"/>
      </tp>
      <tp>
        <v>34.6</v>
        <stp/>
        <stp>nse_fo|UPL26DEC24590PE</stp>
        <stp>Ask Rate</stp>
        <tr r="E265" s="1"/>
      </tp>
      <tp>
        <v>13.85</v>
        <stp/>
        <stp>nse_fo|JUBLFOOD26DEC24700CE</stp>
        <stp>LTP</stp>
        <tr r="D31" s="2"/>
        <tr r="G146" s="1"/>
      </tp>
      <tp>
        <v>24.4</v>
        <stp/>
        <stp>nse_fo|JUBLFOOD26DEC24680CE</stp>
        <stp>LTP</stp>
        <tr r="G144" s="1"/>
      </tp>
      <tp>
        <v>18.75</v>
        <stp/>
        <stp>nse_fo|JUBLFOOD26DEC24690CE</stp>
        <stp>LTP</stp>
        <tr r="D32" s="2"/>
        <tr r="G145" s="1"/>
      </tp>
      <tp>
        <v>96.65</v>
        <stp/>
        <stp>nse_fo|JUBLFOOD26DEC24600CE</stp>
        <stp>LTP</stp>
        <tr r="G136" s="1"/>
      </tp>
      <tp>
        <v>49.2</v>
        <stp/>
        <stp>nse_fo|JUBLFOOD26DEC24610CE</stp>
        <stp>LTP</stp>
        <tr r="G137" s="1"/>
      </tp>
      <tp>
        <v>79.5</v>
        <stp/>
        <stp>nse_fo|JUBLFOOD26DEC24620CE</stp>
        <stp>LTP</stp>
        <tr r="G138" s="1"/>
      </tp>
      <tp>
        <v>68.8</v>
        <stp/>
        <stp>nse_fo|JUBLFOOD26DEC24630CE</stp>
        <stp>LTP</stp>
        <tr r="G139" s="1"/>
      </tp>
      <tp>
        <v>55.6</v>
        <stp/>
        <stp>nse_fo|JUBLFOOD26DEC24640CE</stp>
        <stp>LTP</stp>
        <tr r="G140" s="1"/>
      </tp>
      <tp>
        <v>48</v>
        <stp/>
        <stp>nse_fo|JUBLFOOD26DEC24650CE</stp>
        <stp>LTP</stp>
        <tr r="G141" s="1"/>
      </tp>
      <tp>
        <v>37.85</v>
        <stp/>
        <stp>nse_fo|JUBLFOOD26DEC24660CE</stp>
        <stp>LTP</stp>
        <tr r="G142" s="1"/>
      </tp>
      <tp>
        <v>31.65</v>
        <stp/>
        <stp>nse_fo|JUBLFOOD26DEC24670CE</stp>
        <stp>LTP</stp>
        <tr r="G143" s="1"/>
      </tp>
      <tp>
        <v>1150</v>
        <stp/>
        <stp>nse_fo|VEDL26DEC24480CE</stp>
        <stp>Bid Qty</stp>
        <tr r="C238" s="1"/>
      </tp>
      <tp>
        <v>4600</v>
        <stp/>
        <stp>nse_fo|VEDL26DEC24490CE</stp>
        <stp>Bid Qty</stp>
        <tr r="C239" s="1"/>
      </tp>
      <tp>
        <v>6900</v>
        <stp/>
        <stp>nse_fo|VEDL26DEC24420CE</stp>
        <stp>Bid Qty</stp>
        <tr r="C232" s="1"/>
      </tp>
      <tp>
        <v>1150</v>
        <stp/>
        <stp>nse_fo|VEDL26DEC24430CE</stp>
        <stp>Bid Qty</stp>
        <tr r="C233" s="1"/>
      </tp>
      <tp>
        <v>1150</v>
        <stp/>
        <stp>nse_fo|VEDL26DEC24460CE</stp>
        <stp>Bid Qty</stp>
        <tr r="C236" s="1"/>
      </tp>
      <tp>
        <v>1150</v>
        <stp/>
        <stp>nse_fo|VEDL26DEC24470CE</stp>
        <stp>Bid Qty</stp>
        <tr r="C237" s="1"/>
      </tp>
      <tp>
        <v>2300</v>
        <stp/>
        <stp>nse_fo|VEDL26DEC24440CE</stp>
        <stp>Bid Qty</stp>
        <tr r="C234" s="1"/>
      </tp>
      <tp>
        <v>2300</v>
        <stp/>
        <stp>nse_fo|VEDL26DEC24450CE</stp>
        <stp>Bid Qty</stp>
        <tr r="C235" s="1"/>
      </tp>
      <tp>
        <v>12650</v>
        <stp/>
        <stp>nse_fo|VEDL26DEC24500CE</stp>
        <stp>Bid Qty</stp>
        <tr r="C240" s="1"/>
      </tp>
      <tp>
        <v>13.5</v>
        <stp/>
        <stp>nse_fo|MUTHOOTFIN26DEC241880PE</stp>
        <stp>Ask Rate</stp>
        <tr r="E210" s="1"/>
      </tp>
      <tp>
        <v>4.5</v>
        <stp/>
        <stp>nse_fo|MUTHOOTFIN26DEC241800PE</stp>
        <stp>Ask Rate</stp>
        <tr r="E206" s="1"/>
      </tp>
      <tp>
        <v>5.9</v>
        <stp/>
        <stp>nse_fo|MUTHOOTFIN26DEC241820PE</stp>
        <stp>Ask Rate</stp>
        <tr r="E207" s="1"/>
      </tp>
      <tp>
        <v>7.75</v>
        <stp/>
        <stp>nse_fo|MUTHOOTFIN26DEC241840PE</stp>
        <stp>Ask Rate</stp>
        <tr r="E208" s="1"/>
      </tp>
      <tp>
        <v>10.35</v>
        <stp/>
        <stp>nse_fo|MUTHOOTFIN26DEC241860PE</stp>
        <stp>Ask Rate</stp>
        <tr r="E209" s="1"/>
      </tp>
      <tp t="s">
        <v>26Dec2024</v>
        <stp/>
        <stp>nse_fo|MUTHOOTFIN26DEC24FUT</stp>
        <stp>Series/Expiry</stp>
        <tr r="B193" s="1"/>
      </tp>
      <tp t="s">
        <v>26Dec2024</v>
        <stp/>
        <stp>nse_fo|TATAMOTORS26DEC24FUT</stp>
        <stp>Series/Expiry</stp>
        <tr r="B213" s="1"/>
        <tr r="B58" s="1"/>
      </tp>
      <tp>
        <v>3450</v>
        <stp/>
        <stp>nse_fo|VEDL26DEC24500CE</stp>
        <stp>Ask Qty</stp>
        <tr r="F240" s="1"/>
      </tp>
      <tp>
        <v>6900</v>
        <stp/>
        <stp>nse_fo|VEDL26DEC24480CE</stp>
        <stp>Ask Qty</stp>
        <tr r="F238" s="1"/>
      </tp>
      <tp>
        <v>3450</v>
        <stp/>
        <stp>nse_fo|VEDL26DEC24490CE</stp>
        <stp>Ask Qty</stp>
        <tr r="F239" s="1"/>
      </tp>
      <tp>
        <v>6900</v>
        <stp/>
        <stp>nse_fo|VEDL26DEC24420CE</stp>
        <stp>Ask Qty</stp>
        <tr r="F232" s="1"/>
      </tp>
      <tp>
        <v>1150</v>
        <stp/>
        <stp>nse_fo|VEDL26DEC24430CE</stp>
        <stp>Ask Qty</stp>
        <tr r="F233" s="1"/>
      </tp>
      <tp>
        <v>1150</v>
        <stp/>
        <stp>nse_fo|VEDL26DEC24460CE</stp>
        <stp>Ask Qty</stp>
        <tr r="F236" s="1"/>
      </tp>
      <tp>
        <v>2300</v>
        <stp/>
        <stp>nse_fo|VEDL26DEC24470CE</stp>
        <stp>Ask Qty</stp>
        <tr r="F237" s="1"/>
      </tp>
      <tp>
        <v>1150</v>
        <stp/>
        <stp>nse_fo|VEDL26DEC24440CE</stp>
        <stp>Ask Qty</stp>
        <tr r="F234" s="1"/>
      </tp>
      <tp>
        <v>1150</v>
        <stp/>
        <stp>nse_fo|VEDL26DEC24450CE</stp>
        <stp>Ask Qty</stp>
        <tr r="F235" s="1"/>
      </tp>
      <tp>
        <v>3450</v>
        <stp/>
        <stp>nse_fo|VEDL26DEC24480PE</stp>
        <stp>Ask Qty</stp>
        <tr r="F248" s="1"/>
      </tp>
      <tp>
        <v>17250</v>
        <stp/>
        <stp>nse_fo|VEDL26DEC24420PE</stp>
        <stp>Ask Qty</stp>
        <tr r="F242" s="1"/>
      </tp>
      <tp>
        <v>25300</v>
        <stp/>
        <stp>nse_fo|VEDL26DEC24430PE</stp>
        <stp>Ask Qty</stp>
        <tr r="F243" s="1"/>
      </tp>
      <tp>
        <v>12650</v>
        <stp/>
        <stp>nse_fo|VEDL26DEC24410PE</stp>
        <stp>Ask Qty</stp>
        <tr r="F241" s="1"/>
      </tp>
      <tp>
        <v>31050</v>
        <stp/>
        <stp>nse_fo|VEDL26DEC24460PE</stp>
        <stp>Ask Qty</stp>
        <tr r="F246" s="1"/>
      </tp>
      <tp>
        <v>10350</v>
        <stp/>
        <stp>nse_fo|VEDL26DEC24470PE</stp>
        <stp>Ask Qty</stp>
        <tr r="F247" s="1"/>
      </tp>
      <tp>
        <v>13800</v>
        <stp/>
        <stp>nse_fo|VEDL26DEC24440PE</stp>
        <stp>Ask Qty</stp>
        <tr r="F244" s="1"/>
      </tp>
      <tp>
        <v>24150</v>
        <stp/>
        <stp>nse_fo|VEDL26DEC24450PE</stp>
        <stp>Ask Qty</stp>
        <tr r="F245" s="1"/>
      </tp>
      <tp>
        <v>-31.76</v>
        <stp/>
        <stp>nse_fo|TATAMOTORS26DEC24850CE</stp>
        <stp>% Change</stp>
        <tr r="J222" s="1"/>
        <tr r="J67" s="1"/>
      </tp>
      <tp>
        <v>-30.59</v>
        <stp/>
        <stp>nse_fo|TATAMOTORS26DEC24840CE</stp>
        <stp>% Change</stp>
        <tr r="J221" s="1"/>
        <tr r="J66" s="1"/>
      </tp>
      <tp>
        <v>-32.99</v>
        <stp/>
        <stp>nse_fo|TATAMOTORS26DEC24870CE</stp>
        <stp>% Change</stp>
        <tr r="J69" s="1"/>
      </tp>
      <tp>
        <v>-33.07</v>
        <stp/>
        <stp>nse_fo|TATAMOTORS26DEC24860CE</stp>
        <stp>% Change</stp>
        <tr r="J68" s="1"/>
      </tp>
      <tp>
        <v>-25.79</v>
        <stp/>
        <stp>nse_fo|TATAMOTORS26DEC24810CE</stp>
        <stp>% Change</stp>
        <tr r="J63" s="1"/>
        <tr r="J218" s="1"/>
      </tp>
      <tp>
        <v>-24.54</v>
        <stp/>
        <stp>nse_fo|TATAMOTORS26DEC24800CE</stp>
        <stp>% Change</stp>
        <tr r="J62" s="1"/>
        <tr r="J217" s="1"/>
      </tp>
      <tp>
        <v>-29.62</v>
        <stp/>
        <stp>nse_fo|TATAMOTORS26DEC24830CE</stp>
        <stp>% Change</stp>
        <tr r="J65" s="1"/>
        <tr r="J220" s="1"/>
      </tp>
      <tp>
        <v>-27.61</v>
        <stp/>
        <stp>nse_fo|TATAMOTORS26DEC24820CE</stp>
        <stp>% Change</stp>
        <tr r="J64" s="1"/>
        <tr r="J219" s="1"/>
      </tp>
      <tp>
        <v>-34.21</v>
        <stp/>
        <stp>nse_fo|TATAMOTORS26DEC24880CE</stp>
        <stp>% Change</stp>
        <tr r="J70" s="1"/>
      </tp>
      <tp>
        <v>-23.43</v>
        <stp/>
        <stp>nse_fo|TATAMOTORS26DEC24790CE</stp>
        <stp>% Change</stp>
        <tr r="J61" s="1"/>
        <tr r="J216" s="1"/>
      </tp>
      <tp>
        <v>-21.29</v>
        <stp/>
        <stp>nse_fo|TATAMOTORS26DEC24780CE</stp>
        <stp>% Change</stp>
        <tr r="J215" s="1"/>
        <tr r="J60" s="1"/>
      </tp>
      <tp>
        <v>4459.92</v>
        <stp/>
        <stp>nse_fo|HDFCAMC26DEC24FUT</stp>
        <stp>ATP</stp>
        <tr r="H117" s="1"/>
      </tp>
      <tp>
        <v>20.5</v>
        <stp/>
        <stp>nse_fo|ADANIGREEN26DEC241080PE</stp>
        <stp>Bid Rate</stp>
        <tr r="D53" s="1"/>
      </tp>
      <tp>
        <v>13.5</v>
        <stp/>
        <stp>nse_fo|ADANIGREEN26DEC241040PE</stp>
        <stp>Bid Rate</stp>
        <tr r="D51" s="1"/>
      </tp>
      <tp>
        <v>16.8</v>
        <stp/>
        <stp>nse_fo|ADANIGREEN26DEC241060PE</stp>
        <stp>Bid Rate</stp>
        <tr r="D52" s="1"/>
      </tp>
      <tp>
        <v>24.9</v>
        <stp/>
        <stp>nse_fo|ADANIGREEN26DEC241100PE</stp>
        <stp>Bid Rate</stp>
        <tr r="D54" s="1"/>
      </tp>
      <tp>
        <v>29.95</v>
        <stp/>
        <stp>nse_fo|ADANIGREEN26DEC241120PE</stp>
        <stp>Bid Rate</stp>
        <tr r="D55" s="1"/>
      </tp>
      <tp t="s">
        <v>EQ</v>
        <stp/>
        <stp>nse_cm|FEDERALBNK-EQ</stp>
        <stp>Series/Expiry</stp>
        <tr r="B99" s="1"/>
      </tp>
      <tp>
        <v>52.73</v>
        <stp/>
        <stp>nse_fo|MOTHERSON26DEC24165PE</stp>
        <stp>% Change</stp>
        <tr r="J188" s="1"/>
      </tp>
      <tp>
        <v>43.75</v>
        <stp/>
        <stp>nse_fo|MOTHERSON26DEC24160PE</stp>
        <stp>% Change</stp>
        <tr r="J186" s="1"/>
      </tp>
      <tp>
        <v>39.18</v>
        <stp/>
        <stp>nse_fo|MOTHERSON26DEC24170PE</stp>
        <stp>% Change</stp>
        <tr r="J190" s="1"/>
      </tp>
      <tp>
        <v>-7.5</v>
        <stp/>
        <stp>nse_fo|FEDERALBNK26DEC24222.5CE</stp>
        <stp>% Change</stp>
        <tr r="J109" s="1"/>
      </tp>
      <tp>
        <v>0.06</v>
        <stp/>
        <stp>nse_cm|BSOFT-EQ</stp>
        <stp>% Change</stp>
        <tr r="J79" s="1"/>
      </tp>
      <tp t="s">
        <v>EQ</v>
        <stp/>
        <stp>nse_cm|LAURUSLABS-EQ</stp>
        <stp>Series/Expiry</stp>
        <tr r="B155" s="1"/>
      </tp>
      <tp t="s">
        <v>26Dec2024</v>
        <stp/>
        <stp>nse_fo|UPL26DEC24FUT</stp>
        <stp>Series/Expiry</stp>
        <tr r="B252" s="1"/>
      </tp>
      <tp>
        <v>35.15</v>
        <stp/>
        <stp>nse_fo|BSOFT26DEC24580CE</stp>
        <stp>Ask Rate</stp>
        <tr r="E84" s="1"/>
      </tp>
      <tp>
        <v>27.45</v>
        <stp/>
        <stp>nse_fo|BSOFT26DEC24590CE</stp>
        <stp>Ask Rate</stp>
        <tr r="E85" s="1"/>
      </tp>
      <tp>
        <v>74.150000000000006</v>
        <stp/>
        <stp>nse_fo|BSOFT26DEC24540CE</stp>
        <stp>Ask Rate</stp>
        <tr r="E80" s="1"/>
      </tp>
      <tp>
        <v>62.2</v>
        <stp/>
        <stp>nse_fo|BSOFT26DEC24550CE</stp>
        <stp>Ask Rate</stp>
        <tr r="E81" s="1"/>
      </tp>
      <tp>
        <v>52.05</v>
        <stp/>
        <stp>nse_fo|BSOFT26DEC24560CE</stp>
        <stp>Ask Rate</stp>
        <tr r="E82" s="1"/>
      </tp>
      <tp>
        <v>43.6</v>
        <stp/>
        <stp>nse_fo|BSOFT26DEC24570CE</stp>
        <stp>Ask Rate</stp>
        <tr r="E83" s="1"/>
      </tp>
      <tp>
        <v>20.5</v>
        <stp/>
        <stp>nse_fo|BSOFT26DEC24600CE</stp>
        <stp>Ask Rate</stp>
        <tr r="E86" s="1"/>
      </tp>
      <tp>
        <v>15.1</v>
        <stp/>
        <stp>nse_fo|BSOFT26DEC24610CE</stp>
        <stp>Ask Rate</stp>
        <tr r="E87" s="1"/>
      </tp>
      <tp>
        <v>10.75</v>
        <stp/>
        <stp>nse_fo|BSOFT26DEC24620CE</stp>
        <stp>Ask Rate</stp>
        <tr r="E88" s="1"/>
      </tp>
      <tp>
        <v>7.45</v>
        <stp/>
        <stp>nse_fo|BSOFT26DEC24630CE</stp>
        <stp>Ask Rate</stp>
        <tr r="E89" s="1"/>
      </tp>
      <tp>
        <v>5.2</v>
        <stp/>
        <stp>nse_fo|BSOFT26DEC24640CE</stp>
        <stp>Ask Rate</stp>
        <tr r="E90" s="1"/>
      </tp>
      <tp>
        <v>0</v>
        <stp/>
        <stp>nse_cm|HDFCAMC-EQ</stp>
        <stp>Strike Price</stp>
        <tr r="L118" s="1"/>
      </tp>
      <tp>
        <v>0.72</v>
        <stp/>
        <stp>nse_fo|JUBLFOOD26DEC24600PE</stp>
        <stp>ATP</stp>
        <tr r="H147" s="1"/>
      </tp>
      <tp>
        <v>0.9</v>
        <stp/>
        <stp>nse_fo|JUBLFOOD26DEC24610PE</stp>
        <stp>ATP</stp>
        <tr r="H148" s="1"/>
      </tp>
      <tp>
        <v>1.1599999999999999</v>
        <stp/>
        <stp>nse_fo|JUBLFOOD26DEC24620PE</stp>
        <stp>ATP</stp>
        <tr r="H149" s="1"/>
      </tp>
      <tp>
        <v>1.62</v>
        <stp/>
        <stp>nse_fo|JUBLFOOD26DEC24630PE</stp>
        <stp>ATP</stp>
        <tr r="H150" s="1"/>
      </tp>
      <tp>
        <v>2.35</v>
        <stp/>
        <stp>nse_fo|JUBLFOOD26DEC24640PE</stp>
        <stp>ATP</stp>
        <tr r="H151" s="1"/>
      </tp>
      <tp>
        <v>12.69</v>
        <stp/>
        <stp>nse_fo|JUBLFOOD26DEC24700CE</stp>
        <stp>ATP</stp>
        <tr r="H146" s="1"/>
      </tp>
      <tp>
        <v>22.27</v>
        <stp/>
        <stp>nse_fo|JUBLFOOD26DEC24680CE</stp>
        <stp>ATP</stp>
        <tr r="H144" s="1"/>
      </tp>
      <tp>
        <v>17.309999999999999</v>
        <stp/>
        <stp>nse_fo|JUBLFOOD26DEC24690CE</stp>
        <stp>ATP</stp>
        <tr r="H145" s="1"/>
      </tp>
      <tp>
        <v>87.77</v>
        <stp/>
        <stp>nse_fo|JUBLFOOD26DEC24600CE</stp>
        <stp>ATP</stp>
        <tr r="H136" s="1"/>
      </tp>
      <tp>
        <v>0</v>
        <stp/>
        <stp>nse_fo|JUBLFOOD26DEC24610CE</stp>
        <stp>ATP</stp>
        <tr r="H137" s="1"/>
      </tp>
      <tp>
        <v>0</v>
        <stp/>
        <stp>nse_fo|JUBLFOOD26DEC24620CE</stp>
        <stp>ATP</stp>
        <tr r="H138" s="1"/>
      </tp>
      <tp>
        <v>0</v>
        <stp/>
        <stp>nse_fo|JUBLFOOD26DEC24630CE</stp>
        <stp>ATP</stp>
        <tr r="H139" s="1"/>
      </tp>
      <tp>
        <v>53.45</v>
        <stp/>
        <stp>nse_fo|JUBLFOOD26DEC24640CE</stp>
        <stp>ATP</stp>
        <tr r="H140" s="1"/>
      </tp>
      <tp>
        <v>44.27</v>
        <stp/>
        <stp>nse_fo|JUBLFOOD26DEC24650CE</stp>
        <stp>ATP</stp>
        <tr r="H141" s="1"/>
      </tp>
      <tp>
        <v>35.51</v>
        <stp/>
        <stp>nse_fo|JUBLFOOD26DEC24660CE</stp>
        <stp>ATP</stp>
        <tr r="H142" s="1"/>
      </tp>
      <tp>
        <v>29.22</v>
        <stp/>
        <stp>nse_fo|JUBLFOOD26DEC24670CE</stp>
        <stp>ATP</stp>
        <tr r="H143" s="1"/>
      </tp>
      <tp>
        <v>0.81</v>
        <stp/>
        <stp>nse_fo|LAURUSLABS26DEC24480PE</stp>
        <stp>ATP</stp>
        <tr r="H168" s="1"/>
      </tp>
      <tp>
        <v>1.18</v>
        <stp/>
        <stp>nse_fo|LAURUSLABS26DEC24490PE</stp>
        <stp>ATP</stp>
        <tr r="H169" s="1"/>
      </tp>
      <tp>
        <v>0.6</v>
        <stp/>
        <stp>nse_fo|LAURUSLABS26DEC24470PE</stp>
        <stp>ATP</stp>
        <tr r="H167" s="1"/>
      </tp>
      <tp>
        <v>1.68</v>
        <stp/>
        <stp>nse_fo|LAURUSLABS26DEC24500PE</stp>
        <stp>ATP</stp>
        <tr r="H170" s="1"/>
      </tp>
      <tp>
        <v>2.5</v>
        <stp/>
        <stp>nse_fo|LAURUSLABS26DEC24510PE</stp>
        <stp>ATP</stp>
        <tr r="H171" s="1"/>
      </tp>
      <tp>
        <v>0</v>
        <stp/>
        <stp>nse_fo|LAURUSLABS26DEC24480CE</stp>
        <stp>ATP</stp>
        <tr r="H157" s="1"/>
      </tp>
      <tp>
        <v>0</v>
        <stp/>
        <stp>nse_fo|LAURUSLABS26DEC24490CE</stp>
        <stp>ATP</stp>
        <tr r="H158" s="1"/>
      </tp>
      <tp>
        <v>0</v>
        <stp/>
        <stp>nse_fo|LAURUSLABS26DEC24470CE</stp>
        <stp>ATP</stp>
        <tr r="H156" s="1"/>
      </tp>
      <tp>
        <v>48.2</v>
        <stp/>
        <stp>nse_fo|LAURUSLABS26DEC24520CE</stp>
        <stp>ATP</stp>
        <tr r="H161" s="1"/>
      </tp>
      <tp>
        <v>43.71</v>
        <stp/>
        <stp>nse_fo|LAURUSLABS26DEC24530CE</stp>
        <stp>ATP</stp>
        <tr r="H162" s="1"/>
      </tp>
      <tp>
        <v>65.489999999999995</v>
        <stp/>
        <stp>nse_fo|LAURUSLABS26DEC24500CE</stp>
        <stp>ATP</stp>
        <tr r="H159" s="1"/>
      </tp>
      <tp>
        <v>61.35</v>
        <stp/>
        <stp>nse_fo|LAURUSLABS26DEC24510CE</stp>
        <stp>ATP</stp>
        <tr r="H160" s="1"/>
      </tp>
      <tp>
        <v>19.75</v>
        <stp/>
        <stp>nse_fo|LAURUSLABS26DEC24560CE</stp>
        <stp>ATP</stp>
        <tr r="H165" s="1"/>
      </tp>
      <tp>
        <v>15.7</v>
        <stp/>
        <stp>nse_fo|LAURUSLABS26DEC24570CE</stp>
        <stp>ATP</stp>
        <tr r="H166" s="1"/>
      </tp>
      <tp>
        <v>32.03</v>
        <stp/>
        <stp>nse_fo|LAURUSLABS26DEC24540CE</stp>
        <stp>ATP</stp>
        <tr r="H163" s="1"/>
      </tp>
      <tp>
        <v>26.46</v>
        <stp/>
        <stp>nse_fo|LAURUSLABS26DEC24550CE</stp>
        <stp>ATP</stp>
        <tr r="H164" s="1"/>
      </tp>
      <tp>
        <v>166.24</v>
        <stp/>
        <stp>nse_cm|MOTHERSON-EQ</stp>
        <stp>Bid Rate</stp>
        <tr r="D175" s="1"/>
      </tp>
      <tp>
        <v>805.35</v>
        <stp/>
        <stp>nse_fo|TATAMOTORS26DEC24FUT</stp>
        <stp xml:space="preserve">Low </stp>
        <tr r="B5" s="1"/>
        <tr r="B13" s="1"/>
      </tp>
      <tp>
        <v>1950.35</v>
        <stp/>
        <stp>nse_fo|MUTHOOTFIN26DEC24FUT</stp>
        <stp xml:space="preserve">Low </stp>
        <tr r="B12" s="1"/>
      </tp>
      <tp>
        <v>1626171</v>
        <stp/>
        <stp>nse_cm|UPL-EQ</stp>
        <stp>Volume Traded Today</stp>
        <tr r="I253" s="1"/>
      </tp>
      <tp>
        <v>123162</v>
        <stp/>
        <stp>nse_cm|ABB-EQ</stp>
        <stp>Volume Traded Today</stp>
        <tr r="I20" s="1"/>
      </tp>
      <tp>
        <v>15.75</v>
        <stp/>
        <stp>nse_fo|ABB26DEC247400CE</stp>
        <stp>Net Change</stp>
        <tr r="K30" s="1"/>
      </tp>
      <tp>
        <v>17.600000000000001</v>
        <stp/>
        <stp>nse_fo|ABB26DEC247500CE</stp>
        <stp>Net Change</stp>
        <tr r="K31" s="1"/>
      </tp>
      <tp>
        <v>50.85</v>
        <stp/>
        <stp>nse_fo|ABB26DEC247200CE</stp>
        <stp>Net Change</stp>
        <tr r="K28" s="1"/>
      </tp>
      <tp>
        <v>34.200000000000003</v>
        <stp/>
        <stp>nse_fo|ABB26DEC247300CE</stp>
        <stp>Net Change</stp>
        <tr r="K29" s="1"/>
      </tp>
      <tp>
        <v>0</v>
        <stp/>
        <stp>nse_fo|ABB26DEC247000CE</stp>
        <stp>Net Change</stp>
        <tr r="K26" s="1"/>
      </tp>
      <tp>
        <v>13.7</v>
        <stp/>
        <stp>nse_fo|ABB26DEC247100CE</stp>
        <stp>Net Change</stp>
        <tr r="K27" s="1"/>
      </tp>
      <tp>
        <v>0</v>
        <stp/>
        <stp>nse_fo|ABB26DEC246800CE</stp>
        <stp>Net Change</stp>
        <tr r="K24" s="1"/>
      </tp>
      <tp>
        <v>0</v>
        <stp/>
        <stp>nse_fo|ABB26DEC246900CE</stp>
        <stp>Net Change</stp>
        <tr r="K25" s="1"/>
      </tp>
      <tp>
        <v>0</v>
        <stp/>
        <stp>nse_fo|ABB26DEC246600CE</stp>
        <stp>Net Change</stp>
        <tr r="K22" s="1"/>
      </tp>
      <tp>
        <v>151.05000000000001</v>
        <stp/>
        <stp>nse_fo|ABB26DEC246700CE</stp>
        <stp>Net Change</stp>
        <tr r="K23" s="1"/>
      </tp>
      <tp>
        <v>0</v>
        <stp/>
        <stp>nse_fo|ABB26DEC246500CE</stp>
        <stp>Net Change</stp>
        <tr r="K21" s="1"/>
      </tp>
      <tp>
        <v>-5.9</v>
        <stp/>
        <stp>nse_fo|ABB26DEC246800PE</stp>
        <stp>Net Change</stp>
        <tr r="K35" s="1"/>
      </tp>
      <tp>
        <v>-6.5</v>
        <stp/>
        <stp>nse_fo|ABB26DEC246900PE</stp>
        <stp>Net Change</stp>
        <tr r="K36" s="1"/>
      </tp>
      <tp>
        <v>-2.5499999999999998</v>
        <stp/>
        <stp>nse_fo|ABB26DEC246600PE</stp>
        <stp>Net Change</stp>
        <tr r="K33" s="1"/>
      </tp>
      <tp>
        <v>-3.9</v>
        <stp/>
        <stp>nse_fo|ABB26DEC246700PE</stp>
        <stp>Net Change</stp>
        <tr r="K34" s="1"/>
      </tp>
      <tp>
        <v>0.95</v>
        <stp/>
        <stp>nse_fo|ABB26DEC246500PE</stp>
        <stp>Net Change</stp>
        <tr r="K32" s="1"/>
      </tp>
      <tp>
        <v>4507.25</v>
        <stp/>
        <stp>nse_fo|HDFCAMC26DEC24FUT</stp>
        <stp>LTP</stp>
        <tr r="D8" s="1"/>
        <tr r="B26" s="2"/>
        <tr r="G117" s="1"/>
      </tp>
      <tp t="s">
        <v>PE</v>
        <stp/>
        <stp>nse_fo|TATAMOTORS26DEC24760PE</stp>
        <stp>Option Type</stp>
        <tr r="M224" s="1"/>
      </tp>
      <tp t="s">
        <v>PE</v>
        <stp/>
        <stp>nse_fo|TATAMOTORS26DEC24770PE</stp>
        <stp>Option Type</stp>
        <tr r="M225" s="1"/>
      </tp>
      <tp t="s">
        <v>PE</v>
        <stp/>
        <stp>nse_fo|TATAMOTORS26DEC24740PE</stp>
        <stp>Option Type</stp>
        <tr r="M75" s="1"/>
      </tp>
      <tp t="s">
        <v>PE</v>
        <stp/>
        <stp>nse_fo|TATAMOTORS26DEC24750PE</stp>
        <stp>Option Type</stp>
        <tr r="M223" s="1"/>
      </tp>
      <tp t="s">
        <v>PE</v>
        <stp/>
        <stp>nse_fo|TATAMOTORS26DEC24720PE</stp>
        <stp>Option Type</stp>
        <tr r="M73" s="1"/>
      </tp>
      <tp t="s">
        <v>PE</v>
        <stp/>
        <stp>nse_fo|TATAMOTORS26DEC24730PE</stp>
        <stp>Option Type</stp>
        <tr r="M74" s="1"/>
      </tp>
      <tp t="s">
        <v>PE</v>
        <stp/>
        <stp>nse_fo|TATAMOTORS26DEC24700PE</stp>
        <stp>Option Type</stp>
        <tr r="M71" s="1"/>
      </tp>
      <tp t="s">
        <v>PE</v>
        <stp/>
        <stp>nse_fo|TATAMOTORS26DEC24710PE</stp>
        <stp>Option Type</stp>
        <tr r="M72" s="1"/>
      </tp>
      <tp t="s">
        <v>PE</v>
        <stp/>
        <stp>nse_fo|TATAMOTORS26DEC24780PE</stp>
        <stp>Option Type</stp>
        <tr r="M226" s="1"/>
      </tp>
      <tp t="s">
        <v>PE</v>
        <stp/>
        <stp>nse_fo|TATAMOTORS26DEC24790PE</stp>
        <stp>Option Type</stp>
        <tr r="M227" s="1"/>
      </tp>
      <tp t="s">
        <v>CE</v>
        <stp/>
        <stp>nse_fo|TATAMOTORS26DEC24860CE</stp>
        <stp>Option Type</stp>
        <tr r="M68" s="1"/>
      </tp>
      <tp t="s">
        <v>CE</v>
        <stp/>
        <stp>nse_fo|TATAMOTORS26DEC24870CE</stp>
        <stp>Option Type</stp>
        <tr r="M69" s="1"/>
      </tp>
      <tp t="s">
        <v>CE</v>
        <stp/>
        <stp>nse_fo|TATAMOTORS26DEC24840CE</stp>
        <stp>Option Type</stp>
        <tr r="M221" s="1"/>
        <tr r="M66" s="1"/>
      </tp>
      <tp t="s">
        <v>CE</v>
        <stp/>
        <stp>nse_fo|TATAMOTORS26DEC24850CE</stp>
        <stp>Option Type</stp>
        <tr r="M222" s="1"/>
        <tr r="M67" s="1"/>
      </tp>
      <tp t="s">
        <v>CE</v>
        <stp/>
        <stp>nse_fo|TATAMOTORS26DEC24820CE</stp>
        <stp>Option Type</stp>
        <tr r="M64" s="1"/>
        <tr r="M219" s="1"/>
      </tp>
      <tp t="s">
        <v>CE</v>
        <stp/>
        <stp>nse_fo|TATAMOTORS26DEC24830CE</stp>
        <stp>Option Type</stp>
        <tr r="M65" s="1"/>
        <tr r="M220" s="1"/>
      </tp>
      <tp t="s">
        <v>CE</v>
        <stp/>
        <stp>nse_fo|TATAMOTORS26DEC24800CE</stp>
        <stp>Option Type</stp>
        <tr r="M62" s="1"/>
        <tr r="M217" s="1"/>
      </tp>
      <tp t="s">
        <v>CE</v>
        <stp/>
        <stp>nse_fo|TATAMOTORS26DEC24810CE</stp>
        <stp>Option Type</stp>
        <tr r="M63" s="1"/>
        <tr r="M218" s="1"/>
      </tp>
      <tp t="s">
        <v>CE</v>
        <stp/>
        <stp>nse_fo|TATAMOTORS26DEC24880CE</stp>
        <stp>Option Type</stp>
        <tr r="M70" s="1"/>
      </tp>
      <tp t="s">
        <v>CE</v>
        <stp/>
        <stp>nse_fo|TATAMOTORS26DEC24780CE</stp>
        <stp>Option Type</stp>
        <tr r="M215" s="1"/>
        <tr r="M60" s="1"/>
      </tp>
      <tp t="s">
        <v>CE</v>
        <stp/>
        <stp>nse_fo|TATAMOTORS26DEC24790CE</stp>
        <stp>Option Type</stp>
        <tr r="M61" s="1"/>
        <tr r="M216" s="1"/>
      </tp>
      <tp>
        <v>2.95</v>
        <stp/>
        <stp>nse_fo|UPL26DEC24590CE</stp>
        <stp>Bid Rate</stp>
        <tr r="D255" s="1"/>
      </tp>
      <tp>
        <v>4.8499999999999996</v>
        <stp/>
        <stp>nse_fo|UPL26DEC24580CE</stp>
        <stp>Bid Rate</stp>
        <tr r="D254" s="1"/>
      </tp>
      <tp>
        <v>0.1</v>
        <stp/>
        <stp>nse_fo|UPL26DEC24630CE</stp>
        <stp>Bid Rate</stp>
        <tr r="D259" s="1"/>
      </tp>
      <tp>
        <v>0.7</v>
        <stp/>
        <stp>nse_fo|UPL26DEC24620CE</stp>
        <stp>Bid Rate</stp>
        <tr r="D258" s="1"/>
      </tp>
      <tp>
        <v>1.05</v>
        <stp/>
        <stp>nse_fo|UPL26DEC24610CE</stp>
        <stp>Bid Rate</stp>
        <tr r="D257" s="1"/>
      </tp>
      <tp>
        <v>1.8</v>
        <stp/>
        <stp>nse_fo|UPL26DEC24600CE</stp>
        <stp>Bid Rate</stp>
        <tr r="D256" s="1"/>
      </tp>
      <tp t="e">
        <v>#N/A</v>
        <stp/>
        <stp>nse_fo|UPL26DEC24670CE</stp>
        <stp>Bid Rate</stp>
        <tr r="D263" s="1"/>
      </tp>
      <tp>
        <v>0.2</v>
        <stp/>
        <stp>nse_fo|UPL26DEC24660CE</stp>
        <stp>Bid Rate</stp>
        <tr r="D262" s="1"/>
      </tp>
      <tp t="e">
        <v>#N/A</v>
        <stp/>
        <stp>nse_fo|UPL26DEC24650CE</stp>
        <stp>Bid Rate</stp>
        <tr r="D261" s="1"/>
      </tp>
      <tp>
        <v>0.2</v>
        <stp/>
        <stp>nse_fo|UPL26DEC24640CE</stp>
        <stp>Bid Rate</stp>
        <tr r="D260" s="1"/>
      </tp>
      <tp>
        <v>0</v>
        <stp/>
        <stp>nse_fo|UPL26DEC24680CE</stp>
        <stp>Bid Rate</stp>
        <tr r="D264" s="1"/>
      </tp>
      <tp>
        <v>822.3</v>
        <stp/>
        <stp>nse_fo|TATAMOTORS26DEC24FUT</stp>
        <stp>High</stp>
        <tr r="A5" s="1"/>
        <tr r="A13" s="1"/>
      </tp>
      <tp>
        <v>2002.6</v>
        <stp/>
        <stp>nse_fo|MUTHOOTFIN26DEC24FUT</stp>
        <stp>High</stp>
        <tr r="A12" s="1"/>
      </tp>
      <tp>
        <v>52.55</v>
        <stp/>
        <stp>nse_fo|MUTHOOTFIN26DEC241980CE</stp>
        <stp>Bid Rate</stp>
        <tr r="D201" s="1"/>
      </tp>
      <tp>
        <v>104.1</v>
        <stp/>
        <stp>nse_fo|MUTHOOTFIN26DEC241900CE</stp>
        <stp>Bid Rate</stp>
        <tr r="D197" s="1"/>
      </tp>
      <tp>
        <v>88.7</v>
        <stp/>
        <stp>nse_fo|MUTHOOTFIN26DEC241920CE</stp>
        <stp>Bid Rate</stp>
        <tr r="D198" s="1"/>
      </tp>
      <tp>
        <v>75.55</v>
        <stp/>
        <stp>nse_fo|MUTHOOTFIN26DEC241940CE</stp>
        <stp>Bid Rate</stp>
        <tr r="D199" s="1"/>
      </tp>
      <tp>
        <v>63.4</v>
        <stp/>
        <stp>nse_fo|MUTHOOTFIN26DEC241960CE</stp>
        <stp>Bid Rate</stp>
        <tr r="D200" s="1"/>
      </tp>
      <tp>
        <v>118.05</v>
        <stp/>
        <stp>nse_fo|MUTHOOTFIN26DEC241880CE</stp>
        <stp>Bid Rate</stp>
        <tr r="D196" s="1"/>
      </tp>
      <tp>
        <v>134.1</v>
        <stp/>
        <stp>nse_fo|MUTHOOTFIN26DEC241860CE</stp>
        <stp>Bid Rate</stp>
        <tr r="D195" s="1"/>
      </tp>
      <tp>
        <v>100</v>
        <stp/>
        <stp>nse_cm|BSOFT-EQ</stp>
        <stp>Ask Qty</stp>
        <tr r="F79" s="1"/>
      </tp>
      <tp t="s">
        <v>26Dec2024</v>
        <stp/>
        <stp>nse_fo|FEDERALBNK26DEC24FUT</stp>
        <stp>Series/Expiry</stp>
        <tr r="B98" s="1"/>
      </tp>
      <tp t="s">
        <v>26Dec2024</v>
        <stp/>
        <stp>nse_fo|UPL26DEC24590PE</stp>
        <stp>Series/Expiry</stp>
        <tr r="B265" s="1"/>
      </tp>
      <tp t="s">
        <v>26Dec2024</v>
        <stp/>
        <stp>nse_fo|UPL26DEC24590CE</stp>
        <stp>Series/Expiry</stp>
        <tr r="B255" s="1"/>
      </tp>
      <tp t="s">
        <v>26Dec2024</v>
        <stp/>
        <stp>nse_fo|UPL26DEC24580CE</stp>
        <stp>Series/Expiry</stp>
        <tr r="B254" s="1"/>
      </tp>
      <tp>
        <v>1</v>
        <stp/>
        <stp>nse_cm|JUBLFOOD-EQ</stp>
        <stp>Bid Qty</stp>
        <tr r="C135" s="1"/>
      </tp>
      <tp t="s">
        <v>EQ</v>
        <stp/>
        <stp>nse_cm|MOTHERSON-EQ</stp>
        <stp>Series/Expiry</stp>
        <tr r="B175" s="1"/>
      </tp>
      <tp t="s">
        <v>EQ</v>
        <stp/>
        <stp>nse_cm|HDFCAMC-EQ</stp>
        <stp>Series/Expiry</stp>
        <tr r="B118" s="1"/>
      </tp>
      <tp>
        <v>0</v>
        <stp/>
        <stp>nse_fo|ADANIGREEN26DEC24FUT</stp>
        <stp>Strike Price</stp>
        <tr r="L39" s="1"/>
      </tp>
      <tp>
        <v>695.1</v>
        <stp/>
        <stp>nse_fo|JUBLFOOD26DEC24FUT</stp>
        <stp>Ask Rate</stp>
        <tr r="E134" s="1"/>
      </tp>
      <tp>
        <v>1</v>
        <stp/>
        <stp>nse_cm|JUBLFOOD-EQ</stp>
        <stp>Ask Qty</stp>
        <tr r="F135" s="1"/>
      </tp>
      <tp>
        <v>612750</v>
        <stp/>
        <stp>nse_fo|HDFCAMC26DEC24FUT</stp>
        <stp>Volume Traded Today</stp>
        <tr r="I117" s="1"/>
      </tp>
      <tp>
        <v>7585</v>
        <stp/>
        <stp>nse_cm|ABB-EQ</stp>
        <stp>LTP</stp>
        <tr r="G20" s="1"/>
        <tr r="C3" s="1"/>
      </tp>
      <tp>
        <v>557.95000000000005</v>
        <stp/>
        <stp>nse_cm|UPL-EQ</stp>
        <stp>LTP</stp>
        <tr r="G253" s="1"/>
        <tr r="C15" s="1"/>
      </tp>
      <tp>
        <v>16</v>
        <stp/>
        <stp>nse_cm|BSOFT-EQ</stp>
        <stp>Bid Qty</stp>
        <tr r="C79" s="1"/>
      </tp>
      <tp>
        <v>43.05</v>
        <stp/>
        <stp>nse_fo|MUTHOOTFIN26DEC242000CE</stp>
        <stp>Bid Rate</stp>
        <tr r="D202" s="1"/>
      </tp>
      <tp>
        <v>34.1</v>
        <stp/>
        <stp>nse_fo|MUTHOOTFIN26DEC242020CE</stp>
        <stp>Bid Rate</stp>
        <tr r="D203" s="1"/>
      </tp>
      <tp>
        <v>27.2</v>
        <stp/>
        <stp>nse_fo|MUTHOOTFIN26DEC242040CE</stp>
        <stp>Bid Rate</stp>
        <tr r="D204" s="1"/>
      </tp>
      <tp>
        <v>21.2</v>
        <stp/>
        <stp>nse_fo|MUTHOOTFIN26DEC242060CE</stp>
        <stp>Bid Rate</stp>
        <tr r="D205" s="1"/>
      </tp>
      <tp>
        <v>88.7</v>
        <stp/>
        <stp>nse_fo|ADANIGREEN26DEC241180CE</stp>
        <stp>Ask Rate</stp>
        <tr r="E42" s="1"/>
      </tp>
      <tp>
        <v>101.4</v>
        <stp/>
        <stp>nse_fo|ADANIGREEN26DEC241160CE</stp>
        <stp>Ask Rate</stp>
        <tr r="E41" s="1"/>
      </tp>
      <tp>
        <v>27.75</v>
        <stp/>
        <stp>nse_fo|ADANIGREEN26DEC241340CE</stp>
        <stp>Ask Rate</stp>
        <tr r="E50" s="1"/>
      </tp>
      <tp>
        <v>37.200000000000003</v>
        <stp/>
        <stp>nse_fo|ADANIGREEN26DEC241300CE</stp>
        <stp>Ask Rate</stp>
        <tr r="E48" s="1"/>
      </tp>
      <tp>
        <v>32.15</v>
        <stp/>
        <stp>nse_fo|ADANIGREEN26DEC241320CE</stp>
        <stp>Ask Rate</stp>
        <tr r="E49" s="1"/>
      </tp>
      <tp>
        <v>42.9</v>
        <stp/>
        <stp>nse_fo|ADANIGREEN26DEC241280CE</stp>
        <stp>Ask Rate</stp>
        <tr r="E47" s="1"/>
      </tp>
      <tp>
        <v>57.75</v>
        <stp/>
        <stp>nse_fo|ADANIGREEN26DEC241240CE</stp>
        <stp>Ask Rate</stp>
        <tr r="E45" s="1"/>
      </tp>
      <tp>
        <v>49.9</v>
        <stp/>
        <stp>nse_fo|ADANIGREEN26DEC241260CE</stp>
        <stp>Ask Rate</stp>
        <tr r="E46" s="1"/>
      </tp>
      <tp>
        <v>76.900000000000006</v>
        <stp/>
        <stp>nse_fo|ADANIGREEN26DEC241200CE</stp>
        <stp>Ask Rate</stp>
        <tr r="E43" s="1"/>
      </tp>
      <tp>
        <v>66.849999999999994</v>
        <stp/>
        <stp>nse_fo|ADANIGREEN26DEC241220CE</stp>
        <stp>Ask Rate</stp>
        <tr r="E44" s="1"/>
      </tp>
      <tp t="s">
        <v>26Dec2024</v>
        <stp/>
        <stp>nse_fo|UPL26DEC24680CE</stp>
        <stp>Series/Expiry</stp>
        <tr r="B264" s="1"/>
      </tp>
      <tp t="e">
        <v>#N/A</v>
        <stp/>
        <stp>nse_fo|UPL26DEC24650CE</stp>
        <stp>Series/Expiry</stp>
        <tr r="B261" s="1"/>
      </tp>
      <tp t="s">
        <v>26Dec2024</v>
        <stp/>
        <stp>nse_fo|UPL26DEC24640CE</stp>
        <stp>Series/Expiry</stp>
        <tr r="B260" s="1"/>
      </tp>
      <tp t="e">
        <v>#N/A</v>
        <stp/>
        <stp>nse_fo|UPL26DEC24670CE</stp>
        <stp>Series/Expiry</stp>
        <tr r="B263" s="1"/>
      </tp>
      <tp t="s">
        <v>26Dec2024</v>
        <stp/>
        <stp>nse_fo|UPL26DEC24660CE</stp>
        <stp>Series/Expiry</stp>
        <tr r="B262" s="1"/>
      </tp>
      <tp t="s">
        <v>26Dec2024</v>
        <stp/>
        <stp>nse_fo|UPL26DEC24610PE</stp>
        <stp>Series/Expiry</stp>
        <tr r="B267" s="1"/>
      </tp>
      <tp t="s">
        <v>26Dec2024</v>
        <stp/>
        <stp>nse_fo|UPL26DEC24610CE</stp>
        <stp>Series/Expiry</stp>
        <tr r="B257" s="1"/>
      </tp>
      <tp t="s">
        <v>26Dec2024</v>
        <stp/>
        <stp>nse_fo|UPL26DEC24600PE</stp>
        <stp>Series/Expiry</stp>
        <tr r="B266" s="1"/>
      </tp>
      <tp t="s">
        <v>26Dec2024</v>
        <stp/>
        <stp>nse_fo|UPL26DEC24600CE</stp>
        <stp>Series/Expiry</stp>
        <tr r="B256" s="1"/>
      </tp>
      <tp t="s">
        <v>26Dec2024</v>
        <stp/>
        <stp>nse_fo|UPL26DEC24630PE</stp>
        <stp>Series/Expiry</stp>
        <tr r="B269" s="1"/>
      </tp>
      <tp t="s">
        <v>26Dec2024</v>
        <stp/>
        <stp>nse_fo|UPL26DEC24630CE</stp>
        <stp>Series/Expiry</stp>
        <tr r="B259" s="1"/>
      </tp>
      <tp t="s">
        <v>26Dec2024</v>
        <stp/>
        <stp>nse_fo|UPL26DEC24620PE</stp>
        <stp>Series/Expiry</stp>
        <tr r="B268" s="1"/>
      </tp>
      <tp t="s">
        <v>26Dec2024</v>
        <stp/>
        <stp>nse_fo|UPL26DEC24620CE</stp>
        <stp>Series/Expiry</stp>
        <tr r="B258" s="1"/>
      </tp>
      <tp>
        <v>-36.36</v>
        <stp/>
        <stp>nse_fo|MOTHERSON26DEC24167.5CE</stp>
        <stp>% Change</stp>
        <tr r="J177" s="1"/>
      </tp>
      <tp t="s">
        <v>ADANIGREEN</v>
        <stp/>
        <stp>nse_fo|ADANIGREEN26DEC241340CE</stp>
        <stp>Symbol</stp>
        <tr r="A50" s="1"/>
      </tp>
      <tp t="s">
        <v>ADANIGREEN</v>
        <stp/>
        <stp>nse_fo|ADANIGREEN26DEC241240CE</stp>
        <stp>Symbol</stp>
        <tr r="A45" s="1"/>
      </tp>
      <tp t="s">
        <v>ADANIGREEN</v>
        <stp/>
        <stp>nse_fo|ADANIGREEN26DEC241040CE</stp>
        <stp>Symbol</stp>
        <tr r="A51" s="1"/>
      </tp>
      <tp>
        <v>-1.75</v>
        <stp/>
        <stp>nse_fo|BSOFT26DEC24610CE</stp>
        <stp>Net Change</stp>
        <tr r="K87" s="1"/>
      </tp>
      <tp>
        <v>11500</v>
        <stp/>
        <stp>nse_fo|VEDL26DEC24FUT</stp>
        <stp>Ask Qty</stp>
        <tr r="F230" s="1"/>
      </tp>
      <tp>
        <v>-43.01</v>
        <stp/>
        <stp>nse_fo|MOTHERSON26DEC24172.5CE</stp>
        <stp>% Change</stp>
        <tr r="J179" s="1"/>
      </tp>
      <tp>
        <v>-41.38</v>
        <stp/>
        <stp>nse_fo|MOTHERSON26DEC24177.5CE</stp>
        <stp>% Change</stp>
        <tr r="J181" s="1"/>
      </tp>
      <tp t="s">
        <v>MUTHOOTFIN</v>
        <stp/>
        <stp>nse_fo|MUTHOOTFIN26DEC241800CE</stp>
        <stp>Symbol</stp>
        <tr r="A206" s="1"/>
      </tp>
      <tp t="s">
        <v>MUTHOOTFIN</v>
        <stp/>
        <stp>nse_fo|MUTHOOTFIN26DEC241900CE</stp>
        <stp>Symbol</stp>
        <tr r="A197" s="1"/>
      </tp>
      <tp t="s">
        <v>MUTHOOTFIN</v>
        <stp/>
        <stp>nse_fo|MUTHOOTFIN26DEC242000CE</stp>
        <stp>Symbol</stp>
        <tr r="A202" s="1"/>
      </tp>
      <tp t="s">
        <v>ABB</v>
        <stp/>
        <stp>nse_fo|ABB26DEC24FUT</stp>
        <stp>Symbol</stp>
        <tr r="A19" s="1"/>
      </tp>
      <tp>
        <v>574</v>
        <stp/>
        <stp>nse_cm|LAURUSLABS-EQ</stp>
        <stp>Bid Rate</stp>
        <tr r="D155" s="1"/>
      </tp>
      <tp>
        <v>-1.8</v>
        <stp/>
        <stp>nse_fo|BSOFT26DEC24600CE</stp>
        <stp>Net Change</stp>
        <tr r="K86" s="1"/>
      </tp>
      <tp>
        <v>0</v>
        <stp/>
        <stp>nse_cm|BSOFT-EQ</stp>
        <stp>Strike Price</stp>
        <tr r="L79" s="1"/>
      </tp>
      <tp>
        <v>-12.55</v>
        <stp/>
        <stp>nse_fo|VEDL26DEC24FUT</stp>
        <stp>Net Change</stp>
        <tr r="K230" s="1"/>
      </tp>
      <tp>
        <v>-13.71</v>
        <stp/>
        <stp>nse_fo|JUBLFOOD26DEC24700CE</stp>
        <stp>% Change</stp>
        <tr r="J146" s="1"/>
      </tp>
      <tp>
        <v>1218.2</v>
        <stp/>
        <stp>nse_cm|ADANIGREEN-EQ</stp>
        <stp>LTP</stp>
        <tr r="G40" s="1"/>
        <tr r="C4" s="1"/>
      </tp>
      <tp>
        <v>-9.9600000000000009</v>
        <stp/>
        <stp>nse_fo|JUBLFOOD26DEC24680CE</stp>
        <stp>% Change</stp>
        <tr r="J144" s="1"/>
      </tp>
      <tp>
        <v>-11.35</v>
        <stp/>
        <stp>nse_fo|JUBLFOOD26DEC24690CE</stp>
        <stp>% Change</stp>
        <tr r="J145" s="1"/>
      </tp>
      <tp>
        <v>-8.9</v>
        <stp/>
        <stp>nse_fo|JUBLFOOD26DEC24660CE</stp>
        <stp>% Change</stp>
        <tr r="J142" s="1"/>
      </tp>
      <tp>
        <v>-6.08</v>
        <stp/>
        <stp>nse_fo|JUBLFOOD26DEC24670CE</stp>
        <stp>% Change</stp>
        <tr r="J143" s="1"/>
      </tp>
      <tp>
        <v>-4.1399999999999997</v>
        <stp/>
        <stp>nse_fo|JUBLFOOD26DEC24640CE</stp>
        <stp>% Change</stp>
        <tr r="J140" s="1"/>
      </tp>
      <tp>
        <v>-4.0999999999999996</v>
        <stp/>
        <stp>nse_fo|JUBLFOOD26DEC24650CE</stp>
        <stp>% Change</stp>
        <tr r="J141" s="1"/>
      </tp>
      <tp>
        <v>0</v>
        <stp/>
        <stp>nse_fo|JUBLFOOD26DEC24620CE</stp>
        <stp>% Change</stp>
        <tr r="J138" s="1"/>
      </tp>
      <tp>
        <v>0</v>
        <stp/>
        <stp>nse_fo|JUBLFOOD26DEC24630CE</stp>
        <stp>% Change</stp>
        <tr r="J139" s="1"/>
      </tp>
      <tp>
        <v>-1.78</v>
        <stp/>
        <stp>nse_fo|JUBLFOOD26DEC24600CE</stp>
        <stp>% Change</stp>
        <tr r="J136" s="1"/>
      </tp>
      <tp>
        <v>0</v>
        <stp/>
        <stp>nse_fo|JUBLFOOD26DEC24610CE</stp>
        <stp>% Change</stp>
        <tr r="J137" s="1"/>
      </tp>
      <tp>
        <v>166.12</v>
        <stp/>
        <stp>nse_fo|MOTHERSON26DEC24FUT</stp>
        <stp xml:space="preserve">Low </stp>
        <tr r="B11" s="1"/>
      </tp>
      <tp t="s">
        <v>ADANIGREEN</v>
        <stp/>
        <stp>nse_fo|ADANIGREEN26DEC241260CE</stp>
        <stp>Symbol</stp>
        <tr r="A46" s="1"/>
      </tp>
      <tp t="s">
        <v>ADANIGREEN</v>
        <stp/>
        <stp>nse_fo|ADANIGREEN26DEC241160CE</stp>
        <stp>Symbol</stp>
        <tr r="A41" s="1"/>
      </tp>
      <tp t="s">
        <v>ADANIGREEN</v>
        <stp/>
        <stp>nse_fo|ADANIGREEN26DEC241060CE</stp>
        <stp>Symbol</stp>
        <tr r="A52" s="1"/>
      </tp>
      <tp>
        <v>-3.03</v>
        <stp/>
        <stp>nse_fo|LAURUSLABS26DEC24FUT</stp>
        <stp>% Change</stp>
        <tr r="J154" s="1"/>
        <tr r="E10" s="1"/>
      </tp>
      <tp>
        <v>-1.45</v>
        <stp/>
        <stp>nse_fo|BSOFT26DEC24630CE</stp>
        <stp>Net Change</stp>
        <tr r="K89" s="1"/>
      </tp>
      <tp>
        <v>-0.25</v>
        <stp/>
        <stp>nse_fo|BSOFT26DEC24530PE</stp>
        <stp>Net Change</stp>
        <tr r="K92" s="1"/>
      </tp>
      <tp>
        <v>0</v>
        <stp/>
        <stp>nse_fo|VEDL26DEC24FUT</stp>
        <stp>Strike Price</stp>
        <tr r="L230" s="1"/>
      </tp>
      <tp>
        <v>8.9</v>
        <stp/>
        <stp>nse_fo|ABB26DEC246500PE</stp>
        <stp>Ask Rate</stp>
        <tr r="E32" s="1"/>
      </tp>
      <tp>
        <v>9.4499999999999993</v>
        <stp/>
        <stp>nse_fo|ABB26DEC246600PE</stp>
        <stp>Ask Rate</stp>
        <tr r="E33" s="1"/>
      </tp>
      <tp>
        <v>17.899999999999999</v>
        <stp/>
        <stp>nse_fo|ABB26DEC246700PE</stp>
        <stp>Ask Rate</stp>
        <tr r="E34" s="1"/>
      </tp>
      <tp>
        <v>14.05</v>
        <stp/>
        <stp>nse_fo|ABB26DEC246800PE</stp>
        <stp>Ask Rate</stp>
        <tr r="E35" s="1"/>
      </tp>
      <tp>
        <v>16.95</v>
        <stp/>
        <stp>nse_fo|ABB26DEC246900PE</stp>
        <stp>Ask Rate</stp>
        <tr r="E36" s="1"/>
      </tp>
      <tp>
        <v>0</v>
        <stp/>
        <stp>nse_fo|ABB26DEC24FUT</stp>
        <stp>Strike Price</stp>
        <tr r="L19" s="1"/>
      </tp>
      <tp>
        <v>2.13</v>
        <stp/>
        <stp>nse_fo|MOTHERSON26DEC24160PE</stp>
        <stp>ATP</stp>
        <tr r="H186" s="1"/>
      </tp>
      <tp>
        <v>6.17</v>
        <stp/>
        <stp>nse_fo|MOTHERSON26DEC24170PE</stp>
        <stp>ATP</stp>
        <tr r="H190" s="1"/>
      </tp>
      <tp t="s">
        <v>MUTHOOTFIN</v>
        <stp/>
        <stp>nse_fo|MUTHOOTFIN26DEC241820CE</stp>
        <stp>Symbol</stp>
        <tr r="A207" s="1"/>
      </tp>
      <tp t="s">
        <v>MUTHOOTFIN</v>
        <stp/>
        <stp>nse_fo|MUTHOOTFIN26DEC241920CE</stp>
        <stp>Symbol</stp>
        <tr r="A198" s="1"/>
      </tp>
      <tp t="s">
        <v>MUTHOOTFIN</v>
        <stp/>
        <stp>nse_fo|MUTHOOTFIN26DEC242020CE</stp>
        <stp>Symbol</stp>
        <tr r="A203" s="1"/>
      </tp>
      <tp t="e">
        <v>#N/A</v>
        <stp/>
        <stp>nse_fo|NIFTY26OCT2319500PE</stp>
        <stp>Net Change</stp>
        <tr r="K303" s="4"/>
      </tp>
      <tp>
        <v>167.84</v>
        <stp/>
        <stp>nse_fo|MOTHERSON26DEC24FUT</stp>
        <stp>ATP</stp>
        <tr r="H174" s="1"/>
      </tp>
      <tp>
        <v>0</v>
        <stp/>
        <stp>nse_fo|UPL26DEC24FUT</stp>
        <stp>Strike Price</stp>
        <tr r="L252" s="1"/>
      </tp>
      <tp>
        <v>1.51</v>
        <stp/>
        <stp>nse_fo|MOTHERSON26DEC24180CE</stp>
        <stp>ATP</stp>
        <tr r="H182" s="1"/>
      </tp>
      <tp>
        <v>4.18</v>
        <stp/>
        <stp>nse_fo|MOTHERSON26DEC24170CE</stp>
        <stp>ATP</stp>
        <tr r="H178" s="1"/>
      </tp>
      <tp t="s">
        <v>PE</v>
        <stp/>
        <stp>nse_fo|FEDERALBNK26DEC24202.5PE</stp>
        <stp>Option Type</stp>
        <tr r="M111" s="1"/>
      </tp>
      <tp t="s">
        <v>PE</v>
        <stp/>
        <stp>nse_fo|FEDERALBNK26DEC24207.5PE</stp>
        <stp>Option Type</stp>
        <tr r="M113" s="1"/>
      </tp>
      <tp>
        <v>1218.3499999999999</v>
        <stp/>
        <stp>nse_cm|ADANIGREEN-EQ</stp>
        <stp>Ask Rate</stp>
        <tr r="E40" s="1"/>
      </tp>
      <tp t="s">
        <v>CE</v>
        <stp/>
        <stp>nse_fo|FEDERALBNK26DEC24212.5CE</stp>
        <stp>Option Type</stp>
        <tr r="M105" s="1"/>
      </tp>
      <tp t="s">
        <v>CE</v>
        <stp/>
        <stp>nse_fo|FEDERALBNK26DEC24217.5CE</stp>
        <stp>Option Type</stp>
        <tr r="M107" s="1"/>
      </tp>
      <tp t="s">
        <v>CE</v>
        <stp/>
        <stp>nse_fo|FEDERALBNK26DEC24202.5CE</stp>
        <stp>Option Type</stp>
        <tr r="M101" s="1"/>
      </tp>
      <tp t="s">
        <v>CE</v>
        <stp/>
        <stp>nse_fo|FEDERALBNK26DEC24207.5CE</stp>
        <stp>Option Type</stp>
        <tr r="M103" s="1"/>
      </tp>
      <tp t="s">
        <v>CE</v>
        <stp/>
        <stp>nse_fo|FEDERALBNK26DEC24222.5CE</stp>
        <stp>Option Type</stp>
        <tr r="M109" s="1"/>
      </tp>
      <tp>
        <v>-1.55</v>
        <stp/>
        <stp>nse_fo|BSOFT26DEC24620CE</stp>
        <stp>Net Change</stp>
        <tr r="K88" s="1"/>
      </tp>
      <tp>
        <v>-0.35</v>
        <stp/>
        <stp>nse_fo|BSOFT26DEC24520PE</stp>
        <stp>Net Change</stp>
        <tr r="K91" s="1"/>
      </tp>
      <tp>
        <v>1150</v>
        <stp/>
        <stp>nse_fo|VEDL26DEC24FUT</stp>
        <stp>Bid Qty</stp>
        <tr r="C230" s="1"/>
      </tp>
      <tp t="e">
        <v>#N/A</v>
        <stp/>
        <stp>nse_fo|NIFTY26OCT2319500PE</stp>
        <stp>Ask Rate</stp>
        <tr r="E303" s="4"/>
      </tp>
      <tp t="e">
        <v>#N/A</v>
        <stp/>
        <stp>nse_fo|NIFTY26OCT2319450PE</stp>
        <stp>Ask Rate</stp>
        <tr r="E302" s="4"/>
      </tp>
      <tp t="s">
        <v>ADANIGREEN</v>
        <stp/>
        <stp>nse_fo|ADANIGREEN26DEC241300CE</stp>
        <stp>Symbol</stp>
        <tr r="A48" s="1"/>
      </tp>
      <tp t="s">
        <v>ADANIGREEN</v>
        <stp/>
        <stp>nse_fo|ADANIGREEN26DEC241200CE</stp>
        <stp>Symbol</stp>
        <tr r="A43" s="1"/>
      </tp>
      <tp t="s">
        <v>ADANIGREEN</v>
        <stp/>
        <stp>nse_fo|ADANIGREEN26DEC241100CE</stp>
        <stp>Symbol</stp>
        <tr r="A54" s="1"/>
      </tp>
      <tp>
        <v>2596730</v>
        <stp/>
        <stp>nse_cm|ADANIGREEN-EQ</stp>
        <stp>Volume Traded Today</stp>
        <tr r="I40" s="1"/>
      </tp>
      <tp>
        <v>-2.0499999999999998</v>
        <stp/>
        <stp>nse_fo|BSOFT26DEC24550CE</stp>
        <stp>Net Change</stp>
        <tr r="K81" s="1"/>
      </tp>
      <tp>
        <v>-0.2</v>
        <stp/>
        <stp>nse_fo|BSOFT26DEC24550PE</stp>
        <stp>Net Change</stp>
        <tr r="K94" s="1"/>
      </tp>
      <tp t="s">
        <v>MUTHOOTFIN</v>
        <stp/>
        <stp>nse_fo|MUTHOOTFIN26DEC241840CE</stp>
        <stp>Symbol</stp>
        <tr r="A208" s="1"/>
      </tp>
      <tp t="s">
        <v>MUTHOOTFIN</v>
        <stp/>
        <stp>nse_fo|MUTHOOTFIN26DEC241940CE</stp>
        <stp>Symbol</stp>
        <tr r="A199" s="1"/>
      </tp>
      <tp t="s">
        <v>MUTHOOTFIN</v>
        <stp/>
        <stp>nse_fo|MUTHOOTFIN26DEC242040CE</stp>
        <stp>Symbol</stp>
        <tr r="A204" s="1"/>
      </tp>
      <tp>
        <v>694.2</v>
        <stp/>
        <stp>nse_cm|JUBLFOOD-EQ</stp>
        <stp>Bid Rate</stp>
        <tr r="D135" s="1"/>
      </tp>
      <tp>
        <v>-0.95</v>
        <stp/>
        <stp>nse_fo|BSOFT26DEC24640CE</stp>
        <stp>Net Change</stp>
        <tr r="K90" s="1"/>
      </tp>
      <tp>
        <v>0</v>
        <stp/>
        <stp>nse_fo|BSOFT26DEC24540CE</stp>
        <stp>Net Change</stp>
        <tr r="K80" s="1"/>
      </tp>
      <tp>
        <v>-0.25</v>
        <stp/>
        <stp>nse_fo|BSOFT26DEC24540PE</stp>
        <stp>Net Change</stp>
        <tr r="K93" s="1"/>
      </tp>
      <tp>
        <v>1700</v>
        <stp/>
        <stp>nse_fo|LAURUSLABS26DEC24FUT</stp>
        <stp>Ask Qty</stp>
        <tr r="F154" s="1"/>
      </tp>
      <tp>
        <v>3.85</v>
        <stp/>
        <stp>nse_fo|MOTHERSON26DEC24165PE</stp>
        <stp>ATP</stp>
        <tr r="H188" s="1"/>
      </tp>
      <tp t="s">
        <v>ADANIGREEN</v>
        <stp/>
        <stp>nse_fo|ADANIGREEN26DEC241320CE</stp>
        <stp>Symbol</stp>
        <tr r="A49" s="1"/>
      </tp>
      <tp t="s">
        <v>ADANIGREEN</v>
        <stp/>
        <stp>nse_fo|ADANIGREEN26DEC241220CE</stp>
        <stp>Symbol</stp>
        <tr r="A44" s="1"/>
      </tp>
      <tp t="s">
        <v>ADANIGREEN</v>
        <stp/>
        <stp>nse_fo|ADANIGREEN26DEC241120CE</stp>
        <stp>Symbol</stp>
        <tr r="A55" s="1"/>
      </tp>
      <tp t="e">
        <v>#N/A</v>
        <stp/>
        <stp>nse_fo|NIFTY26OCT2319450PE</stp>
        <stp>Net Change</stp>
        <tr r="K302" s="4"/>
      </tp>
      <tp>
        <v>0.87</v>
        <stp/>
        <stp>nse_fo|MOTHERSON26DEC24185CE</stp>
        <stp>ATP</stp>
        <tr r="H184" s="1"/>
      </tp>
      <tp>
        <v>6.52</v>
        <stp/>
        <stp>nse_fo|MOTHERSON26DEC24165CE</stp>
        <stp>ATP</stp>
        <tr r="H176" s="1"/>
      </tp>
      <tp>
        <v>2.5</v>
        <stp/>
        <stp>nse_fo|MOTHERSON26DEC24175CE</stp>
        <stp>ATP</stp>
        <tr r="H180" s="1"/>
      </tp>
      <tp>
        <v>804.8</v>
        <stp/>
        <stp>nse_cm|TATAMOTORS-EQ</stp>
        <stp>Ask Rate</stp>
        <tr r="E59" s="1"/>
        <tr r="E214" s="1"/>
      </tp>
      <tp>
        <v>1979.45</v>
        <stp/>
        <stp>nse_cm|MUTHOOTFIN-EQ</stp>
        <stp>Ask Rate</stp>
        <tr r="E194" s="1"/>
      </tp>
      <tp>
        <v>-2.4</v>
        <stp/>
        <stp>nse_fo|JUBLFOOD26DEC24690CE</stp>
        <stp>Net Change</stp>
        <tr r="K145" s="1"/>
      </tp>
      <tp>
        <v>-2.65</v>
        <stp/>
        <stp>nse_fo|BSOFT26DEC24570CE</stp>
        <stp>Net Change</stp>
        <tr r="K83" s="1"/>
      </tp>
      <tp t="s">
        <v>26Dec2024</v>
        <stp/>
        <stp>nse_fo|TATAMOTORS26DEC24830CE</stp>
        <stp>Series/Expiry</stp>
        <tr r="B65" s="1"/>
        <tr r="B220" s="1"/>
      </tp>
      <tp t="s">
        <v>26Dec2024</v>
        <stp/>
        <stp>nse_fo|TATAMOTORS26DEC24820CE</stp>
        <stp>Series/Expiry</stp>
        <tr r="B64" s="1"/>
        <tr r="B219" s="1"/>
      </tp>
      <tp t="s">
        <v>26Dec2024</v>
        <stp/>
        <stp>nse_fo|TATAMOTORS26DEC24810CE</stp>
        <stp>Series/Expiry</stp>
        <tr r="B63" s="1"/>
        <tr r="B218" s="1"/>
      </tp>
      <tp t="s">
        <v>26Dec2024</v>
        <stp/>
        <stp>nse_fo|TATAMOTORS26DEC24800CE</stp>
        <stp>Series/Expiry</stp>
        <tr r="B62" s="1"/>
        <tr r="B217" s="1"/>
      </tp>
      <tp t="s">
        <v>26Dec2024</v>
        <stp/>
        <stp>nse_fo|TATAMOTORS26DEC24870CE</stp>
        <stp>Series/Expiry</stp>
        <tr r="B69" s="1"/>
      </tp>
      <tp t="s">
        <v>26Dec2024</v>
        <stp/>
        <stp>nse_fo|TATAMOTORS26DEC24860CE</stp>
        <stp>Series/Expiry</stp>
        <tr r="B68" s="1"/>
      </tp>
      <tp t="s">
        <v>26Dec2024</v>
        <stp/>
        <stp>nse_fo|TATAMOTORS26DEC24850CE</stp>
        <stp>Series/Expiry</stp>
        <tr r="B222" s="1"/>
        <tr r="B67" s="1"/>
      </tp>
      <tp t="s">
        <v>26Dec2024</v>
        <stp/>
        <stp>nse_fo|TATAMOTORS26DEC24840CE</stp>
        <stp>Series/Expiry</stp>
        <tr r="B221" s="1"/>
        <tr r="B66" s="1"/>
      </tp>
      <tp t="s">
        <v>26Dec2024</v>
        <stp/>
        <stp>nse_fo|TATAMOTORS26DEC24880CE</stp>
        <stp>Series/Expiry</stp>
        <tr r="B70" s="1"/>
      </tp>
      <tp>
        <v>1700</v>
        <stp/>
        <stp>nse_fo|LAURUSLABS26DEC24FUT</stp>
        <stp>Bid Qty</stp>
        <tr r="C154" s="1"/>
      </tp>
      <tp>
        <v>566.80999999999995</v>
        <stp/>
        <stp>nse_cm|LAURUSLABS-EQ</stp>
        <stp>ATP</stp>
        <tr r="H155" s="1"/>
      </tp>
      <tp>
        <v>7585</v>
        <stp/>
        <stp>nse_cm|ABB-EQ</stp>
        <stp>Ask Rate</stp>
        <tr r="E20" s="1"/>
      </tp>
      <tp t="s">
        <v>MUTHOOTFIN</v>
        <stp/>
        <stp>nse_fo|MUTHOOTFIN26DEC241860CE</stp>
        <stp>Symbol</stp>
        <tr r="A209" s="1"/>
        <tr r="A195" s="1"/>
      </tp>
      <tp t="s">
        <v>MUTHOOTFIN</v>
        <stp/>
        <stp>nse_fo|MUTHOOTFIN26DEC241960CE</stp>
        <stp>Symbol</stp>
        <tr r="A200" s="1"/>
      </tp>
      <tp t="s">
        <v>MUTHOOTFIN</v>
        <stp/>
        <stp>nse_fo|MUTHOOTFIN26DEC242060CE</stp>
        <stp>Symbol</stp>
        <tr r="A205" s="1"/>
      </tp>
      <tp>
        <v>0.65</v>
        <stp/>
        <stp>nse_fo|VEDL26DEC24410PE</stp>
        <stp>Ask Rate</stp>
        <tr r="E241" s="1"/>
      </tp>
      <tp>
        <v>0.85</v>
        <stp/>
        <stp>nse_fo|VEDL26DEC24420PE</stp>
        <stp>Ask Rate</stp>
        <tr r="E242" s="1"/>
      </tp>
      <tp>
        <v>1.1000000000000001</v>
        <stp/>
        <stp>nse_fo|VEDL26DEC24430PE</stp>
        <stp>Ask Rate</stp>
        <tr r="E243" s="1"/>
      </tp>
      <tp>
        <v>1.5</v>
        <stp/>
        <stp>nse_fo|VEDL26DEC24440PE</stp>
        <stp>Ask Rate</stp>
        <tr r="E244" s="1"/>
      </tp>
      <tp>
        <v>2.2000000000000002</v>
        <stp/>
        <stp>nse_fo|VEDL26DEC24450PE</stp>
        <stp>Ask Rate</stp>
        <tr r="E245" s="1"/>
      </tp>
      <tp>
        <v>3.3</v>
        <stp/>
        <stp>nse_fo|VEDL26DEC24460PE</stp>
        <stp>Ask Rate</stp>
        <tr r="E246" s="1"/>
      </tp>
      <tp>
        <v>5.15</v>
        <stp/>
        <stp>nse_fo|VEDL26DEC24470PE</stp>
        <stp>Ask Rate</stp>
        <tr r="E247" s="1"/>
      </tp>
      <tp>
        <v>8.1</v>
        <stp/>
        <stp>nse_fo|VEDL26DEC24480PE</stp>
        <stp>Ask Rate</stp>
        <tr r="E248" s="1"/>
      </tp>
      <tp>
        <v>-2.7</v>
        <stp/>
        <stp>nse_fo|JUBLFOOD26DEC24680CE</stp>
        <stp>Net Change</stp>
        <tr r="K144" s="1"/>
      </tp>
      <tp>
        <v>-0.8</v>
        <stp/>
        <stp>nse_fo|BSOFT26DEC24560CE</stp>
        <stp>Net Change</stp>
        <tr r="K82" s="1"/>
      </tp>
      <tp>
        <v>-0.3</v>
        <stp/>
        <stp>nse_fo|BSOFT26DEC24560PE</stp>
        <stp>Net Change</stp>
        <tr r="K95" s="1"/>
      </tp>
      <tp>
        <v>170.89</v>
        <stp/>
        <stp>nse_fo|MOTHERSON26DEC24FUT</stp>
        <stp>High</stp>
        <tr r="A11" s="1"/>
      </tp>
      <tp>
        <v>1.05</v>
        <stp/>
        <stp>nse_fo|ADANIGREEN26DEC24FUT</stp>
        <stp>% Change</stp>
        <tr r="J39" s="1"/>
        <tr r="E4" s="1"/>
      </tp>
      <tp>
        <v>75.08</v>
        <stp/>
        <stp>nse_fo|HDFCAMC26DEC244450CE</stp>
        <stp>% Change</stp>
        <tr r="J124" s="1"/>
      </tp>
      <tp>
        <v>68.569999999999993</v>
        <stp/>
        <stp>nse_fo|HDFCAMC26DEC244400CE</stp>
        <stp>% Change</stp>
        <tr r="J123" s="1"/>
      </tp>
      <tp>
        <v>93.41</v>
        <stp/>
        <stp>nse_fo|HDFCAMC26DEC244550CE</stp>
        <stp>% Change</stp>
        <tr r="J126" s="1"/>
      </tp>
      <tp>
        <v>84.59</v>
        <stp/>
        <stp>nse_fo|HDFCAMC26DEC244500CE</stp>
        <stp>% Change</stp>
        <tr r="J125" s="1"/>
      </tp>
      <tp>
        <v>30.48</v>
        <stp/>
        <stp>nse_fo|HDFCAMC26DEC244250CE</stp>
        <stp>% Change</stp>
        <tr r="J120" s="1"/>
      </tp>
      <tp>
        <v>51.89</v>
        <stp/>
        <stp>nse_fo|HDFCAMC26DEC244200CE</stp>
        <stp>% Change</stp>
        <tr r="J119" s="1"/>
      </tp>
      <tp>
        <v>63.4</v>
        <stp/>
        <stp>nse_fo|HDFCAMC26DEC244350CE</stp>
        <stp>% Change</stp>
        <tr r="J122" s="1"/>
      </tp>
      <tp>
        <v>61.07</v>
        <stp/>
        <stp>nse_fo|HDFCAMC26DEC244300CE</stp>
        <stp>% Change</stp>
        <tr r="J121" s="1"/>
      </tp>
      <tp>
        <v>-2.0499999999999998</v>
        <stp/>
        <stp>nse_fo|JUBLFOOD26DEC24670CE</stp>
        <stp>Net Change</stp>
        <tr r="K143" s="1"/>
      </tp>
      <tp>
        <v>-1.35</v>
        <stp/>
        <stp>nse_fo|BSOFT26DEC24590CE</stp>
        <stp>Net Change</stp>
        <tr r="K85" s="1"/>
      </tp>
      <tp>
        <v>10000</v>
        <stp/>
        <stp>nse_fo|FEDERALBNK26DEC24FUT</stp>
        <stp>Bid Qty</stp>
        <tr r="C98" s="1"/>
      </tp>
      <tp>
        <v>557.54999999999995</v>
        <stp/>
        <stp>nse_cm|UPL-EQ</stp>
        <stp>Bid Rate</stp>
        <tr r="D253" s="1"/>
      </tp>
      <tp t="s">
        <v>MUTHOOTFIN</v>
        <stp/>
        <stp>nse_fo|MUTHOOTFIN26DEC241880CE</stp>
        <stp>Symbol</stp>
        <tr r="A196" s="1"/>
        <tr r="A210" s="1"/>
      </tp>
      <tp t="s">
        <v>MUTHOOTFIN</v>
        <stp/>
        <stp>nse_fo|MUTHOOTFIN26DEC241980CE</stp>
        <stp>Symbol</stp>
        <tr r="A201" s="1"/>
      </tp>
      <tp>
        <v>-3.7</v>
        <stp/>
        <stp>nse_fo|JUBLFOOD26DEC24660CE</stp>
        <stp>Net Change</stp>
        <tr r="K142" s="1"/>
      </tp>
      <tp>
        <v>-2.35</v>
        <stp/>
        <stp>nse_fo|BSOFT26DEC24580CE</stp>
        <stp>Net Change</stp>
        <tr r="K84" s="1"/>
      </tp>
      <tp t="s">
        <v>26Dec2024</v>
        <stp/>
        <stp>nse_fo|TATAMOTORS26DEC24730PE</stp>
        <stp>Series/Expiry</stp>
        <tr r="B74" s="1"/>
      </tp>
      <tp t="s">
        <v>26Dec2024</v>
        <stp/>
        <stp>nse_fo|TATAMOTORS26DEC24720PE</stp>
        <stp>Series/Expiry</stp>
        <tr r="B73" s="1"/>
      </tp>
      <tp t="s">
        <v>26Dec2024</v>
        <stp/>
        <stp>nse_fo|TATAMOTORS26DEC24710PE</stp>
        <stp>Series/Expiry</stp>
        <tr r="B72" s="1"/>
      </tp>
      <tp t="s">
        <v>26Dec2024</v>
        <stp/>
        <stp>nse_fo|TATAMOTORS26DEC24700PE</stp>
        <stp>Series/Expiry</stp>
        <tr r="B71" s="1"/>
      </tp>
      <tp t="s">
        <v>26Dec2024</v>
        <stp/>
        <stp>nse_fo|TATAMOTORS26DEC24770PE</stp>
        <stp>Series/Expiry</stp>
        <tr r="B225" s="1"/>
      </tp>
      <tp t="s">
        <v>26Dec2024</v>
        <stp/>
        <stp>nse_fo|TATAMOTORS26DEC24760PE</stp>
        <stp>Series/Expiry</stp>
        <tr r="B224" s="1"/>
      </tp>
      <tp t="s">
        <v>26Dec2024</v>
        <stp/>
        <stp>nse_fo|TATAMOTORS26DEC24750PE</stp>
        <stp>Series/Expiry</stp>
        <tr r="B223" s="1"/>
      </tp>
      <tp t="s">
        <v>26Dec2024</v>
        <stp/>
        <stp>nse_fo|TATAMOTORS26DEC24740PE</stp>
        <stp>Series/Expiry</stp>
        <tr r="B75" s="1"/>
      </tp>
      <tp t="s">
        <v>26Dec2024</v>
        <stp/>
        <stp>nse_fo|TATAMOTORS26DEC24790PE</stp>
        <stp>Series/Expiry</stp>
        <tr r="B227" s="1"/>
      </tp>
      <tp t="s">
        <v>26Dec2024</v>
        <stp/>
        <stp>nse_fo|TATAMOTORS26DEC24790CE</stp>
        <stp>Series/Expiry</stp>
        <tr r="B61" s="1"/>
        <tr r="B216" s="1"/>
      </tp>
      <tp t="s">
        <v>26Dec2024</v>
        <stp/>
        <stp>nse_fo|TATAMOTORS26DEC24780PE</stp>
        <stp>Series/Expiry</stp>
        <tr r="B226" s="1"/>
      </tp>
      <tp t="s">
        <v>26Dec2024</v>
        <stp/>
        <stp>nse_fo|TATAMOTORS26DEC24780CE</stp>
        <stp>Series/Expiry</stp>
        <tr r="B215" s="1"/>
        <tr r="B60" s="1"/>
      </tp>
      <tp>
        <v>750</v>
        <stp/>
        <stp>nse_fo|ADANIGREEN26DEC24FUT</stp>
        <stp>Ask Qty</stp>
        <tr r="F39" s="1"/>
      </tp>
      <tp>
        <v>-2.0499999999999998</v>
        <stp/>
        <stp>nse_fo|JUBLFOOD26DEC24650CE</stp>
        <stp>Net Change</stp>
        <tr r="K141" s="1"/>
      </tp>
      <tp>
        <v>373.9</v>
        <stp/>
        <stp>nse_fo|ABB26DEC247300CE</stp>
        <stp>Bid Rate</stp>
        <tr r="D29" s="1"/>
      </tp>
      <tp>
        <v>455.25</v>
        <stp/>
        <stp>nse_fo|ABB26DEC247200CE</stp>
        <stp>Bid Rate</stp>
        <tr r="D28" s="1"/>
      </tp>
      <tp>
        <v>541.65</v>
        <stp/>
        <stp>nse_fo|ABB26DEC247100CE</stp>
        <stp>Bid Rate</stp>
        <tr r="D27" s="1"/>
      </tp>
      <tp>
        <v>618.85</v>
        <stp/>
        <stp>nse_fo|ABB26DEC247000CE</stp>
        <stp>Bid Rate</stp>
        <tr r="D26" s="1"/>
      </tp>
      <tp>
        <v>245.45</v>
        <stp/>
        <stp>nse_fo|ABB26DEC247500CE</stp>
        <stp>Bid Rate</stp>
        <tr r="D31" s="1"/>
      </tp>
      <tp>
        <v>304.8</v>
        <stp/>
        <stp>nse_fo|ABB26DEC247400CE</stp>
        <stp>Bid Rate</stp>
        <tr r="D30" s="1"/>
      </tp>
      <tp>
        <v>375</v>
        <stp/>
        <stp>nse_fo|ADANIGREEN26DEC24FUT</stp>
        <stp>Bid Qty</stp>
        <tr r="C39" s="1"/>
      </tp>
      <tp>
        <v>4.2</v>
        <stp/>
        <stp>nse_fo|MOTHERSON26DEC24165PE</stp>
        <stp>LTP</stp>
        <tr r="G188" s="1"/>
        <tr r="M9" s="2"/>
      </tp>
      <tp>
        <v>0.75</v>
        <stp/>
        <stp>nse_fo|MOTHERSON26DEC24185CE</stp>
        <stp>LTP</stp>
        <tr r="G184" s="1"/>
      </tp>
      <tp>
        <v>5.8</v>
        <stp/>
        <stp>nse_fo|MOTHERSON26DEC24165CE</stp>
        <stp>LTP</stp>
        <tr r="L9" s="2"/>
        <tr r="G176" s="1"/>
      </tp>
      <tp>
        <v>2.1</v>
        <stp/>
        <stp>nse_fo|MOTHERSON26DEC24175CE</stp>
        <stp>LTP</stp>
        <tr r="G180" s="1"/>
      </tp>
      <tp>
        <v>-2.4</v>
        <stp/>
        <stp>nse_fo|JUBLFOOD26DEC24640CE</stp>
        <stp>Net Change</stp>
        <tr r="K140" s="1"/>
      </tp>
      <tp>
        <v>0</v>
        <stp/>
        <stp>nse_fo|JUBLFOOD26DEC24640PE</stp>
        <stp>Net Change</stp>
        <tr r="K151" s="1"/>
      </tp>
      <tp t="e">
        <v>#N/A</v>
        <stp/>
        <stp>nse_fo|NIFTY26OCT2319500PE</stp>
        <stp>Option Type</stp>
        <tr r="M303" s="4"/>
      </tp>
      <tp t="e">
        <v>#N/A</v>
        <stp/>
        <stp>nse_fo|NIFTY26OCT2319450PE</stp>
        <stp>Option Type</stp>
        <tr r="M302" s="4"/>
      </tp>
      <tp>
        <v>12329150</v>
        <stp/>
        <stp>nse_fo|MOTHERSON26DEC24170CE</stp>
        <stp>Volume Traded Today</stp>
        <tr r="I178" s="1"/>
      </tp>
      <tp>
        <v>7128400</v>
        <stp/>
        <stp>nse_fo|MOTHERSON26DEC24180CE</stp>
        <stp>Volume Traded Today</stp>
        <tr r="I182" s="1"/>
      </tp>
      <tp>
        <v>706.3</v>
        <stp/>
        <stp>nse_fo|ABB26DEC246900CE</stp>
        <stp>Bid Rate</stp>
        <tr r="D25" s="1"/>
      </tp>
      <tp>
        <v>813.45</v>
        <stp/>
        <stp>nse_fo|ABB26DEC246800CE</stp>
        <stp>Bid Rate</stp>
        <tr r="D24" s="1"/>
      </tp>
      <tp>
        <v>20756850</v>
        <stp/>
        <stp>nse_fo|MOTHERSON26DEC24FUT</stp>
        <stp>Volume Traded Today</stp>
        <tr r="I174" s="1"/>
      </tp>
      <tp>
        <v>898.7</v>
        <stp/>
        <stp>nse_fo|ABB26DEC246700CE</stp>
        <stp>Bid Rate</stp>
        <tr r="D23" s="1"/>
      </tp>
      <tp>
        <v>984.1</v>
        <stp/>
        <stp>nse_fo|ABB26DEC246600CE</stp>
        <stp>Bid Rate</stp>
        <tr r="D22" s="1"/>
      </tp>
      <tp>
        <v>0</v>
        <stp/>
        <stp>nse_fo|ABB26DEC246500CE</stp>
        <stp>Bid Rate</stp>
        <tr r="D21" s="1"/>
      </tp>
      <tp>
        <v>3617450</v>
        <stp/>
        <stp>nse_fo|MOTHERSON26DEC24170PE</stp>
        <stp>Volume Traded Today</stp>
        <tr r="I190" s="1"/>
      </tp>
      <tp>
        <v>3145300</v>
        <stp/>
        <stp>nse_fo|MOTHERSON26DEC24160PE</stp>
        <stp>Volume Traded Today</stp>
        <tr r="I186" s="1"/>
      </tp>
      <tp>
        <v>5000</v>
        <stp/>
        <stp>nse_fo|FEDERALBNK26DEC24FUT</stp>
        <stp>Ask Qty</stp>
        <tr r="F98" s="1"/>
      </tp>
      <tp>
        <v>574</v>
        <stp/>
        <stp>nse_cm|LAURUSLABS-EQ</stp>
        <stp>LTP</stp>
        <tr r="C10" s="1"/>
        <tr r="G155" s="1"/>
      </tp>
      <tp t="s">
        <v>ADANIGREEN</v>
        <stp/>
        <stp>nse_fo|ADANIGREEN26DEC241280CE</stp>
        <stp>Symbol</stp>
        <tr r="A47" s="1"/>
      </tp>
      <tp t="s">
        <v>ADANIGREEN</v>
        <stp/>
        <stp>nse_fo|ADANIGREEN26DEC241180CE</stp>
        <stp>Symbol</stp>
        <tr r="A42" s="1"/>
      </tp>
      <tp t="s">
        <v>ADANIGREEN</v>
        <stp/>
        <stp>nse_fo|ADANIGREEN26DEC241080CE</stp>
        <stp>Symbol</stp>
        <tr r="A53" s="1"/>
      </tp>
      <tp>
        <v>-4.1399999999999997</v>
        <stp/>
        <stp>nse_cm|MOTHERSON-EQ</stp>
        <stp>Net Change</stp>
        <tr r="K175" s="1"/>
      </tp>
      <tp>
        <v>0</v>
        <stp/>
        <stp>nse_fo|JUBLFOOD26DEC24630CE</stp>
        <stp>Net Change</stp>
        <tr r="K139" s="1"/>
      </tp>
      <tp>
        <v>-0.1</v>
        <stp/>
        <stp>nse_fo|JUBLFOOD26DEC24630PE</stp>
        <stp>Net Change</stp>
        <tr r="K150" s="1"/>
      </tp>
      <tp t="s">
        <v>CE</v>
        <stp/>
        <stp>nse_fo|ABB26DEC247200CE</stp>
        <stp>Option Type</stp>
        <tr r="M28" s="1"/>
      </tp>
      <tp t="s">
        <v>CE</v>
        <stp/>
        <stp>nse_fo|ABB26DEC247300CE</stp>
        <stp>Option Type</stp>
        <tr r="M29" s="1"/>
      </tp>
      <tp t="s">
        <v>CE</v>
        <stp/>
        <stp>nse_fo|ABB26DEC247000CE</stp>
        <stp>Option Type</stp>
        <tr r="M26" s="1"/>
      </tp>
      <tp t="s">
        <v>CE</v>
        <stp/>
        <stp>nse_fo|ABB26DEC247100CE</stp>
        <stp>Option Type</stp>
        <tr r="M27" s="1"/>
      </tp>
      <tp t="s">
        <v>CE</v>
        <stp/>
        <stp>nse_fo|ABB26DEC247400CE</stp>
        <stp>Option Type</stp>
        <tr r="M30" s="1"/>
      </tp>
      <tp t="s">
        <v>CE</v>
        <stp/>
        <stp>nse_fo|ABB26DEC247500CE</stp>
        <stp>Option Type</stp>
        <tr r="M31" s="1"/>
      </tp>
      <tp t="s">
        <v>CE</v>
        <stp/>
        <stp>nse_fo|ABB26DEC246800CE</stp>
        <stp>Option Type</stp>
        <tr r="M24" s="1"/>
      </tp>
      <tp t="s">
        <v>CE</v>
        <stp/>
        <stp>nse_fo|ABB26DEC246900CE</stp>
        <stp>Option Type</stp>
        <tr r="M25" s="1"/>
      </tp>
      <tp t="s">
        <v>CE</v>
        <stp/>
        <stp>nse_fo|ABB26DEC246600CE</stp>
        <stp>Option Type</stp>
        <tr r="M22" s="1"/>
      </tp>
      <tp t="s">
        <v>CE</v>
        <stp/>
        <stp>nse_fo|ABB26DEC246700CE</stp>
        <stp>Option Type</stp>
        <tr r="M23" s="1"/>
      </tp>
      <tp t="s">
        <v>CE</v>
        <stp/>
        <stp>nse_fo|ABB26DEC246500CE</stp>
        <stp>Option Type</stp>
        <tr r="M21" s="1"/>
      </tp>
      <tp t="s">
        <v>PE</v>
        <stp/>
        <stp>nse_fo|ABB26DEC246800PE</stp>
        <stp>Option Type</stp>
        <tr r="M35" s="1"/>
      </tp>
      <tp t="s">
        <v>PE</v>
        <stp/>
        <stp>nse_fo|ABB26DEC246900PE</stp>
        <stp>Option Type</stp>
        <tr r="M36" s="1"/>
      </tp>
      <tp t="s">
        <v>PE</v>
        <stp/>
        <stp>nse_fo|ABB26DEC246600PE</stp>
        <stp>Option Type</stp>
        <tr r="M33" s="1"/>
      </tp>
      <tp t="s">
        <v>PE</v>
        <stp/>
        <stp>nse_fo|ABB26DEC246700PE</stp>
        <stp>Option Type</stp>
        <tr r="M34" s="1"/>
      </tp>
      <tp t="s">
        <v>PE</v>
        <stp/>
        <stp>nse_fo|ABB26DEC246500PE</stp>
        <stp>Option Type</stp>
        <tr r="M32" s="1"/>
      </tp>
      <tp>
        <v>1203.32</v>
        <stp/>
        <stp>nse_cm|ADANIGREEN-EQ</stp>
        <stp>ATP</stp>
        <tr r="H40" s="1"/>
      </tp>
      <tp t="s">
        <v>BSOFT</v>
        <stp/>
        <stp>nse_fo|BSOFT26DEC24FUT</stp>
        <stp>Symbol</stp>
        <tr r="A78" s="1"/>
      </tp>
      <tp>
        <v>2000</v>
        <stp/>
        <stp>nse_fo|BSOFT26DEC24FUT</stp>
        <stp>Bid Qty</stp>
        <tr r="C78" s="1"/>
      </tp>
      <tp>
        <v>0</v>
        <stp/>
        <stp>nse_fo|JUBLFOOD26DEC24620CE</stp>
        <stp>Net Change</stp>
        <tr r="K138" s="1"/>
      </tp>
      <tp>
        <v>-0.15</v>
        <stp/>
        <stp>nse_fo|JUBLFOOD26DEC24620PE</stp>
        <stp>Net Change</stp>
        <tr r="K149" s="1"/>
      </tp>
      <tp>
        <v>750</v>
        <stp/>
        <stp>nse_fo|HDFCAMC26DEC244150PE</stp>
        <stp>Bid Qty</stp>
        <tr r="C130" s="1"/>
      </tp>
      <tp>
        <v>150</v>
        <stp/>
        <stp>nse_fo|HDFCAMC26DEC244100PE</stp>
        <stp>Bid Qty</stp>
        <tr r="C129" s="1"/>
      </tp>
      <tp>
        <v>150</v>
        <stp/>
        <stp>nse_fo|HDFCAMC26DEC244050PE</stp>
        <stp>Bid Qty</stp>
        <tr r="C128" s="1"/>
      </tp>
      <tp>
        <v>300</v>
        <stp/>
        <stp>nse_fo|HDFCAMC26DEC244000PE</stp>
        <stp>Bid Qty</stp>
        <tr r="C127" s="1"/>
      </tp>
      <tp>
        <v>150</v>
        <stp/>
        <stp>nse_fo|HDFCAMC26DEC244200PE</stp>
        <stp>Bid Qty</stp>
        <tr r="C131" s="1"/>
      </tp>
      <tp>
        <v>150</v>
        <stp/>
        <stp>nse_fo|HDFCAMC26DEC244550CE</stp>
        <stp>Bid Qty</stp>
        <tr r="C126" s="1"/>
      </tp>
      <tp>
        <v>150</v>
        <stp/>
        <stp>nse_fo|HDFCAMC26DEC244500CE</stp>
        <stp>Bid Qty</stp>
        <tr r="C125" s="1"/>
      </tp>
      <tp>
        <v>150</v>
        <stp/>
        <stp>nse_fo|HDFCAMC26DEC244450CE</stp>
        <stp>Bid Qty</stp>
        <tr r="C124" s="1"/>
      </tp>
      <tp>
        <v>150</v>
        <stp/>
        <stp>nse_fo|HDFCAMC26DEC244400CE</stp>
        <stp>Bid Qty</stp>
        <tr r="C123" s="1"/>
      </tp>
      <tp>
        <v>150</v>
        <stp/>
        <stp>nse_fo|HDFCAMC26DEC244350CE</stp>
        <stp>Bid Qty</stp>
        <tr r="C122" s="1"/>
      </tp>
      <tp>
        <v>150</v>
        <stp/>
        <stp>nse_fo|HDFCAMC26DEC244300CE</stp>
        <stp>Bid Qty</stp>
        <tr r="C121" s="1"/>
      </tp>
      <tp>
        <v>150</v>
        <stp/>
        <stp>nse_fo|HDFCAMC26DEC244250CE</stp>
        <stp>Bid Qty</stp>
        <tr r="C120" s="1"/>
      </tp>
      <tp>
        <v>150</v>
        <stp/>
        <stp>nse_fo|HDFCAMC26DEC244200CE</stp>
        <stp>Bid Qty</stp>
        <tr r="C119" s="1"/>
      </tp>
      <tp>
        <v>-47.22</v>
        <stp/>
        <stp>nse_fo|MOTHERSON26DEC24182.5CE</stp>
        <stp>% Change</stp>
        <tr r="J183" s="1"/>
      </tp>
      <tp>
        <v>6217475</v>
        <stp/>
        <stp>nse_cm|LAURUSLABS-EQ</stp>
        <stp>Volume Traded Today</stp>
        <tr r="I155" s="1"/>
      </tp>
      <tp>
        <v>-45.45</v>
        <stp/>
        <stp>nse_fo|MOTHERSON26DEC24187.5CE</stp>
        <stp>% Change</stp>
        <tr r="J185" s="1"/>
      </tp>
      <tp>
        <v>1000</v>
        <stp/>
        <stp>nse_fo|BSOFT26DEC24FUT</stp>
        <stp>Ask Qty</stp>
        <tr r="F78" s="1"/>
      </tp>
      <tp>
        <v>2.2999999999999998</v>
        <stp/>
        <stp>nse_fo|MOTHERSON26DEC24160PE</stp>
        <stp>LTP</stp>
        <tr r="G186" s="1"/>
      </tp>
      <tp>
        <v>6.75</v>
        <stp/>
        <stp>nse_fo|MOTHERSON26DEC24170PE</stp>
        <stp>LTP</stp>
        <tr r="G190" s="1"/>
      </tp>
      <tp>
        <v>3.02</v>
        <stp/>
        <stp>nse_cm|HDFCAMC-EQ</stp>
        <stp>% Change</stp>
        <tr r="J118" s="1"/>
      </tp>
      <tp>
        <v>9</v>
        <stp/>
        <stp>nse_fo|VEDL26DEC24500CE</stp>
        <stp>Bid Rate</stp>
        <tr r="D240" s="1"/>
      </tp>
      <tp>
        <v>69.55</v>
        <stp/>
        <stp>nse_fo|VEDL26DEC24420CE</stp>
        <stp>Bid Rate</stp>
        <tr r="D232" s="1"/>
      </tp>
      <tp>
        <v>60.95</v>
        <stp/>
        <stp>nse_fo|VEDL26DEC24430CE</stp>
        <stp>Bid Rate</stp>
        <tr r="D233" s="1"/>
      </tp>
      <tp>
        <v>51.7</v>
        <stp/>
        <stp>nse_fo|VEDL26DEC24440CE</stp>
        <stp>Bid Rate</stp>
        <tr r="D234" s="1"/>
      </tp>
      <tp>
        <v>42.65</v>
        <stp/>
        <stp>nse_fo|VEDL26DEC24450CE</stp>
        <stp>Bid Rate</stp>
        <tr r="D235" s="1"/>
      </tp>
      <tp>
        <v>33.6</v>
        <stp/>
        <stp>nse_fo|VEDL26DEC24460CE</stp>
        <stp>Bid Rate</stp>
        <tr r="D236" s="1"/>
      </tp>
      <tp>
        <v>25.75</v>
        <stp/>
        <stp>nse_fo|VEDL26DEC24470CE</stp>
        <stp>Bid Rate</stp>
        <tr r="D237" s="1"/>
      </tp>
      <tp>
        <v>18.75</v>
        <stp/>
        <stp>nse_fo|VEDL26DEC24480CE</stp>
        <stp>Bid Rate</stp>
        <tr r="D238" s="1"/>
      </tp>
      <tp>
        <v>13.15</v>
        <stp/>
        <stp>nse_fo|VEDL26DEC24490CE</stp>
        <stp>Bid Rate</stp>
        <tr r="D239" s="1"/>
      </tp>
      <tp>
        <v>166.5</v>
        <stp/>
        <stp>nse_fo|MOTHERSON26DEC24FUT</stp>
        <stp>LTP</stp>
        <tr r="D11" s="1"/>
        <tr r="J8" s="2"/>
        <tr r="G174" s="1"/>
      </tp>
      <tp>
        <v>1.25</v>
        <stp/>
        <stp>nse_fo|MOTHERSON26DEC24180CE</stp>
        <stp>LTP</stp>
        <tr r="G182" s="1"/>
      </tp>
      <tp>
        <v>3.55</v>
        <stp/>
        <stp>nse_fo|MOTHERSON26DEC24170CE</stp>
        <stp>LTP</stp>
        <tr r="G178" s="1"/>
      </tp>
      <tp>
        <v>0</v>
        <stp/>
        <stp>nse_fo|JUBLFOOD26DEC24610CE</stp>
        <stp>Net Change</stp>
        <tr r="K137" s="1"/>
      </tp>
      <tp>
        <v>-0.05</v>
        <stp/>
        <stp>nse_fo|JUBLFOOD26DEC24610PE</stp>
        <stp>Net Change</stp>
        <tr r="K148" s="1"/>
      </tp>
      <tp>
        <v>150</v>
        <stp/>
        <stp>nse_fo|HDFCAMC26DEC244250CE</stp>
        <stp>Ask Qty</stp>
        <tr r="F120" s="1"/>
      </tp>
      <tp>
        <v>150</v>
        <stp/>
        <stp>nse_fo|HDFCAMC26DEC244200CE</stp>
        <stp>Ask Qty</stp>
        <tr r="F119" s="1"/>
      </tp>
      <tp>
        <v>150</v>
        <stp/>
        <stp>nse_fo|HDFCAMC26DEC244350CE</stp>
        <stp>Ask Qty</stp>
        <tr r="F122" s="1"/>
      </tp>
      <tp>
        <v>150</v>
        <stp/>
        <stp>nse_fo|HDFCAMC26DEC244300CE</stp>
        <stp>Ask Qty</stp>
        <tr r="F121" s="1"/>
      </tp>
      <tp>
        <v>150</v>
        <stp/>
        <stp>nse_fo|HDFCAMC26DEC244450CE</stp>
        <stp>Ask Qty</stp>
        <tr r="F124" s="1"/>
      </tp>
      <tp>
        <v>150</v>
        <stp/>
        <stp>nse_fo|HDFCAMC26DEC244400CE</stp>
        <stp>Ask Qty</stp>
        <tr r="F123" s="1"/>
      </tp>
      <tp>
        <v>150</v>
        <stp/>
        <stp>nse_fo|HDFCAMC26DEC244550CE</stp>
        <stp>Ask Qty</stp>
        <tr r="F126" s="1"/>
      </tp>
      <tp>
        <v>150</v>
        <stp/>
        <stp>nse_fo|HDFCAMC26DEC244500CE</stp>
        <stp>Ask Qty</stp>
        <tr r="F125" s="1"/>
      </tp>
      <tp>
        <v>9301000</v>
        <stp/>
        <stp>nse_fo|MOTHERSON26DEC24175CE</stp>
        <stp>Volume Traded Today</stp>
        <tr r="I180" s="1"/>
      </tp>
      <tp>
        <v>3791400</v>
        <stp/>
        <stp>nse_fo|MOTHERSON26DEC24165CE</stp>
        <stp>Volume Traded Today</stp>
        <tr r="I176" s="1"/>
      </tp>
      <tp>
        <v>4270650</v>
        <stp/>
        <stp>nse_fo|MOTHERSON26DEC24185CE</stp>
        <stp>Volume Traded Today</stp>
        <tr r="I184" s="1"/>
      </tp>
      <tp>
        <v>150</v>
        <stp/>
        <stp>nse_fo|HDFCAMC26DEC244200PE</stp>
        <stp>Ask Qty</stp>
        <tr r="F131" s="1"/>
      </tp>
      <tp>
        <v>300</v>
        <stp/>
        <stp>nse_fo|HDFCAMC26DEC244050PE</stp>
        <stp>Ask Qty</stp>
        <tr r="F128" s="1"/>
      </tp>
      <tp>
        <v>150</v>
        <stp/>
        <stp>nse_fo|HDFCAMC26DEC244000PE</stp>
        <stp>Ask Qty</stp>
        <tr r="F127" s="1"/>
      </tp>
      <tp>
        <v>150</v>
        <stp/>
        <stp>nse_fo|HDFCAMC26DEC244150PE</stp>
        <stp>Ask Qty</stp>
        <tr r="F130" s="1"/>
      </tp>
      <tp>
        <v>1050</v>
        <stp/>
        <stp>nse_fo|HDFCAMC26DEC244100PE</stp>
        <stp>Ask Qty</stp>
        <tr r="F129" s="1"/>
      </tp>
      <tp>
        <v>4441050</v>
        <stp/>
        <stp>nse_fo|MOTHERSON26DEC24165PE</stp>
        <stp>Volume Traded Today</stp>
        <tr r="I188" s="1"/>
      </tp>
      <tp>
        <v>-1.75</v>
        <stp/>
        <stp>nse_fo|JUBLFOOD26DEC24600CE</stp>
        <stp>Net Change</stp>
        <tr r="K136" s="1"/>
      </tp>
      <tp>
        <v>-2.2000000000000002</v>
        <stp/>
        <stp>nse_fo|JUBLFOOD26DEC24700CE</stp>
        <stp>Net Change</stp>
        <tr r="K146" s="1"/>
      </tp>
      <tp>
        <v>-0.1</v>
        <stp/>
        <stp>nse_fo|JUBLFOOD26DEC24600PE</stp>
        <stp>Net Change</stp>
        <tr r="K147" s="1"/>
      </tp>
      <tp>
        <v>214.07</v>
        <stp/>
        <stp>nse_cm|FEDERALBNK-EQ</stp>
        <stp>Ask Rate</stp>
        <tr r="E99" s="1"/>
      </tp>
      <tp>
        <v>316.85000000000002</v>
        <stp/>
        <stp>nse_fo|ABB26DEC247400CE</stp>
        <stp>Ask Rate</stp>
        <tr r="E30" s="1"/>
      </tp>
      <tp>
        <v>248</v>
        <stp/>
        <stp>nse_fo|ABB26DEC247500CE</stp>
        <stp>Ask Rate</stp>
        <tr r="E31" s="1"/>
      </tp>
      <tp>
        <v>677.45</v>
        <stp/>
        <stp>nse_fo|ABB26DEC247000CE</stp>
        <stp>Ask Rate</stp>
        <tr r="E26" s="1"/>
      </tp>
      <tp>
        <v>562.35</v>
        <stp/>
        <stp>nse_fo|ABB26DEC247100CE</stp>
        <stp>Ask Rate</stp>
        <tr r="E27" s="1"/>
      </tp>
      <tp>
        <v>476.1</v>
        <stp/>
        <stp>nse_fo|ABB26DEC247200CE</stp>
        <stp>Ask Rate</stp>
        <tr r="E28" s="1"/>
      </tp>
      <tp>
        <v>394.8</v>
        <stp/>
        <stp>nse_fo|ABB26DEC247300CE</stp>
        <stp>Ask Rate</stp>
        <tr r="E29" s="1"/>
      </tp>
      <tp>
        <v>275</v>
        <stp/>
        <stp>nse_fo|MUTHOOTFIN26DEC24FUT</stp>
        <stp>Ask Qty</stp>
        <tr r="F193" s="1"/>
      </tp>
      <tp t="s">
        <v>26Dec2024</v>
        <stp/>
        <stp>nse_fo|BSOFT26DEC24640CE</stp>
        <stp>Series/Expiry</stp>
        <tr r="B90" s="1"/>
      </tp>
      <tp t="s">
        <v>26Dec2024</v>
        <stp/>
        <stp>nse_fo|BSOFT26DEC24620CE</stp>
        <stp>Series/Expiry</stp>
        <tr r="B88" s="1"/>
      </tp>
      <tp t="s">
        <v>26Dec2024</v>
        <stp/>
        <stp>nse_fo|BSOFT26DEC24630CE</stp>
        <stp>Series/Expiry</stp>
        <tr r="B89" s="1"/>
      </tp>
      <tp t="s">
        <v>26Dec2024</v>
        <stp/>
        <stp>nse_fo|BSOFT26DEC24600CE</stp>
        <stp>Series/Expiry</stp>
        <tr r="B86" s="1"/>
      </tp>
      <tp t="s">
        <v>26Dec2024</v>
        <stp/>
        <stp>nse_fo|BSOFT26DEC24610CE</stp>
        <stp>Series/Expiry</stp>
        <tr r="B87" s="1"/>
      </tp>
      <tp>
        <v>0</v>
        <stp/>
        <stp>nse_fo|ABB26DEC246500CE</stp>
        <stp>Ask Rate</stp>
        <tr r="E21" s="1"/>
      </tp>
      <tp>
        <v>1056.5999999999999</v>
        <stp/>
        <stp>nse_fo|ABB26DEC246600CE</stp>
        <stp>Ask Rate</stp>
        <tr r="E22" s="1"/>
      </tp>
      <tp>
        <v>962.85</v>
        <stp/>
        <stp>nse_fo|ABB26DEC246700CE</stp>
        <stp>Ask Rate</stp>
        <tr r="E23" s="1"/>
      </tp>
      <tp>
        <v>865.75</v>
        <stp/>
        <stp>nse_fo|ABB26DEC246800CE</stp>
        <stp>Ask Rate</stp>
        <tr r="E24" s="1"/>
      </tp>
      <tp>
        <v>774</v>
        <stp/>
        <stp>nse_fo|ABB26DEC246900CE</stp>
        <stp>Ask Rate</stp>
        <tr r="E25" s="1"/>
      </tp>
      <tp t="s">
        <v>HDFCAMC</v>
        <stp/>
        <stp>nse_cm|HDFCAMC-EQ</stp>
        <stp>Symbol</stp>
        <tr r="A118" s="1"/>
      </tp>
      <tp t="s">
        <v>26Dec2024</v>
        <stp/>
        <stp>nse_fo|BSOFT26DEC24560CE</stp>
        <stp>Series/Expiry</stp>
        <tr r="B82" s="1"/>
      </tp>
      <tp t="s">
        <v>26Dec2024</v>
        <stp/>
        <stp>nse_fo|BSOFT26DEC24560PE</stp>
        <stp>Series/Expiry</stp>
        <tr r="B95" s="1"/>
      </tp>
      <tp t="s">
        <v>26Dec2024</v>
        <stp/>
        <stp>nse_fo|BSOFT26DEC24570CE</stp>
        <stp>Series/Expiry</stp>
        <tr r="B83" s="1"/>
      </tp>
      <tp t="s">
        <v>26Dec2024</v>
        <stp/>
        <stp>nse_fo|BSOFT26DEC24540CE</stp>
        <stp>Series/Expiry</stp>
        <tr r="B80" s="1"/>
      </tp>
      <tp t="s">
        <v>26Dec2024</v>
        <stp/>
        <stp>nse_fo|BSOFT26DEC24540PE</stp>
        <stp>Series/Expiry</stp>
        <tr r="B93" s="1"/>
      </tp>
      <tp t="s">
        <v>26Dec2024</v>
        <stp/>
        <stp>nse_fo|BSOFT26DEC24550CE</stp>
        <stp>Series/Expiry</stp>
        <tr r="B81" s="1"/>
      </tp>
      <tp t="s">
        <v>26Dec2024</v>
        <stp/>
        <stp>nse_fo|BSOFT26DEC24550PE</stp>
        <stp>Series/Expiry</stp>
        <tr r="B94" s="1"/>
      </tp>
      <tp t="s">
        <v>26Dec2024</v>
        <stp/>
        <stp>nse_fo|BSOFT26DEC24520PE</stp>
        <stp>Series/Expiry</stp>
        <tr r="B91" s="1"/>
      </tp>
      <tp t="s">
        <v>26Dec2024</v>
        <stp/>
        <stp>nse_fo|BSOFT26DEC24530PE</stp>
        <stp>Series/Expiry</stp>
        <tr r="B92" s="1"/>
      </tp>
      <tp t="s">
        <v>26Dec2024</v>
        <stp/>
        <stp>nse_fo|BSOFT26DEC24580CE</stp>
        <stp>Series/Expiry</stp>
        <tr r="B84" s="1"/>
      </tp>
      <tp t="s">
        <v>26Dec2024</v>
        <stp/>
        <stp>nse_fo|BSOFT26DEC24590CE</stp>
        <stp>Series/Expiry</stp>
        <tr r="B85" s="1"/>
      </tp>
      <tp>
        <v>562.65</v>
        <stp/>
        <stp>nse_fo|UPL26DEC24FUT</stp>
        <stp>High</stp>
        <tr r="A15" s="1"/>
      </tp>
      <tp t="s">
        <v>26Dec2024</v>
        <stp/>
        <stp>nse_fo|MOTHERSON26DEC24FUT</stp>
        <stp>Series/Expiry</stp>
        <tr r="B174" s="1"/>
      </tp>
      <tp>
        <v>7675</v>
        <stp/>
        <stp>nse_fo|ABB26DEC24FUT</stp>
        <stp>High</stp>
        <tr r="A3" s="1"/>
      </tp>
      <tp>
        <v>1979.45</v>
        <stp/>
        <stp>nse_cm|MUTHOOTFIN-EQ</stp>
        <stp>LTP</stp>
        <tr r="G194" s="1"/>
        <tr r="C12" s="1"/>
      </tp>
      <tp>
        <v>804.75</v>
        <stp/>
        <stp>nse_cm|TATAMOTORS-EQ</stp>
        <stp>LTP</stp>
        <tr r="C5" s="1"/>
        <tr r="G59" s="1"/>
        <tr r="C13" s="1"/>
        <tr r="G214" s="1"/>
      </tp>
      <tp>
        <v>0</v>
        <stp/>
        <stp>nse_fo|JUBLFOOD26DEC24640PE</stp>
        <stp>% Change</stp>
        <tr r="J151" s="1"/>
      </tp>
      <tp>
        <v>-13.04</v>
        <stp/>
        <stp>nse_fo|JUBLFOOD26DEC24620PE</stp>
        <stp>% Change</stp>
        <tr r="J149" s="1"/>
      </tp>
      <tp>
        <v>-6.45</v>
        <stp/>
        <stp>nse_fo|JUBLFOOD26DEC24630PE</stp>
        <stp>% Change</stp>
        <tr r="J150" s="1"/>
      </tp>
      <tp>
        <v>-14.29</v>
        <stp/>
        <stp>nse_fo|JUBLFOOD26DEC24600PE</stp>
        <stp>% Change</stp>
        <tr r="J147" s="1"/>
      </tp>
      <tp>
        <v>-5.88</v>
        <stp/>
        <stp>nse_fo|JUBLFOOD26DEC24610PE</stp>
        <stp>% Change</stp>
        <tr r="J148" s="1"/>
      </tp>
      <tp>
        <v>557.9</v>
        <stp/>
        <stp>nse_cm|UPL-EQ</stp>
        <stp>Ask Rate</stp>
        <tr r="E253" s="1"/>
      </tp>
      <tp t="s">
        <v>26Dec2024</v>
        <stp/>
        <stp>nse_fo|VEDL26DEC24500CE</stp>
        <stp>Series/Expiry</stp>
        <tr r="B240" s="1"/>
      </tp>
      <tp>
        <v>47.62</v>
        <stp/>
        <stp>nse_fo|MOTHERSON26DEC24162.5PE</stp>
        <stp>% Change</stp>
        <tr r="J187" s="1"/>
      </tp>
      <tp>
        <v>47.3</v>
        <stp/>
        <stp>nse_fo|MOTHERSON26DEC24167.5PE</stp>
        <stp>% Change</stp>
        <tr r="J189" s="1"/>
      </tp>
      <tp>
        <v>503.5</v>
        <stp/>
        <stp>nse_fo|VEDL26DEC24FUT</stp>
        <stp>High</stp>
        <tr r="A14" s="1"/>
      </tp>
      <tp>
        <v>0.22</v>
        <stp/>
        <stp>nse_fo|FEDERALBNK26DEC24FUT</stp>
        <stp>% Change</stp>
        <tr r="J98" s="1"/>
        <tr r="E7" s="1"/>
      </tp>
      <tp t="s">
        <v>UPL</v>
        <stp/>
        <stp>nse_fo|UPL26DEC24FUT</stp>
        <stp>Symbol</stp>
        <tr r="A252" s="1"/>
      </tp>
      <tp>
        <v>1075000</v>
        <stp/>
        <stp>nse_fo|FEDERALBNK26DEC24207.5PE</stp>
        <stp>Volume Traded Today</stp>
        <tr r="I113" s="1"/>
      </tp>
      <tp>
        <v>1745000</v>
        <stp/>
        <stp>nse_fo|FEDERALBNK26DEC24202.5PE</stp>
        <stp>Volume Traded Today</stp>
        <tr r="I111" s="1"/>
      </tp>
      <tp>
        <v>-0.2</v>
        <stp/>
        <stp>nse_cm|JUBLFOOD-EQ</stp>
        <stp>Net Change</stp>
        <tr r="K135" s="1"/>
      </tp>
      <tp t="e">
        <v>#N/A</v>
        <stp/>
        <stp>nse_fo|NIFTY26OCT2319450PE</stp>
        <stp>ATP</stp>
        <tr r="H302" s="4"/>
      </tp>
      <tp t="e">
        <v>#N/A</v>
        <stp/>
        <stp>nse_fo|NIFTY26OCT2319500PE</stp>
        <stp>ATP</stp>
        <tr r="H303" s="4"/>
      </tp>
      <tp t="s">
        <v>26Dec2024</v>
        <stp/>
        <stp>nse_fo|VEDL26DEC24480CE</stp>
        <stp>Series/Expiry</stp>
        <tr r="B238" s="1"/>
      </tp>
      <tp t="s">
        <v>26Dec2024</v>
        <stp/>
        <stp>nse_fo|VEDL26DEC24480PE</stp>
        <stp>Series/Expiry</stp>
        <tr r="B248" s="1"/>
      </tp>
      <tp t="s">
        <v>26Dec2024</v>
        <stp/>
        <stp>nse_fo|VEDL26DEC24490CE</stp>
        <stp>Series/Expiry</stp>
        <tr r="B239" s="1"/>
      </tp>
      <tp t="s">
        <v>26Dec2024</v>
        <stp/>
        <stp>nse_fo|VEDL26DEC24460CE</stp>
        <stp>Series/Expiry</stp>
        <tr r="B236" s="1"/>
      </tp>
      <tp t="s">
        <v>26Dec2024</v>
        <stp/>
        <stp>nse_fo|VEDL26DEC24460PE</stp>
        <stp>Series/Expiry</stp>
        <tr r="B246" s="1"/>
      </tp>
      <tp>
        <v>275</v>
        <stp/>
        <stp>nse_fo|MUTHOOTFIN26DEC24FUT</stp>
        <stp>Bid Qty</stp>
        <tr r="C193" s="1"/>
      </tp>
      <tp t="s">
        <v>26Dec2024</v>
        <stp/>
        <stp>nse_fo|VEDL26DEC24470CE</stp>
        <stp>Series/Expiry</stp>
        <tr r="B237" s="1"/>
      </tp>
      <tp t="s">
        <v>26Dec2024</v>
        <stp/>
        <stp>nse_fo|VEDL26DEC24470PE</stp>
        <stp>Series/Expiry</stp>
        <tr r="B247" s="1"/>
      </tp>
      <tp t="s">
        <v>26Dec2024</v>
        <stp/>
        <stp>nse_fo|VEDL26DEC24440CE</stp>
        <stp>Series/Expiry</stp>
        <tr r="B234" s="1"/>
      </tp>
      <tp t="s">
        <v>26Dec2024</v>
        <stp/>
        <stp>nse_fo|VEDL26DEC24440PE</stp>
        <stp>Series/Expiry</stp>
        <tr r="B244" s="1"/>
      </tp>
      <tp t="s">
        <v>26Dec2024</v>
        <stp/>
        <stp>nse_fo|VEDL26DEC24450CE</stp>
        <stp>Series/Expiry</stp>
        <tr r="B235" s="1"/>
      </tp>
      <tp t="s">
        <v>26Dec2024</v>
        <stp/>
        <stp>nse_fo|VEDL26DEC24450PE</stp>
        <stp>Series/Expiry</stp>
        <tr r="B245" s="1"/>
      </tp>
      <tp t="s">
        <v>26Dec2024</v>
        <stp/>
        <stp>nse_fo|VEDL26DEC24420CE</stp>
        <stp>Series/Expiry</stp>
        <tr r="B232" s="1"/>
      </tp>
      <tp t="s">
        <v>26Dec2024</v>
        <stp/>
        <stp>nse_fo|VEDL26DEC24420PE</stp>
        <stp>Series/Expiry</stp>
        <tr r="B242" s="1"/>
      </tp>
      <tp t="s">
        <v>26Dec2024</v>
        <stp/>
        <stp>nse_fo|VEDL26DEC24430CE</stp>
        <stp>Series/Expiry</stp>
        <tr r="B233" s="1"/>
      </tp>
      <tp t="s">
        <v>26Dec2024</v>
        <stp/>
        <stp>nse_fo|VEDL26DEC24430PE</stp>
        <stp>Series/Expiry</stp>
        <tr r="B243" s="1"/>
      </tp>
      <tp t="s">
        <v>26Dec2024</v>
        <stp/>
        <stp>nse_fo|VEDL26DEC24410PE</stp>
        <stp>Series/Expiry</stp>
        <tr r="B241" s="1"/>
      </tp>
      <tp>
        <v>2170000</v>
        <stp/>
        <stp>nse_fo|FEDERALBNK26DEC24217.5CE</stp>
        <stp>Volume Traded Today</stp>
        <tr r="I107" s="1"/>
      </tp>
      <tp>
        <v>1685000</v>
        <stp/>
        <stp>nse_fo|FEDERALBNK26DEC24212.5CE</stp>
        <stp>Volume Traded Today</stp>
        <tr r="I105" s="1"/>
      </tp>
      <tp>
        <v>155000</v>
        <stp/>
        <stp>nse_fo|FEDERALBNK26DEC24207.5CE</stp>
        <stp>Volume Traded Today</stp>
        <tr r="I103" s="1"/>
      </tp>
      <tp>
        <v>35000</v>
        <stp/>
        <stp>nse_fo|FEDERALBNK26DEC24202.5CE</stp>
        <stp>Volume Traded Today</stp>
        <tr r="I101" s="1"/>
      </tp>
      <tp>
        <v>2275000</v>
        <stp/>
        <stp>nse_fo|FEDERALBNK26DEC24222.5CE</stp>
        <stp>Volume Traded Today</stp>
        <tr r="I109" s="1"/>
      </tp>
      <tp>
        <v>73.7</v>
        <stp/>
        <stp>nse_fo|VEDL26DEC24420CE</stp>
        <stp>Ask Rate</stp>
        <tr r="E232" s="1"/>
      </tp>
      <tp>
        <v>61.95</v>
        <stp/>
        <stp>nse_fo|VEDL26DEC24430CE</stp>
        <stp>Ask Rate</stp>
        <tr r="E233" s="1"/>
      </tp>
      <tp>
        <v>52.35</v>
        <stp/>
        <stp>nse_fo|VEDL26DEC24440CE</stp>
        <stp>Ask Rate</stp>
        <tr r="E234" s="1"/>
      </tp>
      <tp>
        <v>43.05</v>
        <stp/>
        <stp>nse_fo|VEDL26DEC24450CE</stp>
        <stp>Ask Rate</stp>
        <tr r="E235" s="1"/>
      </tp>
      <tp>
        <v>34.15</v>
        <stp/>
        <stp>nse_fo|VEDL26DEC24460CE</stp>
        <stp>Ask Rate</stp>
        <tr r="E236" s="1"/>
      </tp>
      <tp>
        <v>26</v>
        <stp/>
        <stp>nse_fo|VEDL26DEC24470CE</stp>
        <stp>Ask Rate</stp>
        <tr r="E237" s="1"/>
      </tp>
      <tp>
        <v>18.850000000000001</v>
        <stp/>
        <stp>nse_fo|VEDL26DEC24480CE</stp>
        <stp>Ask Rate</stp>
        <tr r="E238" s="1"/>
      </tp>
      <tp>
        <v>13.25</v>
        <stp/>
        <stp>nse_fo|VEDL26DEC24490CE</stp>
        <stp>Ask Rate</stp>
        <tr r="E239" s="1"/>
      </tp>
      <tp>
        <v>9.1</v>
        <stp/>
        <stp>nse_fo|VEDL26DEC24500CE</stp>
        <stp>Ask Rate</stp>
        <tr r="E240" s="1"/>
      </tp>
      <tp>
        <v>7538.85</v>
        <stp/>
        <stp>nse_fo|ABB26DEC24FUT</stp>
        <stp xml:space="preserve">Low </stp>
        <tr r="B3" s="1"/>
      </tp>
      <tp>
        <v>551.54999999999995</v>
        <stp/>
        <stp>nse_fo|UPL26DEC24FUT</stp>
        <stp xml:space="preserve">Low </stp>
        <tr r="B15" s="1"/>
      </tp>
      <tp>
        <v>17.3</v>
        <stp/>
        <stp>nse_fo|ABB26DEC246900PE</stp>
        <stp>ATP</stp>
        <tr r="H36" s="1"/>
      </tp>
      <tp>
        <v>13.36</v>
        <stp/>
        <stp>nse_fo|ABB26DEC246800PE</stp>
        <stp>ATP</stp>
        <tr r="H35" s="1"/>
      </tp>
      <tp>
        <v>9.44</v>
        <stp/>
        <stp>nse_fo|ABB26DEC246700PE</stp>
        <stp>ATP</stp>
        <tr r="H34" s="1"/>
      </tp>
      <tp>
        <v>7.94</v>
        <stp/>
        <stp>nse_fo|ABB26DEC246600PE</stp>
        <stp>ATP</stp>
        <tr r="H33" s="1"/>
      </tp>
      <tp>
        <v>6.93</v>
        <stp/>
        <stp>nse_fo|ABB26DEC246500PE</stp>
        <stp>ATP</stp>
        <tr r="H32" s="1"/>
      </tp>
      <tp>
        <v>67450</v>
        <stp/>
        <stp>nse_fo|MOTHERSON26DEC24187.5CE</stp>
        <stp>Ask Qty</stp>
        <tr r="F185" s="1"/>
      </tp>
      <tp>
        <v>63900</v>
        <stp/>
        <stp>nse_fo|MOTHERSON26DEC24182.5CE</stp>
        <stp>Ask Qty</stp>
        <tr r="F183" s="1"/>
      </tp>
      <tp>
        <v>3550</v>
        <stp/>
        <stp>nse_fo|MOTHERSON26DEC24177.5CE</stp>
        <stp>Ask Qty</stp>
        <tr r="F181" s="1"/>
      </tp>
      <tp>
        <v>56800</v>
        <stp/>
        <stp>nse_fo|MOTHERSON26DEC24172.5CE</stp>
        <stp>Ask Qty</stp>
        <tr r="F179" s="1"/>
      </tp>
      <tp>
        <v>46150</v>
        <stp/>
        <stp>nse_fo|MOTHERSON26DEC24167.5CE</stp>
        <stp>Ask Qty</stp>
        <tr r="F177" s="1"/>
      </tp>
      <tp>
        <v>393.3</v>
        <stp/>
        <stp>nse_fo|ABB26DEC247300CE</stp>
        <stp>ATP</stp>
        <tr r="H29" s="1"/>
      </tp>
      <tp>
        <v>485.57</v>
        <stp/>
        <stp>nse_fo|ABB26DEC247200CE</stp>
        <stp>ATP</stp>
        <tr r="H28" s="1"/>
      </tp>
      <tp>
        <v>564.65</v>
        <stp/>
        <stp>nse_fo|ABB26DEC247100CE</stp>
        <stp>ATP</stp>
        <tr r="H27" s="1"/>
      </tp>
      <tp>
        <v>0</v>
        <stp/>
        <stp>nse_fo|ABB26DEC247000CE</stp>
        <stp>ATP</stp>
        <tr r="H26" s="1"/>
      </tp>
      <tp>
        <v>249.43</v>
        <stp/>
        <stp>nse_fo|ABB26DEC247500CE</stp>
        <stp>ATP</stp>
        <tr r="H31" s="1"/>
      </tp>
      <tp>
        <v>310.08999999999997</v>
        <stp/>
        <stp>nse_fo|ABB26DEC247400CE</stp>
        <stp>ATP</stp>
        <tr r="H30" s="1"/>
      </tp>
      <tp>
        <v>0</v>
        <stp/>
        <stp>nse_fo|ABB26DEC246900CE</stp>
        <stp>ATP</stp>
        <tr r="H25" s="1"/>
      </tp>
      <tp>
        <v>0</v>
        <stp/>
        <stp>nse_fo|ABB26DEC246800CE</stp>
        <stp>ATP</stp>
        <tr r="H24" s="1"/>
      </tp>
      <tp>
        <v>920</v>
        <stp/>
        <stp>nse_fo|ABB26DEC246700CE</stp>
        <stp>ATP</stp>
        <tr r="H23" s="1"/>
      </tp>
      <tp>
        <v>0</v>
        <stp/>
        <stp>nse_fo|ABB26DEC246600CE</stp>
        <stp>ATP</stp>
        <tr r="H22" s="1"/>
      </tp>
      <tp>
        <v>0</v>
        <stp/>
        <stp>nse_fo|ABB26DEC246500CE</stp>
        <stp>ATP</stp>
        <tr r="H21" s="1"/>
      </tp>
      <tp>
        <v>42600</v>
        <stp/>
        <stp>nse_fo|MOTHERSON26DEC24167.5PE</stp>
        <stp>Ask Qty</stp>
        <tr r="F189" s="1"/>
      </tp>
      <tp>
        <v>3550</v>
        <stp/>
        <stp>nse_fo|MOTHERSON26DEC24162.5PE</stp>
        <stp>Ask Qty</stp>
        <tr r="F187" s="1"/>
      </tp>
      <tp>
        <v>489.15</v>
        <stp/>
        <stp>nse_fo|VEDL26DEC24FUT</stp>
        <stp xml:space="preserve">Low </stp>
        <tr r="B14" s="1"/>
      </tp>
      <tp>
        <v>214.06</v>
        <stp/>
        <stp>nse_cm|FEDERALBNK-EQ</stp>
        <stp>Bid Rate</stp>
        <tr r="D99" s="1"/>
      </tp>
      <tp>
        <v>690.84</v>
        <stp/>
        <stp>nse_fo|JUBLFOOD26DEC24FUT</stp>
        <stp>ATP</stp>
        <tr r="H134" s="1"/>
      </tp>
      <tp>
        <v>1.85</v>
        <stp/>
        <stp>nse_fo|FEDERALBNK26DEC24222.5CE</stp>
        <stp>LTP</stp>
        <tr r="G109" s="1"/>
      </tp>
      <tp>
        <v>5.75</v>
        <stp/>
        <stp>nse_fo|FEDERALBNK26DEC24212.5CE</stp>
        <stp>LTP</stp>
        <tr r="D22" s="2"/>
        <tr r="G105" s="1"/>
      </tp>
      <tp>
        <v>3.4</v>
        <stp/>
        <stp>nse_fo|FEDERALBNK26DEC24217.5CE</stp>
        <stp>LTP</stp>
        <tr r="G107" s="1"/>
      </tp>
      <tp>
        <v>13.1</v>
        <stp/>
        <stp>nse_fo|FEDERALBNK26DEC24202.5CE</stp>
        <stp>LTP</stp>
        <tr r="G101" s="1"/>
      </tp>
      <tp>
        <v>8.5500000000000007</v>
        <stp/>
        <stp>nse_fo|FEDERALBNK26DEC24207.5CE</stp>
        <stp>LTP</stp>
        <tr r="G103" s="1"/>
      </tp>
      <tp>
        <v>1.1499999999999999</v>
        <stp/>
        <stp>nse_fo|FEDERALBNK26DEC24202.5PE</stp>
        <stp>LTP</stp>
        <tr r="G111" s="1"/>
      </tp>
      <tp>
        <v>2.15</v>
        <stp/>
        <stp>nse_fo|FEDERALBNK26DEC24207.5PE</stp>
        <stp>LTP</stp>
        <tr r="G113" s="1"/>
      </tp>
      <tp>
        <v>3.9</v>
        <stp/>
        <stp>nse_fo|FEDERALBNK26DEC24212.5PE</stp>
        <stp>LTP</stp>
        <tr r="E22" s="2"/>
      </tp>
      <tp>
        <v>0</v>
        <stp/>
        <stp>nse_fo|MOTHERSON26DEC24FUT</stp>
        <stp>Strike Price</stp>
        <tr r="L174" s="1"/>
      </tp>
      <tp t="s">
        <v>26Dec2024</v>
        <stp/>
        <stp>nse_fo|LAURUSLABS26DEC24480CE</stp>
        <stp>Series/Expiry</stp>
        <tr r="B157" s="1"/>
      </tp>
      <tp t="s">
        <v>26Dec2024</v>
        <stp/>
        <stp>nse_fo|LAURUSLABS26DEC24480PE</stp>
        <stp>Series/Expiry</stp>
        <tr r="B168" s="1"/>
      </tp>
      <tp t="s">
        <v>26Dec2024</v>
        <stp/>
        <stp>nse_fo|LAURUSLABS26DEC24490CE</stp>
        <stp>Series/Expiry</stp>
        <tr r="B158" s="1"/>
      </tp>
      <tp t="s">
        <v>26Dec2024</v>
        <stp/>
        <stp>nse_fo|LAURUSLABS26DEC24490PE</stp>
        <stp>Series/Expiry</stp>
        <tr r="B169" s="1"/>
      </tp>
      <tp t="s">
        <v>26Dec2024</v>
        <stp/>
        <stp>nse_fo|LAURUSLABS26DEC24470CE</stp>
        <stp>Series/Expiry</stp>
        <tr r="B156" s="1"/>
      </tp>
      <tp t="s">
        <v>26Dec2024</v>
        <stp/>
        <stp>nse_fo|LAURUSLABS26DEC24470PE</stp>
        <stp>Series/Expiry</stp>
        <tr r="B167" s="1"/>
      </tp>
      <tp>
        <v>9499280</v>
        <stp/>
        <stp>nse_cm|TATAMOTORS-EQ</stp>
        <stp>Volume Traded Today</stp>
        <tr r="I59" s="1"/>
        <tr r="I214" s="1"/>
      </tp>
      <tp>
        <v>455174</v>
        <stp/>
        <stp>nse_cm|MUTHOOTFIN-EQ</stp>
        <stp>Volume Traded Today</stp>
        <tr r="I194" s="1"/>
      </tp>
      <tp t="s">
        <v>26Dec2024</v>
        <stp/>
        <stp>nse_fo|LAURUSLABS26DEC24520CE</stp>
        <stp>Series/Expiry</stp>
        <tr r="B161" s="1"/>
      </tp>
      <tp t="s">
        <v>26Dec2024</v>
        <stp/>
        <stp>nse_fo|LAURUSLABS26DEC24530CE</stp>
        <stp>Series/Expiry</stp>
        <tr r="B162" s="1"/>
      </tp>
      <tp t="s">
        <v>26Dec2024</v>
        <stp/>
        <stp>nse_fo|LAURUSLABS26DEC24500CE</stp>
        <stp>Series/Expiry</stp>
        <tr r="B159" s="1"/>
      </tp>
      <tp t="s">
        <v>26Dec2024</v>
        <stp/>
        <stp>nse_fo|LAURUSLABS26DEC24500PE</stp>
        <stp>Series/Expiry</stp>
        <tr r="B170" s="1"/>
      </tp>
      <tp t="s">
        <v>26Dec2024</v>
        <stp/>
        <stp>nse_fo|LAURUSLABS26DEC24510CE</stp>
        <stp>Series/Expiry</stp>
        <tr r="B160" s="1"/>
      </tp>
      <tp t="s">
        <v>26Dec2024</v>
        <stp/>
        <stp>nse_fo|LAURUSLABS26DEC24510PE</stp>
        <stp>Series/Expiry</stp>
        <tr r="B171" s="1"/>
      </tp>
      <tp t="s">
        <v>26Dec2024</v>
        <stp/>
        <stp>nse_fo|LAURUSLABS26DEC24560CE</stp>
        <stp>Series/Expiry</stp>
        <tr r="B165" s="1"/>
      </tp>
      <tp t="s">
        <v>26Dec2024</v>
        <stp/>
        <stp>nse_fo|LAURUSLABS26DEC24570CE</stp>
        <stp>Series/Expiry</stp>
        <tr r="B166" s="1"/>
      </tp>
      <tp t="s">
        <v>26Dec2024</v>
        <stp/>
        <stp>nse_fo|LAURUSLABS26DEC24540CE</stp>
        <stp>Series/Expiry</stp>
        <tr r="B163" s="1"/>
      </tp>
      <tp t="s">
        <v>26Dec2024</v>
        <stp/>
        <stp>nse_fo|LAURUSLABS26DEC24550CE</stp>
        <stp>Series/Expiry</stp>
        <tr r="B164" s="1"/>
      </tp>
      <tp>
        <v>21300</v>
        <stp/>
        <stp>nse_fo|MOTHERSON26DEC24162.5PE</stp>
        <stp>Bid Qty</stp>
        <tr r="C187" s="1"/>
      </tp>
      <tp>
        <v>10650</v>
        <stp/>
        <stp>nse_fo|MOTHERSON26DEC24167.5PE</stp>
        <stp>Bid Qty</stp>
        <tr r="C189" s="1"/>
      </tp>
      <tp>
        <v>213.76</v>
        <stp/>
        <stp>nse_cm|FEDERALBNK-EQ</stp>
        <stp>ATP</stp>
        <tr r="H99" s="1"/>
      </tp>
      <tp>
        <v>7100</v>
        <stp/>
        <stp>nse_fo|MOTHERSON26DEC24172.5CE</stp>
        <stp>Bid Qty</stp>
        <tr r="C179" s="1"/>
      </tp>
      <tp>
        <v>49700</v>
        <stp/>
        <stp>nse_fo|MOTHERSON26DEC24177.5CE</stp>
        <stp>Bid Qty</stp>
        <tr r="C181" s="1"/>
      </tp>
      <tp>
        <v>42600</v>
        <stp/>
        <stp>nse_fo|MOTHERSON26DEC24167.5CE</stp>
        <stp>Bid Qty</stp>
        <tr r="C177" s="1"/>
      </tp>
      <tp>
        <v>85200</v>
        <stp/>
        <stp>nse_fo|MOTHERSON26DEC24182.5CE</stp>
        <stp>Bid Qty</stp>
        <tr r="C183" s="1"/>
      </tp>
      <tp>
        <v>95850</v>
        <stp/>
        <stp>nse_fo|MOTHERSON26DEC24187.5CE</stp>
        <stp>Bid Qty</stp>
        <tr r="C185" s="1"/>
      </tp>
      <tp>
        <v>550</v>
        <stp/>
        <stp>nse_fo|MUTHOOTFIN26DEC241820PE</stp>
        <stp>Ask Qty</stp>
        <tr r="F207" s="1"/>
      </tp>
      <tp>
        <v>825</v>
        <stp/>
        <stp>nse_fo|MUTHOOTFIN26DEC241800PE</stp>
        <stp>Ask Qty</stp>
        <tr r="F206" s="1"/>
      </tp>
      <tp>
        <v>550</v>
        <stp/>
        <stp>nse_fo|MUTHOOTFIN26DEC241860PE</stp>
        <stp>Ask Qty</stp>
        <tr r="F209" s="1"/>
      </tp>
      <tp>
        <v>550</v>
        <stp/>
        <stp>nse_fo|MUTHOOTFIN26DEC241840PE</stp>
        <stp>Ask Qty</stp>
        <tr r="F208" s="1"/>
      </tp>
      <tp>
        <v>275</v>
        <stp/>
        <stp>nse_fo|MUTHOOTFIN26DEC241880PE</stp>
        <stp>Ask Qty</stp>
        <tr r="F210" s="1"/>
      </tp>
      <tp>
        <v>275</v>
        <stp/>
        <stp>nse_fo|MUTHOOTFIN26DEC242020CE</stp>
        <stp>Ask Qty</stp>
        <tr r="F203" s="1"/>
      </tp>
      <tp>
        <v>275</v>
        <stp/>
        <stp>nse_fo|MUTHOOTFIN26DEC242000CE</stp>
        <stp>Ask Qty</stp>
        <tr r="F202" s="1"/>
      </tp>
      <tp>
        <v>550</v>
        <stp/>
        <stp>nse_fo|MUTHOOTFIN26DEC242060CE</stp>
        <stp>Ask Qty</stp>
        <tr r="F205" s="1"/>
      </tp>
      <tp>
        <v>550</v>
        <stp/>
        <stp>nse_fo|MUTHOOTFIN26DEC242040CE</stp>
        <stp>Ask Qty</stp>
        <tr r="F204" s="1"/>
      </tp>
      <tp>
        <v>275</v>
        <stp/>
        <stp>nse_fo|MUTHOOTFIN26DEC241920CE</stp>
        <stp>Ask Qty</stp>
        <tr r="F198" s="1"/>
      </tp>
      <tp>
        <v>275</v>
        <stp/>
        <stp>nse_fo|MUTHOOTFIN26DEC241900CE</stp>
        <stp>Ask Qty</stp>
        <tr r="F197" s="1"/>
      </tp>
      <tp>
        <v>275</v>
        <stp/>
        <stp>nse_fo|MUTHOOTFIN26DEC241960CE</stp>
        <stp>Ask Qty</stp>
        <tr r="F200" s="1"/>
      </tp>
      <tp>
        <v>275</v>
        <stp/>
        <stp>nse_fo|MUTHOOTFIN26DEC241940CE</stp>
        <stp>Ask Qty</stp>
        <tr r="F199" s="1"/>
      </tp>
      <tp>
        <v>275</v>
        <stp/>
        <stp>nse_fo|MUTHOOTFIN26DEC241980CE</stp>
        <stp>Ask Qty</stp>
        <tr r="F201" s="1"/>
      </tp>
      <tp>
        <v>825</v>
        <stp/>
        <stp>nse_fo|MUTHOOTFIN26DEC241860CE</stp>
        <stp>Ask Qty</stp>
        <tr r="F195" s="1"/>
      </tp>
      <tp>
        <v>1100</v>
        <stp/>
        <stp>nse_fo|MUTHOOTFIN26DEC241880CE</stp>
        <stp>Ask Qty</stp>
        <tr r="F196" s="1"/>
      </tp>
      <tp>
        <v>694.65</v>
        <stp/>
        <stp>nse_fo|JUBLFOOD26DEC24FUT</stp>
        <stp>LTP</stp>
        <tr r="D9" s="1"/>
        <tr r="B31" s="2"/>
        <tr r="G134" s="1"/>
      </tp>
      <tp>
        <v>16.600000000000001</v>
        <stp/>
        <stp>nse_fo|ABB26DEC246900PE</stp>
        <stp>Bid Rate</stp>
        <tr r="D36" s="1"/>
      </tp>
      <tp>
        <v>12.1</v>
        <stp/>
        <stp>nse_fo|ABB26DEC246800PE</stp>
        <stp>Bid Rate</stp>
        <tr r="D35" s="1"/>
      </tp>
      <tp>
        <v>8.0500000000000007</v>
        <stp/>
        <stp>nse_fo|ABB26DEC246700PE</stp>
        <stp>Bid Rate</stp>
        <tr r="D34" s="1"/>
      </tp>
      <tp>
        <v>7.5</v>
        <stp/>
        <stp>nse_fo|ABB26DEC246600PE</stp>
        <stp>Bid Rate</stp>
        <tr r="D33" s="1"/>
      </tp>
      <tp>
        <v>6.5</v>
        <stp/>
        <stp>nse_fo|ABB26DEC246500PE</stp>
        <stp>Bid Rate</stp>
        <tr r="D32" s="1"/>
      </tp>
      <tp>
        <v>1000</v>
        <stp/>
        <stp>nse_fo|BSOFT26DEC24520PE</stp>
        <stp>Bid Qty</stp>
        <tr r="C91" s="1"/>
      </tp>
      <tp>
        <v>9000</v>
        <stp/>
        <stp>nse_fo|BSOFT26DEC24530PE</stp>
        <stp>Bid Qty</stp>
        <tr r="C92" s="1"/>
      </tp>
      <tp>
        <v>4000</v>
        <stp/>
        <stp>nse_fo|BSOFT26DEC24560PE</stp>
        <stp>Bid Qty</stp>
        <tr r="C95" s="1"/>
      </tp>
      <tp>
        <v>18000</v>
        <stp/>
        <stp>nse_fo|BSOFT26DEC24540PE</stp>
        <stp>Bid Qty</stp>
        <tr r="C93" s="1"/>
      </tp>
      <tp>
        <v>17000</v>
        <stp/>
        <stp>nse_fo|BSOFT26DEC24550PE</stp>
        <stp>Bid Qty</stp>
        <tr r="C94" s="1"/>
      </tp>
      <tp>
        <v>5000</v>
        <stp/>
        <stp>nse_fo|BSOFT26DEC24620CE</stp>
        <stp>Bid Qty</stp>
        <tr r="C88" s="1"/>
      </tp>
      <tp>
        <v>1000</v>
        <stp/>
        <stp>nse_fo|BSOFT26DEC24630CE</stp>
        <stp>Bid Qty</stp>
        <tr r="C89" s="1"/>
      </tp>
      <tp>
        <v>4000</v>
        <stp/>
        <stp>nse_fo|BSOFT26DEC24600CE</stp>
        <stp>Bid Qty</stp>
        <tr r="C86" s="1"/>
      </tp>
      <tp>
        <v>1000</v>
        <stp/>
        <stp>nse_fo|BSOFT26DEC24610CE</stp>
        <stp>Bid Qty</stp>
        <tr r="C87" s="1"/>
      </tp>
      <tp>
        <v>4000</v>
        <stp/>
        <stp>nse_fo|BSOFT26DEC24640CE</stp>
        <stp>Bid Qty</stp>
        <tr r="C90" s="1"/>
      </tp>
      <tp>
        <v>1000</v>
        <stp/>
        <stp>nse_fo|BSOFT26DEC24560CE</stp>
        <stp>Bid Qty</stp>
        <tr r="C82" s="1"/>
      </tp>
      <tp>
        <v>1000</v>
        <stp/>
        <stp>nse_fo|BSOFT26DEC24570CE</stp>
        <stp>Bid Qty</stp>
        <tr r="C83" s="1"/>
      </tp>
      <tp>
        <v>2000</v>
        <stp/>
        <stp>nse_fo|BSOFT26DEC24540CE</stp>
        <stp>Bid Qty</stp>
        <tr r="C80" s="1"/>
      </tp>
      <tp>
        <v>1000</v>
        <stp/>
        <stp>nse_fo|BSOFT26DEC24550CE</stp>
        <stp>Bid Qty</stp>
        <tr r="C81" s="1"/>
      </tp>
      <tp>
        <v>2000</v>
        <stp/>
        <stp>nse_fo|BSOFT26DEC24580CE</stp>
        <stp>Bid Qty</stp>
        <tr r="C84" s="1"/>
      </tp>
      <tp>
        <v>1000</v>
        <stp/>
        <stp>nse_fo|BSOFT26DEC24590CE</stp>
        <stp>Bid Qty</stp>
        <tr r="C85" s="1"/>
      </tp>
      <tp>
        <v>1218.1500000000001</v>
        <stp/>
        <stp>nse_cm|ADANIGREEN-EQ</stp>
        <stp>Bid Rate</stp>
        <tr r="D40" s="1"/>
      </tp>
      <tp>
        <v>16.149999999999999</v>
        <stp/>
        <stp>nse_fo|ABB26DEC246900PE</stp>
        <stp>LTP</stp>
        <tr r="G36" s="1"/>
      </tp>
      <tp>
        <v>11.45</v>
        <stp/>
        <stp>nse_fo|ABB26DEC246800PE</stp>
        <stp>LTP</stp>
        <tr r="G35" s="1"/>
      </tp>
      <tp>
        <v>9.1</v>
        <stp/>
        <stp>nse_fo|ABB26DEC246700PE</stp>
        <stp>LTP</stp>
        <tr r="G34" s="1"/>
      </tp>
      <tp>
        <v>8</v>
        <stp/>
        <stp>nse_fo|ABB26DEC246600PE</stp>
        <stp>LTP</stp>
        <tr r="G33" s="1"/>
      </tp>
      <tp>
        <v>8.6999999999999993</v>
        <stp/>
        <stp>nse_fo|ABB26DEC246500PE</stp>
        <stp>LTP</stp>
        <tr r="G32" s="1"/>
      </tp>
      <tp>
        <v>221.2</v>
        <stp/>
        <stp>nse_fo|ABB26DEC247700PE</stp>
        <stp>LTP</stp>
        <tr r="E3" s="2"/>
      </tp>
      <tp>
        <v>171</v>
        <stp/>
        <stp>nse_fo|ABB26DEC247600PE</stp>
        <stp>LTP</stp>
        <tr r="E4" s="2"/>
      </tp>
      <tp t="e">
        <v>#N/A</v>
        <stp/>
        <stp>nse_fo|NIFTY26OCT2319450PE</stp>
        <stp>Bid Rate</stp>
        <tr r="D302" s="4"/>
      </tp>
      <tp>
        <v>550</v>
        <stp/>
        <stp>nse_fo|TATAMOTORS26DEC24FUT</stp>
        <stp>Ask Qty</stp>
        <tr r="F213" s="1"/>
        <tr r="F58" s="1"/>
      </tp>
      <tp t="e">
        <v>#N/A</v>
        <stp/>
        <stp>nse_fo|NIFTY26OCT2319500PE</stp>
        <stp>Bid Rate</stp>
        <tr r="D303" s="4"/>
      </tp>
      <tp>
        <v>393.3</v>
        <stp/>
        <stp>nse_fo|ABB26DEC247300CE</stp>
        <stp>LTP</stp>
        <tr r="G29" s="1"/>
      </tp>
      <tp>
        <v>485.65</v>
        <stp/>
        <stp>nse_fo|ABB26DEC247200CE</stp>
        <stp>LTP</stp>
        <tr r="G28" s="1"/>
      </tp>
      <tp>
        <v>542</v>
        <stp/>
        <stp>nse_fo|ABB26DEC247100CE</stp>
        <stp>LTP</stp>
        <tr r="G27" s="1"/>
      </tp>
      <tp>
        <v>604.6</v>
        <stp/>
        <stp>nse_fo|ABB26DEC247000CE</stp>
        <stp>LTP</stp>
        <tr r="G26" s="1"/>
      </tp>
      <tp>
        <v>144</v>
        <stp/>
        <stp>nse_fo|ABB26DEC247700CE</stp>
        <stp>LTP</stp>
        <tr r="D3" s="2"/>
      </tp>
      <tp>
        <v>191.95</v>
        <stp/>
        <stp>nse_fo|ABB26DEC247600CE</stp>
        <stp>LTP</stp>
        <tr r="D4" s="2"/>
      </tp>
      <tp>
        <v>241.1</v>
        <stp/>
        <stp>nse_fo|ABB26DEC247500CE</stp>
        <stp>LTP</stp>
        <tr r="G31" s="1"/>
      </tp>
      <tp>
        <v>303.89999999999998</v>
        <stp/>
        <stp>nse_fo|ABB26DEC247400CE</stp>
        <stp>LTP</stp>
        <tr r="G30" s="1"/>
      </tp>
      <tp>
        <v>635.45000000000005</v>
        <stp/>
        <stp>nse_fo|ABB26DEC246900CE</stp>
        <stp>LTP</stp>
        <tr r="G25" s="1"/>
      </tp>
      <tp>
        <v>765.1</v>
        <stp/>
        <stp>nse_fo|ABB26DEC246800CE</stp>
        <stp>LTP</stp>
        <tr r="G24" s="1"/>
      </tp>
      <tp>
        <v>920</v>
        <stp/>
        <stp>nse_fo|ABB26DEC246700CE</stp>
        <stp>LTP</stp>
        <tr r="G23" s="1"/>
      </tp>
      <tp>
        <v>455</v>
        <stp/>
        <stp>nse_fo|ABB26DEC246600CE</stp>
        <stp>LTP</stp>
        <tr r="G22" s="1"/>
      </tp>
      <tp>
        <v>1127.6500000000001</v>
        <stp/>
        <stp>nse_fo|ABB26DEC246500CE</stp>
        <stp>LTP</stp>
        <tr r="G21" s="1"/>
      </tp>
      <tp>
        <v>1000</v>
        <stp/>
        <stp>nse_fo|BSOFT26DEC24560CE</stp>
        <stp>Ask Qty</stp>
        <tr r="F82" s="1"/>
      </tp>
      <tp>
        <v>4000</v>
        <stp/>
        <stp>nse_fo|BSOFT26DEC24570CE</stp>
        <stp>Ask Qty</stp>
        <tr r="F83" s="1"/>
      </tp>
      <tp>
        <v>3000</v>
        <stp/>
        <stp>nse_fo|BSOFT26DEC24540CE</stp>
        <stp>Ask Qty</stp>
        <tr r="F80" s="1"/>
      </tp>
      <tp>
        <v>1000</v>
        <stp/>
        <stp>nse_fo|BSOFT26DEC24550CE</stp>
        <stp>Ask Qty</stp>
        <tr r="F81" s="1"/>
      </tp>
      <tp>
        <v>1000</v>
        <stp/>
        <stp>nse_fo|BSOFT26DEC24580CE</stp>
        <stp>Ask Qty</stp>
        <tr r="F84" s="1"/>
      </tp>
      <tp>
        <v>1000</v>
        <stp/>
        <stp>nse_fo|BSOFT26DEC24590CE</stp>
        <stp>Ask Qty</stp>
        <tr r="F85" s="1"/>
      </tp>
      <tp>
        <v>2000</v>
        <stp/>
        <stp>nse_fo|BSOFT26DEC24620CE</stp>
        <stp>Ask Qty</stp>
        <tr r="F88" s="1"/>
      </tp>
      <tp>
        <v>2000</v>
        <stp/>
        <stp>nse_fo|BSOFT26DEC24630CE</stp>
        <stp>Ask Qty</stp>
        <tr r="F89" s="1"/>
      </tp>
      <tp>
        <v>3000</v>
        <stp/>
        <stp>nse_fo|BSOFT26DEC24600CE</stp>
        <stp>Ask Qty</stp>
        <tr r="F86" s="1"/>
      </tp>
      <tp>
        <v>5000</v>
        <stp/>
        <stp>nse_fo|BSOFT26DEC24610CE</stp>
        <stp>Ask Qty</stp>
        <tr r="F87" s="1"/>
      </tp>
      <tp>
        <v>4000</v>
        <stp/>
        <stp>nse_fo|BSOFT26DEC24640CE</stp>
        <stp>Ask Qty</stp>
        <tr r="F90" s="1"/>
      </tp>
      <tp>
        <v>2000</v>
        <stp/>
        <stp>nse_fo|BSOFT26DEC24520PE</stp>
        <stp>Ask Qty</stp>
        <tr r="F91" s="1"/>
      </tp>
      <tp>
        <v>2000</v>
        <stp/>
        <stp>nse_fo|BSOFT26DEC24530PE</stp>
        <stp>Ask Qty</stp>
        <tr r="F92" s="1"/>
      </tp>
      <tp>
        <v>12000</v>
        <stp/>
        <stp>nse_fo|BSOFT26DEC24560PE</stp>
        <stp>Ask Qty</stp>
        <tr r="F95" s="1"/>
      </tp>
      <tp>
        <v>10000</v>
        <stp/>
        <stp>nse_fo|BSOFT26DEC24540PE</stp>
        <stp>Ask Qty</stp>
        <tr r="F93" s="1"/>
      </tp>
      <tp>
        <v>7000</v>
        <stp/>
        <stp>nse_fo|BSOFT26DEC24550PE</stp>
        <stp>Ask Qty</stp>
        <tr r="F94" s="1"/>
      </tp>
      <tp>
        <v>5500</v>
        <stp/>
        <stp>nse_fo|TATAMOTORS26DEC24FUT</stp>
        <stp>Bid Qty</stp>
        <tr r="C213" s="1"/>
        <tr r="C58" s="1"/>
      </tp>
      <tp>
        <v>214.06</v>
        <stp/>
        <stp>nse_cm|FEDERALBNK-EQ</stp>
        <stp>LTP</stp>
        <tr r="C7" s="1"/>
        <tr r="G99" s="1"/>
      </tp>
      <tp t="s">
        <v>26Dec2024</v>
        <stp/>
        <stp>nse_fo|FEDERALBNK26DEC24207.5PE</stp>
        <stp>Series/Expiry</stp>
        <tr r="B113" s="1"/>
      </tp>
      <tp t="s">
        <v>26Dec2024</v>
        <stp/>
        <stp>nse_fo|FEDERALBNK26DEC24217.5CE</stp>
        <stp>Series/Expiry</stp>
        <tr r="B107" s="1"/>
      </tp>
      <tp t="s">
        <v>26Dec2024</v>
        <stp/>
        <stp>nse_fo|FEDERALBNK26DEC24207.5CE</stp>
        <stp>Series/Expiry</stp>
        <tr r="B103" s="1"/>
      </tp>
      <tp>
        <v>1.3</v>
        <stp/>
        <stp>nse_fo|MUTHOOTFIN26DEC24FUT</stp>
        <stp>% Change</stp>
        <tr r="J193" s="1"/>
        <tr r="E12" s="1"/>
      </tp>
      <tp>
        <v>-1.58</v>
        <stp/>
        <stp>nse_fo|TATAMOTORS26DEC24FUT</stp>
        <stp>% Change</stp>
        <tr r="J213" s="1"/>
        <tr r="J58" s="1"/>
        <tr r="E13" s="1"/>
        <tr r="E5" s="1"/>
      </tp>
      <tp>
        <v>550</v>
        <stp/>
        <stp>nse_fo|MUTHOOTFIN26DEC241860CE</stp>
        <stp>Bid Qty</stp>
        <tr r="C195" s="1"/>
      </tp>
      <tp>
        <v>275</v>
        <stp/>
        <stp>nse_fo|MUTHOOTFIN26DEC241880CE</stp>
        <stp>Bid Qty</stp>
        <tr r="C196" s="1"/>
      </tp>
      <tp>
        <v>275</v>
        <stp/>
        <stp>nse_fo|MUTHOOTFIN26DEC241920CE</stp>
        <stp>Bid Qty</stp>
        <tr r="C198" s="1"/>
      </tp>
      <tp>
        <v>550</v>
        <stp/>
        <stp>nse_fo|MUTHOOTFIN26DEC241900CE</stp>
        <stp>Bid Qty</stp>
        <tr r="C197" s="1"/>
      </tp>
      <tp>
        <v>550</v>
        <stp/>
        <stp>nse_fo|MUTHOOTFIN26DEC241960CE</stp>
        <stp>Bid Qty</stp>
        <tr r="C200" s="1"/>
      </tp>
      <tp>
        <v>275</v>
        <stp/>
        <stp>nse_fo|MUTHOOTFIN26DEC241940CE</stp>
        <stp>Bid Qty</stp>
        <tr r="C199" s="1"/>
      </tp>
      <tp>
        <v>275</v>
        <stp/>
        <stp>nse_fo|MUTHOOTFIN26DEC241980CE</stp>
        <stp>Bid Qty</stp>
        <tr r="C201" s="1"/>
      </tp>
      <tp>
        <v>275</v>
        <stp/>
        <stp>nse_fo|MUTHOOTFIN26DEC242020CE</stp>
        <stp>Bid Qty</stp>
        <tr r="C203" s="1"/>
      </tp>
      <tp>
        <v>275</v>
        <stp/>
        <stp>nse_fo|MUTHOOTFIN26DEC242000CE</stp>
        <stp>Bid Qty</stp>
        <tr r="C202" s="1"/>
      </tp>
      <tp>
        <v>275</v>
        <stp/>
        <stp>nse_fo|MUTHOOTFIN26DEC242060CE</stp>
        <stp>Bid Qty</stp>
        <tr r="C205" s="1"/>
      </tp>
      <tp>
        <v>275</v>
        <stp/>
        <stp>nse_fo|MUTHOOTFIN26DEC242040CE</stp>
        <stp>Bid Qty</stp>
        <tr r="C204" s="1"/>
      </tp>
      <tp>
        <v>1.89</v>
        <stp/>
        <stp>nse_fo|FEDERALBNK26DEC24222.5CE</stp>
        <stp>ATP</stp>
        <tr r="H109" s="1"/>
      </tp>
      <tp>
        <v>5.74</v>
        <stp/>
        <stp>nse_fo|FEDERALBNK26DEC24212.5CE</stp>
        <stp>ATP</stp>
        <tr r="H105" s="1"/>
      </tp>
      <tp>
        <v>3.44</v>
        <stp/>
        <stp>nse_fo|FEDERALBNK26DEC24217.5CE</stp>
        <stp>ATP</stp>
        <tr r="H107" s="1"/>
      </tp>
      <tp>
        <v>12.96</v>
        <stp/>
        <stp>nse_fo|FEDERALBNK26DEC24202.5CE</stp>
        <stp>ATP</stp>
        <tr r="H101" s="1"/>
      </tp>
      <tp>
        <v>8.7799999999999994</v>
        <stp/>
        <stp>nse_fo|FEDERALBNK26DEC24207.5CE</stp>
        <stp>ATP</stp>
        <tr r="H103" s="1"/>
      </tp>
      <tp>
        <v>550</v>
        <stp/>
        <stp>nse_fo|MUTHOOTFIN26DEC241820PE</stp>
        <stp>Bid Qty</stp>
        <tr r="C207" s="1"/>
      </tp>
      <tp>
        <v>1100</v>
        <stp/>
        <stp>nse_fo|MUTHOOTFIN26DEC241800PE</stp>
        <stp>Bid Qty</stp>
        <tr r="C206" s="1"/>
      </tp>
      <tp>
        <v>550</v>
        <stp/>
        <stp>nse_fo|MUTHOOTFIN26DEC241860PE</stp>
        <stp>Bid Qty</stp>
        <tr r="C209" s="1"/>
      </tp>
      <tp>
        <v>275</v>
        <stp/>
        <stp>nse_fo|MUTHOOTFIN26DEC241840PE</stp>
        <stp>Bid Qty</stp>
        <tr r="C208" s="1"/>
      </tp>
      <tp>
        <v>275</v>
        <stp/>
        <stp>nse_fo|MUTHOOTFIN26DEC241880PE</stp>
        <stp>Bid Qty</stp>
        <tr r="C210" s="1"/>
      </tp>
      <tp t="e">
        <v>#N/A</v>
        <stp/>
        <stp>nse_fo|NIFTY26OCT2319500PE</stp>
        <stp>Volume Traded Today</stp>
        <tr r="I303" s="4"/>
      </tp>
      <tp t="e">
        <v>#N/A</v>
        <stp/>
        <stp>nse_fo|NIFTY26OCT2319450PE</stp>
        <stp>Volume Traded Today</stp>
        <tr r="I302" s="4"/>
      </tp>
      <tp>
        <v>-48.58</v>
        <stp/>
        <stp>nse_fo|HDFCAMC26DEC244050PE</stp>
        <stp>% Change</stp>
        <tr r="J128" s="1"/>
      </tp>
      <tp>
        <v>-46.54</v>
        <stp/>
        <stp>nse_fo|HDFCAMC26DEC244000PE</stp>
        <stp>% Change</stp>
        <tr r="J127" s="1"/>
      </tp>
      <tp>
        <v>1.28</v>
        <stp/>
        <stp>nse_fo|FEDERALBNK26DEC24202.5PE</stp>
        <stp>ATP</stp>
        <tr r="H111" s="1"/>
      </tp>
      <tp>
        <v>2.34</v>
        <stp/>
        <stp>nse_fo|FEDERALBNK26DEC24207.5PE</stp>
        <stp>ATP</stp>
        <tr r="H113" s="1"/>
      </tp>
      <tp>
        <v>-74.02</v>
        <stp/>
        <stp>nse_fo|HDFCAMC26DEC244150PE</stp>
        <stp>% Change</stp>
        <tr r="J130" s="1"/>
      </tp>
      <tp>
        <v>-51.32</v>
        <stp/>
        <stp>nse_fo|HDFCAMC26DEC244100PE</stp>
        <stp>% Change</stp>
        <tr r="J129" s="1"/>
      </tp>
      <tp>
        <v>-53.02</v>
        <stp/>
        <stp>nse_fo|HDFCAMC26DEC244200PE</stp>
        <stp>% Change</stp>
        <tr r="J131" s="1"/>
      </tp>
      <tp t="s">
        <v>EQ</v>
        <stp/>
        <stp>nse_cm|JUBLFOOD-EQ</stp>
        <stp>Series/Expiry</stp>
        <tr r="B135" s="1"/>
      </tp>
      <tp t="s">
        <v>CE</v>
        <stp/>
        <stp>nse_fo|MOTHERSON26DEC24180CE</stp>
        <stp>Option Type</stp>
        <tr r="M182" s="1"/>
      </tp>
      <tp t="s">
        <v>CE</v>
        <stp/>
        <stp>nse_fo|MOTHERSON26DEC24170CE</stp>
        <stp>Option Type</stp>
        <tr r="M178" s="1"/>
      </tp>
      <tp t="s">
        <v>PE</v>
        <stp/>
        <stp>nse_fo|MOTHERSON26DEC24170PE</stp>
        <stp>Option Type</stp>
        <tr r="M190" s="1"/>
      </tp>
      <tp t="s">
        <v>PE</v>
        <stp/>
        <stp>nse_fo|MOTHERSON26DEC24160PE</stp>
        <stp>Option Type</stp>
        <tr r="M186" s="1"/>
      </tp>
      <tp>
        <v>574.29999999999995</v>
        <stp/>
        <stp>nse_cm|LAURUSLABS-EQ</stp>
        <stp>Ask Rate</stp>
        <tr r="E155" s="1"/>
      </tp>
      <tp t="s">
        <v>ABB</v>
        <stp/>
        <stp>nse_fo|ABB26DEC246600CE</stp>
        <stp>Symbol</stp>
        <tr r="A33" s="1"/>
        <tr r="A22" s="1"/>
      </tp>
      <tp t="s">
        <v>ABB</v>
        <stp/>
        <stp>nse_fo|ABB26DEC246700CE</stp>
        <stp>Symbol</stp>
        <tr r="A23" s="1"/>
        <tr r="A34" s="1"/>
      </tp>
      <tp t="s">
        <v>ABB</v>
        <stp/>
        <stp>nse_fo|ABB26DEC246500CE</stp>
        <stp>Symbol</stp>
        <tr r="A21" s="1"/>
        <tr r="A32" s="1"/>
      </tp>
      <tp t="s">
        <v>ABB</v>
        <stp/>
        <stp>nse_fo|ABB26DEC246800CE</stp>
        <stp>Symbol</stp>
        <tr r="A24" s="1"/>
        <tr r="A35" s="1"/>
      </tp>
      <tp t="s">
        <v>ABB</v>
        <stp/>
        <stp>nse_fo|ABB26DEC246900CE</stp>
        <stp>Symbol</stp>
        <tr r="A25" s="1"/>
        <tr r="A36" s="1"/>
      </tp>
      <tp t="s">
        <v>ABB</v>
        <stp/>
        <stp>nse_fo|ABB26DEC247400CE</stp>
        <stp>Symbol</stp>
        <tr r="A30" s="1"/>
      </tp>
      <tp t="s">
        <v>ABB</v>
        <stp/>
        <stp>nse_fo|ABB26DEC247500CE</stp>
        <stp>Symbol</stp>
        <tr r="A31" s="1"/>
      </tp>
      <tp t="s">
        <v>ABB</v>
        <stp/>
        <stp>nse_fo|ABB26DEC247200CE</stp>
        <stp>Symbol</stp>
        <tr r="A28" s="1"/>
      </tp>
      <tp t="s">
        <v>ABB</v>
        <stp/>
        <stp>nse_fo|ABB26DEC247300CE</stp>
        <stp>Symbol</stp>
        <tr r="A29" s="1"/>
      </tp>
      <tp t="s">
        <v>ABB</v>
        <stp/>
        <stp>nse_fo|ABB26DEC247000CE</stp>
        <stp>Symbol</stp>
        <tr r="A26" s="1"/>
      </tp>
      <tp t="s">
        <v>ABB</v>
        <stp/>
        <stp>nse_fo|ABB26DEC247100CE</stp>
        <stp>Symbol</stp>
        <tr r="A27" s="1"/>
      </tp>
      <tp>
        <v>1343</v>
        <stp/>
        <stp>nse_fo|NIFTY26DEC2423400CE</stp>
        <stp>LTP</stp>
        <tr r="D42" s="2"/>
      </tp>
      <tp>
        <v>1294.5999999999999</v>
        <stp/>
        <stp>nse_fo|NIFTY26DEC2423450CE</stp>
        <stp>LTP</stp>
        <tr r="D43" s="2"/>
      </tp>
      <tp>
        <v>306.5</v>
        <stp/>
        <stp>nse_fo|NIFTY26DEC2424700CE</stp>
        <stp>LTP</stp>
        <tr r="D39" s="2"/>
      </tp>
      <tp>
        <v>279.89999999999998</v>
        <stp/>
        <stp>nse_fo|NIFTY26DEC2424750CE</stp>
        <stp>LTP</stp>
        <tr r="D38" s="2"/>
      </tp>
      <tp>
        <v>30.25</v>
        <stp/>
        <stp>nse_fo|NIFTY26DEC2423400PE</stp>
        <stp>LTP</stp>
        <tr r="E42" s="2"/>
      </tp>
      <tp>
        <v>32.700000000000003</v>
        <stp/>
        <stp>nse_fo|NIFTY26DEC2423450PE</stp>
        <stp>LTP</stp>
        <tr r="E43" s="2"/>
      </tp>
      <tp>
        <v>285.05</v>
        <stp/>
        <stp>nse_fo|NIFTY26DEC2424700PE</stp>
        <stp>LTP</stp>
        <tr r="E39" s="2"/>
      </tp>
      <tp>
        <v>306.95</v>
        <stp/>
        <stp>nse_fo|NIFTY26DEC2424750PE</stp>
        <stp>LTP</stp>
        <tr r="E38" s="2"/>
      </tp>
      <tp>
        <v>7250</v>
        <stp/>
        <stp>nse_fo|ABB26DEC247400CE</stp>
        <stp>Volume Traded Today</stp>
        <tr r="I30" s="1"/>
      </tp>
      <tp>
        <v>83875</v>
        <stp/>
        <stp>nse_fo|ABB26DEC247500CE</stp>
        <stp>Volume Traded Today</stp>
        <tr r="I31" s="1"/>
      </tp>
      <tp>
        <v>500</v>
        <stp/>
        <stp>nse_fo|ABB26DEC247200CE</stp>
        <stp>Volume Traded Today</stp>
        <tr r="I28" s="1"/>
      </tp>
      <tp>
        <v>125</v>
        <stp/>
        <stp>nse_fo|ABB26DEC247300CE</stp>
        <stp>Volume Traded Today</stp>
        <tr r="I29" s="1"/>
      </tp>
      <tp>
        <v>0</v>
        <stp/>
        <stp>nse_fo|ABB26DEC247000CE</stp>
        <stp>Volume Traded Today</stp>
        <tr r="I26" s="1"/>
      </tp>
      <tp>
        <v>375</v>
        <stp/>
        <stp>nse_fo|ABB26DEC247100CE</stp>
        <stp>Volume Traded Today</stp>
        <tr r="I27" s="1"/>
      </tp>
      <tp>
        <v>0</v>
        <stp/>
        <stp>nse_fo|ABB26DEC246800CE</stp>
        <stp>Volume Traded Today</stp>
        <tr r="I24" s="1"/>
      </tp>
      <tp>
        <v>0</v>
        <stp/>
        <stp>nse_fo|ABB26DEC246900CE</stp>
        <stp>Volume Traded Today</stp>
        <tr r="I25" s="1"/>
      </tp>
      <tp>
        <v>0</v>
        <stp/>
        <stp>nse_fo|ABB26DEC246600CE</stp>
        <stp>Volume Traded Today</stp>
        <tr r="I22" s="1"/>
      </tp>
      <tp>
        <v>125</v>
        <stp/>
        <stp>nse_fo|ABB26DEC246700CE</stp>
        <stp>Volume Traded Today</stp>
        <tr r="I23" s="1"/>
      </tp>
      <tp>
        <v>0</v>
        <stp/>
        <stp>nse_fo|ABB26DEC246500CE</stp>
        <stp>Volume Traded Today</stp>
        <tr r="I21" s="1"/>
      </tp>
      <tp>
        <v>6375</v>
        <stp/>
        <stp>nse_fo|ABB26DEC246800PE</stp>
        <stp>Volume Traded Today</stp>
        <tr r="I35" s="1"/>
      </tp>
      <tp>
        <v>3750</v>
        <stp/>
        <stp>nse_fo|ABB26DEC246900PE</stp>
        <stp>Volume Traded Today</stp>
        <tr r="I36" s="1"/>
      </tp>
      <tp>
        <v>1750</v>
        <stp/>
        <stp>nse_fo|ABB26DEC246600PE</stp>
        <stp>Volume Traded Today</stp>
        <tr r="I33" s="1"/>
      </tp>
      <tp>
        <v>2000</v>
        <stp/>
        <stp>nse_fo|ABB26DEC246700PE</stp>
        <stp>Volume Traded Today</stp>
        <tr r="I34" s="1"/>
      </tp>
      <tp>
        <v>6375</v>
        <stp/>
        <stp>nse_fo|ABB26DEC246500PE</stp>
        <stp>Volume Traded Today</stp>
        <tr r="I32" s="1"/>
      </tp>
      <tp>
        <v>804.75</v>
        <stp/>
        <stp>nse_cm|TATAMOTORS-EQ</stp>
        <stp>Bid Rate</stp>
        <tr r="D59" s="1"/>
        <tr r="D214" s="1"/>
      </tp>
      <tp>
        <v>1979.35</v>
        <stp/>
        <stp>nse_cm|MUTHOOTFIN-EQ</stp>
        <stp>Bid Rate</stp>
        <tr r="D194" s="1"/>
      </tp>
      <tp>
        <v>-2.29</v>
        <stp/>
        <stp>nse_cm|VEDL-EQ</stp>
        <stp>% Change</stp>
        <tr r="J231" s="1"/>
      </tp>
      <tp>
        <v>7584.55</v>
        <stp/>
        <stp>nse_cm|ABB-EQ</stp>
        <stp>Bid Rate</stp>
        <tr r="D20" s="1"/>
      </tp>
      <tp>
        <v>750</v>
        <stp/>
        <stp>nse_fo|ADANIGREEN26DEC241120PE</stp>
        <stp>Bid Qty</stp>
        <tr r="C55" s="1"/>
      </tp>
      <tp>
        <v>1125</v>
        <stp/>
        <stp>nse_fo|ADANIGREEN26DEC241100PE</stp>
        <stp>Bid Qty</stp>
        <tr r="C54" s="1"/>
      </tp>
      <tp>
        <v>375</v>
        <stp/>
        <stp>nse_fo|ADANIGREEN26DEC241060PE</stp>
        <stp>Bid Qty</stp>
        <tr r="C52" s="1"/>
      </tp>
      <tp>
        <v>375</v>
        <stp/>
        <stp>nse_fo|ADANIGREEN26DEC241040PE</stp>
        <stp>Bid Qty</stp>
        <tr r="C51" s="1"/>
      </tp>
      <tp>
        <v>750</v>
        <stp/>
        <stp>nse_fo|ADANIGREEN26DEC241080PE</stp>
        <stp>Bid Qty</stp>
        <tr r="C53" s="1"/>
      </tp>
      <tp>
        <v>750</v>
        <stp/>
        <stp>nse_fo|ADANIGREEN26DEC241340CE</stp>
        <stp>Bid Qty</stp>
        <tr r="C50" s="1"/>
      </tp>
      <tp>
        <v>375</v>
        <stp/>
        <stp>nse_fo|ADANIGREEN26DEC241320CE</stp>
        <stp>Bid Qty</stp>
        <tr r="C49" s="1"/>
      </tp>
      <tp>
        <v>1125</v>
        <stp/>
        <stp>nse_fo|ADANIGREEN26DEC241300CE</stp>
        <stp>Bid Qty</stp>
        <tr r="C48" s="1"/>
      </tp>
      <tp>
        <v>1125</v>
        <stp/>
        <stp>nse_fo|ADANIGREEN26DEC241260CE</stp>
        <stp>Bid Qty</stp>
        <tr r="C46" s="1"/>
      </tp>
      <tp>
        <v>750</v>
        <stp/>
        <stp>nse_fo|ADANIGREEN26DEC241240CE</stp>
        <stp>Bid Qty</stp>
        <tr r="C45" s="1"/>
      </tp>
      <tp>
        <v>750</v>
        <stp/>
        <stp>nse_fo|ADANIGREEN26DEC241220CE</stp>
        <stp>Bid Qty</stp>
        <tr r="C44" s="1"/>
      </tp>
      <tp>
        <v>375</v>
        <stp/>
        <stp>nse_fo|ADANIGREEN26DEC241200CE</stp>
        <stp>Bid Qty</stp>
        <tr r="C43" s="1"/>
      </tp>
      <tp>
        <v>1875</v>
        <stp/>
        <stp>nse_fo|ADANIGREEN26DEC241280CE</stp>
        <stp>Bid Qty</stp>
        <tr r="C47" s="1"/>
      </tp>
      <tp>
        <v>375</v>
        <stp/>
        <stp>nse_fo|ADANIGREEN26DEC241160CE</stp>
        <stp>Bid Qty</stp>
        <tr r="C41" s="1"/>
      </tp>
      <tp>
        <v>1125</v>
        <stp/>
        <stp>nse_fo|ADANIGREEN26DEC241180CE</stp>
        <stp>Bid Qty</stp>
        <tr r="C42" s="1"/>
      </tp>
      <tp>
        <v>0.6</v>
        <stp/>
        <stp>nse_fo|VEDL26DEC24410PE</stp>
        <stp>Bid Rate</stp>
        <tr r="D241" s="1"/>
      </tp>
      <tp>
        <v>0.8</v>
        <stp/>
        <stp>nse_fo|VEDL26DEC24420PE</stp>
        <stp>Bid Rate</stp>
        <tr r="D242" s="1"/>
      </tp>
      <tp>
        <v>1.05</v>
        <stp/>
        <stp>nse_fo|VEDL26DEC24430PE</stp>
        <stp>Bid Rate</stp>
        <tr r="D243" s="1"/>
      </tp>
      <tp>
        <v>1.45</v>
        <stp/>
        <stp>nse_fo|VEDL26DEC24440PE</stp>
        <stp>Bid Rate</stp>
        <tr r="D244" s="1"/>
      </tp>
      <tp>
        <v>2.15</v>
        <stp/>
        <stp>nse_fo|VEDL26DEC24450PE</stp>
        <stp>Bid Rate</stp>
        <tr r="D245" s="1"/>
      </tp>
      <tp>
        <v>3.2</v>
        <stp/>
        <stp>nse_fo|VEDL26DEC24460PE</stp>
        <stp>Bid Rate</stp>
        <tr r="D246" s="1"/>
      </tp>
      <tp>
        <v>5.0999999999999996</v>
        <stp/>
        <stp>nse_fo|VEDL26DEC24470PE</stp>
        <stp>Bid Rate</stp>
        <tr r="D247" s="1"/>
      </tp>
      <tp>
        <v>8</v>
        <stp/>
        <stp>nse_fo|VEDL26DEC24480PE</stp>
        <stp>Bid Rate</stp>
        <tr r="D248" s="1"/>
      </tp>
      <tp>
        <v>2091250</v>
        <stp/>
        <stp>nse_fo|JUBLFOOD26DEC24FUT</stp>
        <stp>Volume Traded Today</stp>
        <tr r="I134" s="1"/>
      </tp>
      <tp>
        <v>750</v>
        <stp/>
        <stp>nse_fo|ADANIGREEN26DEC241160CE</stp>
        <stp>Ask Qty</stp>
        <tr r="F41" s="1"/>
      </tp>
      <tp>
        <v>750</v>
        <stp/>
        <stp>nse_fo|ADANIGREEN26DEC241180CE</stp>
        <stp>Ask Qty</stp>
        <tr r="F42" s="1"/>
      </tp>
      <tp>
        <v>375</v>
        <stp/>
        <stp>nse_fo|ADANIGREEN26DEC241260CE</stp>
        <stp>Ask Qty</stp>
        <tr r="F46" s="1"/>
      </tp>
      <tp>
        <v>375</v>
        <stp/>
        <stp>nse_fo|ADANIGREEN26DEC241240CE</stp>
        <stp>Ask Qty</stp>
        <tr r="F45" s="1"/>
      </tp>
      <tp>
        <v>375</v>
        <stp/>
        <stp>nse_fo|ADANIGREEN26DEC241220CE</stp>
        <stp>Ask Qty</stp>
        <tr r="F44" s="1"/>
      </tp>
      <tp>
        <v>375</v>
        <stp/>
        <stp>nse_fo|ADANIGREEN26DEC241200CE</stp>
        <stp>Ask Qty</stp>
        <tr r="F43" s="1"/>
      </tp>
      <tp>
        <v>375</v>
        <stp/>
        <stp>nse_fo|ADANIGREEN26DEC241280CE</stp>
        <stp>Ask Qty</stp>
        <tr r="F47" s="1"/>
      </tp>
      <tp>
        <v>375</v>
        <stp/>
        <stp>nse_fo|ADANIGREEN26DEC241340CE</stp>
        <stp>Ask Qty</stp>
        <tr r="F50" s="1"/>
      </tp>
      <tp>
        <v>1500</v>
        <stp/>
        <stp>nse_fo|ADANIGREEN26DEC241320CE</stp>
        <stp>Ask Qty</stp>
        <tr r="F49" s="1"/>
      </tp>
      <tp>
        <v>750</v>
        <stp/>
        <stp>nse_fo|ADANIGREEN26DEC241300CE</stp>
        <stp>Ask Qty</stp>
        <tr r="F48" s="1"/>
      </tp>
      <tp>
        <v>375</v>
        <stp/>
        <stp>nse_fo|ADANIGREEN26DEC241060PE</stp>
        <stp>Ask Qty</stp>
        <tr r="F52" s="1"/>
      </tp>
      <tp>
        <v>750</v>
        <stp/>
        <stp>nse_fo|ADANIGREEN26DEC241040PE</stp>
        <stp>Ask Qty</stp>
        <tr r="F51" s="1"/>
      </tp>
      <tp>
        <v>375</v>
        <stp/>
        <stp>nse_fo|ADANIGREEN26DEC241080PE</stp>
        <stp>Ask Qty</stp>
        <tr r="F53" s="1"/>
      </tp>
      <tp>
        <v>375</v>
        <stp/>
        <stp>nse_fo|ADANIGREEN26DEC241120PE</stp>
        <stp>Ask Qty</stp>
        <tr r="F55" s="1"/>
      </tp>
      <tp>
        <v>375</v>
        <stp/>
        <stp>nse_fo|ADANIGREEN26DEC241100PE</stp>
        <stp>Ask Qty</stp>
        <tr r="F54" s="1"/>
      </tp>
      <tp t="s">
        <v>CE</v>
        <stp/>
        <stp>nse_fo|MOTHERSON26DEC24185CE</stp>
        <stp>Option Type</stp>
        <tr r="M184" s="1"/>
      </tp>
      <tp t="s">
        <v>CE</v>
        <stp/>
        <stp>nse_fo|MOTHERSON26DEC24175CE</stp>
        <stp>Option Type</stp>
        <tr r="M180" s="1"/>
      </tp>
      <tp t="s">
        <v>CE</v>
        <stp/>
        <stp>nse_fo|MOTHERSON26DEC24165CE</stp>
        <stp>Option Type</stp>
        <tr r="M176" s="1"/>
      </tp>
      <tp t="s">
        <v>PE</v>
        <stp/>
        <stp>nse_fo|MOTHERSON26DEC24165PE</stp>
        <stp>Option Type</stp>
        <tr r="M188" s="1"/>
      </tp>
      <tp t="s">
        <v>26Dec2024</v>
        <stp/>
        <stp>nse_fo|FEDERALBNK26DEC24220CE</stp>
        <stp>Series/Expiry</stp>
        <tr r="B108" s="1"/>
      </tp>
      <tp t="s">
        <v>26Dec2024</v>
        <stp/>
        <stp>nse_fo|FEDERALBNK26DEC24210CE</stp>
        <stp>Series/Expiry</stp>
        <tr r="B104" s="1"/>
      </tp>
      <tp t="s">
        <v>26Dec2024</v>
        <stp/>
        <stp>nse_fo|FEDERALBNK26DEC24210PE</stp>
        <stp>Series/Expiry</stp>
        <tr r="B114" s="1"/>
      </tp>
      <tp t="s">
        <v>26Dec2024</v>
        <stp/>
        <stp>nse_fo|FEDERALBNK26DEC24215CE</stp>
        <stp>Series/Expiry</stp>
        <tr r="B106" s="1"/>
      </tp>
      <tp t="s">
        <v>26Dec2024</v>
        <stp/>
        <stp>nse_fo|FEDERALBNK26DEC24200CE</stp>
        <stp>Series/Expiry</stp>
        <tr r="B100" s="1"/>
      </tp>
      <tp t="s">
        <v>26Dec2024</v>
        <stp/>
        <stp>nse_fo|FEDERALBNK26DEC24200PE</stp>
        <stp>Series/Expiry</stp>
        <tr r="B110" s="1"/>
      </tp>
      <tp t="s">
        <v>26Dec2024</v>
        <stp/>
        <stp>nse_fo|FEDERALBNK26DEC24205CE</stp>
        <stp>Series/Expiry</stp>
        <tr r="B102" s="1"/>
      </tp>
      <tp t="s">
        <v>26Dec2024</v>
        <stp/>
        <stp>nse_fo|FEDERALBNK26DEC24205PE</stp>
        <stp>Series/Expiry</stp>
        <tr r="B112" s="1"/>
      </tp>
      <tp t="e">
        <v>#N/A</v>
        <stp/>
        <stp>nse_fo|NIFTY26OCT2319450PE</stp>
        <stp>LTP</stp>
        <tr r="G302" s="4"/>
      </tp>
      <tp t="e">
        <v>#N/A</v>
        <stp/>
        <stp>nse_fo|NIFTY26OCT2319500PE</stp>
        <stp>LTP</stp>
        <tr r="G303" s="4"/>
      </tp>
      <tp>
        <v>694.3</v>
        <stp/>
        <stp>nse_cm|JUBLFOOD-EQ</stp>
        <stp>Ask Rate</stp>
        <tr r="E135" s="1"/>
      </tp>
      <tp>
        <v>3247900</v>
        <stp/>
        <stp>nse_cm|FEDERALBNK-EQ</stp>
        <stp>Volume Traded Today</stp>
        <tr r="I99" s="1"/>
      </tp>
      <tp>
        <v>1977.89</v>
        <stp/>
        <stp>nse_cm|MUTHOOTFIN-EQ</stp>
        <stp>ATP</stp>
        <tr r="H194" s="1"/>
      </tp>
      <tp>
        <v>811.79</v>
        <stp/>
        <stp>nse_cm|TATAMOTORS-EQ</stp>
        <stp>ATP</stp>
        <tr r="H59" s="1"/>
        <tr r="H214" s="1"/>
      </tp>
      <tp t="s">
        <v>26Dec2024</v>
        <stp/>
        <stp>nse_fo|FEDERALBNK26DEC24202.5PE</stp>
        <stp>Series/Expiry</stp>
        <tr r="B111" s="1"/>
      </tp>
      <tp t="s">
        <v>26Dec2024</v>
        <stp/>
        <stp>nse_fo|FEDERALBNK26DEC24212.5CE</stp>
        <stp>Series/Expiry</stp>
        <tr r="B105" s="1"/>
      </tp>
      <tp t="s">
        <v>26Dec2024</v>
        <stp/>
        <stp>nse_fo|FEDERALBNK26DEC24202.5CE</stp>
        <stp>Series/Expiry</stp>
        <tr r="B101" s="1"/>
      </tp>
      <tp t="s">
        <v>26Dec2024</v>
        <stp/>
        <stp>nse_fo|FEDERALBNK26DEC24222.5CE</stp>
        <stp>Series/Expiry</stp>
        <tr r="B109" s="1"/>
      </tp>
      <tp>
        <v>608.45000000000005</v>
        <stp/>
        <stp>nse_cm|BSOFT-EQ</stp>
        <stp>LTP</stp>
        <tr r="C6" s="1"/>
        <tr r="G79" s="1"/>
      </tp>
      <tp>
        <v>0</v>
        <stp/>
        <stp>nse_fo|LAURUSLABS26DEC24470CE</stp>
        <stp>Bid Rate</stp>
        <tr r="D156" s="1"/>
      </tp>
      <tp>
        <v>91.75</v>
        <stp/>
        <stp>nse_fo|LAURUSLABS26DEC24480CE</stp>
        <stp>Bid Rate</stp>
        <tr r="D157" s="1"/>
      </tp>
      <tp>
        <v>82.8</v>
        <stp/>
        <stp>nse_fo|LAURUSLABS26DEC24490CE</stp>
        <stp>Bid Rate</stp>
        <tr r="D158" s="1"/>
      </tp>
      <tp>
        <v>39.049999999999997</v>
        <stp/>
        <stp>nse_fo|LAURUSLABS26DEC24540CE</stp>
        <stp>Bid Rate</stp>
        <tr r="D163" s="1"/>
      </tp>
      <tp>
        <v>31.55</v>
        <stp/>
        <stp>nse_fo|LAURUSLABS26DEC24550CE</stp>
        <stp>Bid Rate</stp>
        <tr r="D164" s="1"/>
      </tp>
      <tp>
        <v>24.6</v>
        <stp/>
        <stp>nse_fo|LAURUSLABS26DEC24560CE</stp>
        <stp>Bid Rate</stp>
        <tr r="D165" s="1"/>
      </tp>
      <tp>
        <v>18.8</v>
        <stp/>
        <stp>nse_fo|LAURUSLABS26DEC24570CE</stp>
        <stp>Bid Rate</stp>
        <tr r="D166" s="1"/>
      </tp>
      <tp>
        <v>74.7</v>
        <stp/>
        <stp>nse_fo|LAURUSLABS26DEC24500CE</stp>
        <stp>Bid Rate</stp>
        <tr r="D159" s="1"/>
      </tp>
      <tp>
        <v>65.400000000000006</v>
        <stp/>
        <stp>nse_fo|LAURUSLABS26DEC24510CE</stp>
        <stp>Bid Rate</stp>
        <tr r="D160" s="1"/>
      </tp>
      <tp>
        <v>56.25</v>
        <stp/>
        <stp>nse_fo|LAURUSLABS26DEC24520CE</stp>
        <stp>Bid Rate</stp>
        <tr r="D161" s="1"/>
      </tp>
      <tp>
        <v>47.35</v>
        <stp/>
        <stp>nse_fo|LAURUSLABS26DEC24530CE</stp>
        <stp>Bid Rate</stp>
        <tr r="D162" s="1"/>
      </tp>
      <tp>
        <v>1.1000000000000001</v>
        <stp/>
        <stp>nse_fo|FEDERALBNK26DEC24202.5PE</stp>
        <stp>Bid Rate</stp>
        <tr r="D111" s="1"/>
      </tp>
      <tp>
        <v>2.1</v>
        <stp/>
        <stp>nse_fo|FEDERALBNK26DEC24207.5PE</stp>
        <stp>Bid Rate</stp>
        <tr r="D113" s="1"/>
      </tp>
      <tp t="s">
        <v>BSOFT</v>
        <stp/>
        <stp>nse_cm|BSOFT-EQ</stp>
        <stp>Symbol</stp>
        <tr r="A79" s="1"/>
      </tp>
      <tp>
        <v>4.4000000000000004</v>
        <stp/>
        <stp>nse_fo|FEDERALBNK26DEC24215CE</stp>
        <stp>Bid Rate</stp>
        <tr r="D106" s="1"/>
      </tp>
      <tp>
        <v>7.2</v>
        <stp/>
        <stp>nse_fo|FEDERALBNK26DEC24210CE</stp>
        <stp>Bid Rate</stp>
        <tr r="D104" s="1"/>
      </tp>
      <tp>
        <v>10.8</v>
        <stp/>
        <stp>nse_fo|FEDERALBNK26DEC24205CE</stp>
        <stp>Bid Rate</stp>
        <tr r="D102" s="1"/>
      </tp>
      <tp>
        <v>15.05</v>
        <stp/>
        <stp>nse_fo|FEDERALBNK26DEC24200CE</stp>
        <stp>Bid Rate</stp>
        <tr r="D100" s="1"/>
      </tp>
      <tp>
        <v>2.5</v>
        <stp/>
        <stp>nse_fo|FEDERALBNK26DEC24220CE</stp>
        <stp>Bid Rate</stp>
        <tr r="D108" s="1"/>
      </tp>
      <tp>
        <v>4</v>
        <stp/>
        <stp>nse_cm|ABB-EQ</stp>
        <stp>Bid Qty</stp>
        <tr r="C20" s="1"/>
      </tp>
      <tp>
        <v>79</v>
        <stp/>
        <stp>nse_cm|UPL-EQ</stp>
        <stp>Bid Qty</stp>
        <tr r="C253" s="1"/>
      </tp>
      <tp t="e">
        <v>#N/A</v>
        <stp/>
        <stp>nse_fo|NIFTY28NOV24FUT</stp>
        <stp>% Change</stp>
        <tr r="E2" s="1"/>
      </tp>
      <tp t="s">
        <v>MOTHERSON</v>
        <stp/>
        <stp>nse_fo|MOTHERSON26DEC24182.5CE</stp>
        <stp>Symbol</stp>
        <tr r="A183" s="1"/>
      </tp>
      <tp t="s">
        <v>MOTHERSON</v>
        <stp/>
        <stp>nse_fo|MOTHERSON26DEC24187.5CE</stp>
        <stp>Symbol</stp>
        <tr r="A185" s="1"/>
      </tp>
      <tp t="s">
        <v>MOTHERSON</v>
        <stp/>
        <stp>nse_fo|MOTHERSON26DEC24172.5CE</stp>
        <stp>Symbol</stp>
        <tr r="A179" s="1"/>
      </tp>
      <tp t="s">
        <v>MOTHERSON</v>
        <stp/>
        <stp>nse_fo|MOTHERSON26DEC24177.5CE</stp>
        <stp>Symbol</stp>
        <tr r="A181" s="1"/>
      </tp>
      <tp t="s">
        <v>MOTHERSON</v>
        <stp/>
        <stp>nse_fo|MOTHERSON26DEC24162.5CE</stp>
        <stp>Symbol</stp>
        <tr r="A187" s="1"/>
      </tp>
      <tp t="s">
        <v>MOTHERSON</v>
        <stp/>
        <stp>nse_fo|MOTHERSON26DEC24167.5CE</stp>
        <stp>Symbol</stp>
        <tr r="A189" s="1"/>
        <tr r="A177" s="1"/>
      </tp>
      <tp>
        <v>-0.39</v>
        <stp/>
        <stp>nse_fo|JUBLFOOD26DEC24FUT</stp>
        <stp>% Change</stp>
        <tr r="J134" s="1"/>
        <tr r="E9" s="1"/>
      </tp>
      <tp>
        <v>197</v>
        <stp/>
        <stp>nse_cm|UPL-EQ</stp>
        <stp>Ask Qty</stp>
        <tr r="F253" s="1"/>
      </tp>
      <tp>
        <v>17</v>
        <stp/>
        <stp>nse_cm|ABB-EQ</stp>
        <stp>Ask Qty</stp>
        <tr r="F20" s="1"/>
      </tp>
      <tp t="s">
        <v>MUTHOOTFIN</v>
        <stp/>
        <stp>nse_cm|MUTHOOTFIN-EQ</stp>
        <stp>Symbol</stp>
        <tr r="A194" s="1"/>
      </tp>
      <tp t="s">
        <v>FEDERALBNK</v>
        <stp/>
        <stp>nse_fo|FEDERALBNK26DEC24222.5CE</stp>
        <stp>Symbol</stp>
        <tr r="A109" s="1"/>
      </tp>
      <tp t="s">
        <v>FEDERALBNK</v>
        <stp/>
        <stp>nse_fo|FEDERALBNK26DEC24207.5CE</stp>
        <stp>Symbol</stp>
        <tr r="A113" s="1"/>
        <tr r="A103" s="1"/>
      </tp>
      <tp t="s">
        <v>FEDERALBNK</v>
        <stp/>
        <stp>nse_fo|FEDERALBNK26DEC24202.5CE</stp>
        <stp>Symbol</stp>
        <tr r="A111" s="1"/>
        <tr r="A101" s="1"/>
      </tp>
      <tp t="s">
        <v>FEDERALBNK</v>
        <stp/>
        <stp>nse_fo|FEDERALBNK26DEC24217.5CE</stp>
        <stp>Symbol</stp>
        <tr r="A107" s="1"/>
      </tp>
      <tp t="s">
        <v>FEDERALBNK</v>
        <stp/>
        <stp>nse_fo|FEDERALBNK26DEC24212.5CE</stp>
        <stp>Symbol</stp>
        <tr r="A105" s="1"/>
      </tp>
      <tp>
        <v>694.3</v>
        <stp/>
        <stp>nse_cm|JUBLFOOD-EQ</stp>
        <stp>LTP</stp>
        <tr r="G135" s="1"/>
        <tr r="C9" s="1"/>
      </tp>
      <tp>
        <v>11.55</v>
        <stp/>
        <stp>nse_fo|TATAMOTORS26DEC24790PE</stp>
        <stp>Bid Rate</stp>
        <tr r="D227" s="1"/>
      </tp>
      <tp>
        <v>8.5500000000000007</v>
        <stp/>
        <stp>nse_fo|TATAMOTORS26DEC24780PE</stp>
        <stp>Bid Rate</stp>
        <tr r="D226" s="1"/>
      </tp>
      <tp>
        <v>3.45</v>
        <stp/>
        <stp>nse_fo|TATAMOTORS26DEC24750PE</stp>
        <stp>Bid Rate</stp>
        <tr r="D223" s="1"/>
      </tp>
      <tp>
        <v>2.5499999999999998</v>
        <stp/>
        <stp>nse_fo|TATAMOTORS26DEC24740PE</stp>
        <stp>Bid Rate</stp>
        <tr r="D75" s="1"/>
      </tp>
      <tp>
        <v>6.3</v>
        <stp/>
        <stp>nse_fo|TATAMOTORS26DEC24770PE</stp>
        <stp>Bid Rate</stp>
        <tr r="D225" s="1"/>
      </tp>
      <tp>
        <v>4.6500000000000004</v>
        <stp/>
        <stp>nse_fo|TATAMOTORS26DEC24760PE</stp>
        <stp>Bid Rate</stp>
        <tr r="D224" s="1"/>
      </tp>
      <tp>
        <v>1.1000000000000001</v>
        <stp/>
        <stp>nse_fo|TATAMOTORS26DEC24710PE</stp>
        <stp>Bid Rate</stp>
        <tr r="D72" s="1"/>
      </tp>
      <tp>
        <v>0.95</v>
        <stp/>
        <stp>nse_fo|TATAMOTORS26DEC24700PE</stp>
        <stp>Bid Rate</stp>
        <tr r="D71" s="1"/>
      </tp>
      <tp>
        <v>1.9</v>
        <stp/>
        <stp>nse_fo|TATAMOTORS26DEC24730PE</stp>
        <stp>Bid Rate</stp>
        <tr r="D74" s="1"/>
      </tp>
      <tp>
        <v>1.5</v>
        <stp/>
        <stp>nse_fo|TATAMOTORS26DEC24720PE</stp>
        <stp>Bid Rate</stp>
        <tr r="D73" s="1"/>
      </tp>
      <tp>
        <v>5.75</v>
        <stp/>
        <stp>nse_fo|MOTHERSON26DEC24165CE</stp>
        <stp>Bid Rate</stp>
        <tr r="D176" s="1"/>
      </tp>
      <tp>
        <v>3.5</v>
        <stp/>
        <stp>nse_fo|MOTHERSON26DEC24170CE</stp>
        <stp>Bid Rate</stp>
        <tr r="D178" s="1"/>
      </tp>
      <tp>
        <v>2.0499999999999998</v>
        <stp/>
        <stp>nse_fo|MOTHERSON26DEC24175CE</stp>
        <stp>Bid Rate</stp>
        <tr r="D180" s="1"/>
      </tp>
      <tp>
        <v>1.2</v>
        <stp/>
        <stp>nse_fo|MOTHERSON26DEC24180CE</stp>
        <stp>Bid Rate</stp>
        <tr r="D182" s="1"/>
      </tp>
      <tp>
        <v>0.7</v>
        <stp/>
        <stp>nse_fo|MOTHERSON26DEC24185CE</stp>
        <stp>Bid Rate</stp>
        <tr r="D184" s="1"/>
      </tp>
      <tp>
        <v>-4.63</v>
        <stp/>
        <stp>nse_fo|ADANIGREEN26DEC241240CE</stp>
        <stp>% Change</stp>
        <tr r="J45" s="1"/>
      </tp>
      <tp>
        <v>-5.21</v>
        <stp/>
        <stp>nse_fo|ADANIGREEN26DEC241260CE</stp>
        <stp>% Change</stp>
        <tr r="J46" s="1"/>
      </tp>
      <tp>
        <v>-2.2799999999999998</v>
        <stp/>
        <stp>nse_fo|ADANIGREEN26DEC241200CE</stp>
        <stp>% Change</stp>
        <tr r="J43" s="1"/>
      </tp>
      <tp>
        <v>-2.97</v>
        <stp/>
        <stp>nse_fo|ADANIGREEN26DEC241220CE</stp>
        <stp>% Change</stp>
        <tr r="J44" s="1"/>
      </tp>
      <tp>
        <v>-7.03</v>
        <stp/>
        <stp>nse_fo|ADANIGREEN26DEC241280CE</stp>
        <stp>% Change</stp>
        <tr r="J47" s="1"/>
      </tp>
      <tp>
        <v>-11.64</v>
        <stp/>
        <stp>nse_fo|ADANIGREEN26DEC241340CE</stp>
        <stp>% Change</stp>
        <tr r="J50" s="1"/>
      </tp>
      <tp>
        <v>-7.96</v>
        <stp/>
        <stp>nse_fo|ADANIGREEN26DEC241300CE</stp>
        <stp>% Change</stp>
        <tr r="J48" s="1"/>
      </tp>
      <tp>
        <v>-8.31</v>
        <stp/>
        <stp>nse_fo|ADANIGREEN26DEC241320CE</stp>
        <stp>% Change</stp>
        <tr r="J49" s="1"/>
      </tp>
      <tp>
        <v>1.35</v>
        <stp/>
        <stp>nse_fo|ADANIGREEN26DEC241160CE</stp>
        <stp>% Change</stp>
        <tr r="J41" s="1"/>
      </tp>
      <tp>
        <v>-0.11</v>
        <stp/>
        <stp>nse_fo|ADANIGREEN26DEC241180CE</stp>
        <stp>% Change</stp>
        <tr r="J42" s="1"/>
      </tp>
      <tp>
        <v>150</v>
        <stp/>
        <stp>nse_fo|HDFCAMC26DEC24FUT</stp>
        <stp>Bid Qty</stp>
        <tr r="C117" s="1"/>
      </tp>
      <tp>
        <v>-8.14</v>
        <stp/>
        <stp>nse_fo|BSOFT26DEC24600CE</stp>
        <stp>% Change</stp>
        <tr r="J86" s="1"/>
      </tp>
      <tp>
        <v>-10.54</v>
        <stp/>
        <stp>nse_fo|BSOFT26DEC24610CE</stp>
        <stp>% Change</stp>
        <tr r="J87" s="1"/>
      </tp>
      <tp>
        <v>-12.76</v>
        <stp/>
        <stp>nse_fo|BSOFT26DEC24620CE</stp>
        <stp>% Change</stp>
        <tr r="J88" s="1"/>
      </tp>
      <tp>
        <v>-16.57</v>
        <stp/>
        <stp>nse_fo|BSOFT26DEC24630CE</stp>
        <stp>% Change</stp>
        <tr r="J89" s="1"/>
      </tp>
      <tp>
        <v>-15.45</v>
        <stp/>
        <stp>nse_fo|BSOFT26DEC24640CE</stp>
        <stp>% Change</stp>
        <tr r="J90" s="1"/>
      </tp>
      <tp>
        <v>0</v>
        <stp/>
        <stp>nse_fo|BSOFT26DEC24540CE</stp>
        <stp>% Change</stp>
        <tr r="J80" s="1"/>
      </tp>
      <tp>
        <v>-3.21</v>
        <stp/>
        <stp>nse_fo|BSOFT26DEC24550CE</stp>
        <stp>% Change</stp>
        <tr r="J81" s="1"/>
      </tp>
      <tp>
        <v>-1.52</v>
        <stp/>
        <stp>nse_fo|BSOFT26DEC24560CE</stp>
        <stp>% Change</stp>
        <tr r="J82" s="1"/>
      </tp>
      <tp>
        <v>-5.76</v>
        <stp/>
        <stp>nse_fo|BSOFT26DEC24570CE</stp>
        <stp>% Change</stp>
        <tr r="J83" s="1"/>
      </tp>
      <tp>
        <v>-6.38</v>
        <stp/>
        <stp>nse_fo|BSOFT26DEC24580CE</stp>
        <stp>% Change</stp>
        <tr r="J84" s="1"/>
      </tp>
      <tp>
        <v>-4.68</v>
        <stp/>
        <stp>nse_fo|BSOFT26DEC24590CE</stp>
        <stp>% Change</stp>
        <tr r="J85" s="1"/>
      </tp>
      <tp>
        <v>0</v>
        <stp/>
        <stp>nse_fo|LAURUSLABS26DEC24490CE</stp>
        <stp>Net Change</stp>
        <tr r="K158" s="1"/>
      </tp>
      <tp>
        <v>0.15</v>
        <stp/>
        <stp>nse_fo|LAURUSLABS26DEC24490PE</stp>
        <stp>Net Change</stp>
        <tr r="K169" s="1"/>
      </tp>
      <tp>
        <v>0</v>
        <stp/>
        <stp>nse_cm|FEDERALBNK-EQ</stp>
        <stp>Strike Price</stp>
        <tr r="L99" s="1"/>
      </tp>
      <tp>
        <v>0</v>
        <stp/>
        <stp>nse_fo|LAURUSLABS26DEC24480CE</stp>
        <stp>Net Change</stp>
        <tr r="K157" s="1"/>
      </tp>
      <tp>
        <v>0.05</v>
        <stp/>
        <stp>nse_fo|LAURUSLABS26DEC24480PE</stp>
        <stp>Net Change</stp>
        <tr r="K168" s="1"/>
      </tp>
      <tp>
        <v>493021</v>
        <stp/>
        <stp>nse_cm|BSOFT-EQ</stp>
        <stp>Volume Traded Today</stp>
        <tr r="I79" s="1"/>
      </tp>
      <tp t="s">
        <v>26Dec2024</v>
        <stp/>
        <stp>nse_fo|ABB26DEC246900CE</stp>
        <stp>Series/Expiry</stp>
        <tr r="B25" s="1"/>
      </tp>
      <tp t="s">
        <v>26Dec2024</v>
        <stp/>
        <stp>nse_fo|ABB26DEC246900PE</stp>
        <stp>Series/Expiry</stp>
        <tr r="B36" s="1"/>
      </tp>
      <tp>
        <v>166.5</v>
        <stp/>
        <stp>nse_fo|MOTHERSON26DEC24FUT</stp>
        <stp>Bid Rate</stp>
        <tr r="D174" s="1"/>
      </tp>
      <tp>
        <v>932766</v>
        <stp/>
        <stp>nse_cm|JUBLFOOD-EQ</stp>
        <stp>Volume Traded Today</stp>
        <tr r="I135" s="1"/>
      </tp>
      <tp t="s">
        <v>26Dec2024</v>
        <stp/>
        <stp>nse_fo|ABB26DEC246800CE</stp>
        <stp>Series/Expiry</stp>
        <tr r="B24" s="1"/>
      </tp>
      <tp t="s">
        <v>26Dec2024</v>
        <stp/>
        <stp>nse_fo|ABB26DEC246800PE</stp>
        <stp>Series/Expiry</stp>
        <tr r="B35" s="1"/>
      </tp>
      <tp>
        <v>150</v>
        <stp/>
        <stp>nse_fo|HDFCAMC26DEC24FUT</stp>
        <stp>Ask Qty</stp>
        <tr r="F117" s="1"/>
      </tp>
      <tp t="s">
        <v>EQ</v>
        <stp/>
        <stp>nse_cm|UPL-EQ</stp>
        <stp>Series/Expiry</stp>
        <tr r="B253" s="1"/>
      </tp>
      <tp t="s">
        <v>MOTHERSON</v>
        <stp/>
        <stp>nse_fo|MOTHERSON26DEC24185CE</stp>
        <stp>Symbol</stp>
        <tr r="A184" s="1"/>
      </tp>
      <tp t="s">
        <v>MOTHERSON</v>
        <stp/>
        <stp>nse_fo|MOTHERSON26DEC24180CE</stp>
        <stp>Symbol</stp>
        <tr r="A182" s="1"/>
      </tp>
      <tp>
        <v>7.03</v>
        <stp/>
        <stp>nse_fo|VEDL26DEC24480PE</stp>
        <stp>ATP</stp>
        <tr r="H248" s="1"/>
      </tp>
      <tp>
        <v>2.96</v>
        <stp/>
        <stp>nse_fo|VEDL26DEC24460PE</stp>
        <stp>ATP</stp>
        <tr r="H246" s="1"/>
      </tp>
      <tp>
        <v>4.5199999999999996</v>
        <stp/>
        <stp>nse_fo|VEDL26DEC24470PE</stp>
        <stp>ATP</stp>
        <tr r="H247" s="1"/>
      </tp>
      <tp>
        <v>1.39</v>
        <stp/>
        <stp>nse_fo|VEDL26DEC24440PE</stp>
        <stp>ATP</stp>
        <tr r="H244" s="1"/>
      </tp>
      <tp>
        <v>2.0099999999999998</v>
        <stp/>
        <stp>nse_fo|VEDL26DEC24450PE</stp>
        <stp>ATP</stp>
        <tr r="H245" s="1"/>
      </tp>
      <tp>
        <v>0.76</v>
        <stp/>
        <stp>nse_fo|VEDL26DEC24420PE</stp>
        <stp>ATP</stp>
        <tr r="H242" s="1"/>
      </tp>
      <tp>
        <v>1.02</v>
        <stp/>
        <stp>nse_fo|VEDL26DEC24430PE</stp>
        <stp>ATP</stp>
        <tr r="H243" s="1"/>
      </tp>
      <tp>
        <v>0.57999999999999996</v>
        <stp/>
        <stp>nse_fo|VEDL26DEC24410PE</stp>
        <stp>ATP</stp>
        <tr r="H241" s="1"/>
      </tp>
      <tp>
        <v>10.45</v>
        <stp/>
        <stp>nse_fo|VEDL26DEC24500CE</stp>
        <stp>ATP</stp>
        <tr r="H240" s="1"/>
      </tp>
      <tp>
        <v>20.96</v>
        <stp/>
        <stp>nse_fo|VEDL26DEC24480CE</stp>
        <stp>ATP</stp>
        <tr r="H238" s="1"/>
      </tp>
      <tp>
        <v>14.46</v>
        <stp/>
        <stp>nse_fo|VEDL26DEC24490CE</stp>
        <stp>ATP</stp>
        <tr r="H239" s="1"/>
      </tp>
      <tp>
        <v>36.799999999999997</v>
        <stp/>
        <stp>nse_fo|VEDL26DEC24460CE</stp>
        <stp>ATP</stp>
        <tr r="H236" s="1"/>
      </tp>
      <tp>
        <v>28.07</v>
        <stp/>
        <stp>nse_fo|VEDL26DEC24470CE</stp>
        <stp>ATP</stp>
        <tr r="H237" s="1"/>
      </tp>
      <tp>
        <v>56.31</v>
        <stp/>
        <stp>nse_fo|VEDL26DEC24440CE</stp>
        <stp>ATP</stp>
        <tr r="H234" s="1"/>
      </tp>
      <tp>
        <v>45.43</v>
        <stp/>
        <stp>nse_fo|VEDL26DEC24450CE</stp>
        <stp>ATP</stp>
        <tr r="H235" s="1"/>
      </tp>
      <tp>
        <v>0</v>
        <stp/>
        <stp>nse_fo|VEDL26DEC24420CE</stp>
        <stp>ATP</stp>
        <tr r="H232" s="1"/>
      </tp>
      <tp>
        <v>62.07</v>
        <stp/>
        <stp>nse_fo|VEDL26DEC24430CE</stp>
        <stp>ATP</stp>
        <tr r="H233" s="1"/>
      </tp>
      <tp t="s">
        <v>26Dec2024</v>
        <stp/>
        <stp>nse_fo|ABB26DEC246700CE</stp>
        <stp>Series/Expiry</stp>
        <tr r="B23" s="1"/>
      </tp>
      <tp t="s">
        <v>26Dec2024</v>
        <stp/>
        <stp>nse_fo|ABB26DEC246700PE</stp>
        <stp>Series/Expiry</stp>
        <tr r="B34" s="1"/>
      </tp>
      <tp>
        <v>3.4</v>
        <stp/>
        <stp>nse_fo|FEDERALBNK26DEC24217.5CE</stp>
        <stp>Ask Rate</stp>
        <tr r="E107" s="1"/>
      </tp>
      <tp>
        <v>5.75</v>
        <stp/>
        <stp>nse_fo|FEDERALBNK26DEC24212.5CE</stp>
        <stp>Ask Rate</stp>
        <tr r="E105" s="1"/>
      </tp>
      <tp>
        <v>2.95</v>
        <stp/>
        <stp>nse_fo|FEDERALBNK26DEC24210PE</stp>
        <stp>Ask Rate</stp>
        <tr r="E114" s="1"/>
      </tp>
      <tp>
        <v>1.6</v>
        <stp/>
        <stp>nse_fo|FEDERALBNK26DEC24205PE</stp>
        <stp>Ask Rate</stp>
        <tr r="E112" s="1"/>
      </tp>
      <tp>
        <v>0.9</v>
        <stp/>
        <stp>nse_fo|FEDERALBNK26DEC24200PE</stp>
        <stp>Ask Rate</stp>
        <tr r="E110" s="1"/>
      </tp>
      <tp>
        <v>-15.9</v>
        <stp/>
        <stp>nse_fo|LAURUSLABS26DEC24550CE</stp>
        <stp>Net Change</stp>
        <tr r="K164" s="1"/>
      </tp>
      <tp t="s">
        <v>JUBLFOOD</v>
        <stp/>
        <stp>nse_fo|JUBLFOOD26DEC24FUT</stp>
        <stp>Symbol</stp>
        <tr r="A134" s="1"/>
      </tp>
      <tp>
        <v>5100</v>
        <stp/>
        <stp>nse_fo|LAURUSLABS26DEC24480CE</stp>
        <stp>Ask Qty</stp>
        <tr r="F157" s="1"/>
      </tp>
      <tp>
        <v>5100</v>
        <stp/>
        <stp>nse_fo|LAURUSLABS26DEC24490CE</stp>
        <stp>Ask Qty</stp>
        <tr r="F158" s="1"/>
      </tp>
      <tp>
        <v>0</v>
        <stp/>
        <stp>nse_fo|LAURUSLABS26DEC24470CE</stp>
        <stp>Ask Qty</stp>
        <tr r="F156" s="1"/>
      </tp>
      <tp>
        <v>1700</v>
        <stp/>
        <stp>nse_fo|LAURUSLABS26DEC24560CE</stp>
        <stp>Ask Qty</stp>
        <tr r="F165" s="1"/>
      </tp>
      <tp>
        <v>3400</v>
        <stp/>
        <stp>nse_fo|LAURUSLABS26DEC24570CE</stp>
        <stp>Ask Qty</stp>
        <tr r="F166" s="1"/>
      </tp>
      <tp>
        <v>1700</v>
        <stp/>
        <stp>nse_fo|LAURUSLABS26DEC24540CE</stp>
        <stp>Ask Qty</stp>
        <tr r="F163" s="1"/>
      </tp>
      <tp>
        <v>3400</v>
        <stp/>
        <stp>nse_fo|LAURUSLABS26DEC24550CE</stp>
        <stp>Ask Qty</stp>
        <tr r="F164" s="1"/>
      </tp>
      <tp>
        <v>1700</v>
        <stp/>
        <stp>nse_fo|LAURUSLABS26DEC24520CE</stp>
        <stp>Ask Qty</stp>
        <tr r="F161" s="1"/>
      </tp>
      <tp>
        <v>3400</v>
        <stp/>
        <stp>nse_fo|LAURUSLABS26DEC24530CE</stp>
        <stp>Ask Qty</stp>
        <tr r="F162" s="1"/>
      </tp>
      <tp>
        <v>1700</v>
        <stp/>
        <stp>nse_fo|LAURUSLABS26DEC24500CE</stp>
        <stp>Ask Qty</stp>
        <tr r="F159" s="1"/>
      </tp>
      <tp>
        <v>1700</v>
        <stp/>
        <stp>nse_fo|LAURUSLABS26DEC24510CE</stp>
        <stp>Ask Qty</stp>
        <tr r="F160" s="1"/>
      </tp>
      <tp>
        <v>0.48</v>
        <stp/>
        <stp>nse_fo|FEDERALBNK26DEC24FUT</stp>
        <stp>Net Change</stp>
        <tr r="K98" s="1"/>
      </tp>
      <tp t="s">
        <v>MOTHERSON</v>
        <stp/>
        <stp>nse_fo|MOTHERSON26DEC24175CE</stp>
        <stp>Symbol</stp>
        <tr r="A180" s="1"/>
      </tp>
      <tp>
        <v>3400</v>
        <stp/>
        <stp>nse_fo|LAURUSLABS26DEC24480PE</stp>
        <stp>Ask Qty</stp>
        <tr r="F168" s="1"/>
      </tp>
      <tp>
        <v>3400</v>
        <stp/>
        <stp>nse_fo|LAURUSLABS26DEC24490PE</stp>
        <stp>Ask Qty</stp>
        <tr r="F169" s="1"/>
      </tp>
      <tp>
        <v>1700</v>
        <stp/>
        <stp>nse_fo|LAURUSLABS26DEC24470PE</stp>
        <stp>Ask Qty</stp>
        <tr r="F167" s="1"/>
      </tp>
      <tp>
        <v>15300</v>
        <stp/>
        <stp>nse_fo|LAURUSLABS26DEC24500PE</stp>
        <stp>Ask Qty</stp>
        <tr r="F170" s="1"/>
      </tp>
      <tp>
        <v>10200</v>
        <stp/>
        <stp>nse_fo|LAURUSLABS26DEC24510PE</stp>
        <stp>Ask Qty</stp>
        <tr r="F171" s="1"/>
      </tp>
      <tp t="s">
        <v>26Dec2024</v>
        <stp/>
        <stp>nse_fo|HDFCAMC26DEC24FUT</stp>
        <stp>Series/Expiry</stp>
        <tr r="B117" s="1"/>
      </tp>
      <tp t="s">
        <v>MOTHERSON</v>
        <stp/>
        <stp>nse_fo|MOTHERSON26DEC24170CE</stp>
        <stp>Symbol</stp>
        <tr r="A190" s="1"/>
        <tr r="A178" s="1"/>
      </tp>
      <tp>
        <v>490.5</v>
        <stp/>
        <stp>nse_fo|VEDL26DEC24FUT</stp>
        <stp>Ask Rate</stp>
        <tr r="E230" s="1"/>
      </tp>
      <tp>
        <v>0</v>
        <stp/>
        <stp>nse_cm|ADANIGREEN-EQ</stp>
        <stp>Strike Price</stp>
        <tr r="L40" s="1"/>
      </tp>
      <tp>
        <v>23.8</v>
        <stp/>
        <stp>nse_fo|UPL26DEC24590PE</stp>
        <stp>% Change</stp>
        <tr r="J265" s="1"/>
      </tp>
      <tp t="s">
        <v>26Dec2024</v>
        <stp/>
        <stp>nse_fo|ABB26DEC246600CE</stp>
        <stp>Series/Expiry</stp>
        <tr r="B22" s="1"/>
      </tp>
      <tp t="s">
        <v>26Dec2024</v>
        <stp/>
        <stp>nse_fo|ABB26DEC246600PE</stp>
        <stp>Series/Expiry</stp>
        <tr r="B33" s="1"/>
      </tp>
      <tp>
        <v>-100</v>
        <stp/>
        <stp>nse_fo|UPL26DEC24630PE</stp>
        <stp>% Change</stp>
        <tr r="J269" s="1"/>
      </tp>
      <tp>
        <v>0</v>
        <stp/>
        <stp>nse_fo|UPL26DEC24620PE</stp>
        <stp>% Change</stp>
        <tr r="J268" s="1"/>
      </tp>
      <tp>
        <v>0</v>
        <stp/>
        <stp>nse_fo|UPL26DEC24610PE</stp>
        <stp>% Change</stp>
        <tr r="J267" s="1"/>
      </tp>
      <tp>
        <v>14.94</v>
        <stp/>
        <stp>nse_fo|UPL26DEC24600PE</stp>
        <stp>% Change</stp>
        <tr r="J266" s="1"/>
      </tp>
      <tp>
        <v>9</v>
        <stp/>
        <stp>nse_fo|FEDERALBNK26DEC24207.5CE</stp>
        <stp>Ask Rate</stp>
        <tr r="E103" s="1"/>
      </tp>
      <tp>
        <v>13.05</v>
        <stp/>
        <stp>nse_fo|FEDERALBNK26DEC24202.5CE</stp>
        <stp>Ask Rate</stp>
        <tr r="E101" s="1"/>
      </tp>
      <tp>
        <v>1</v>
        <stp/>
        <stp>nse_fo|LAURUSLABS26DEC24500PE</stp>
        <stp>Ask Rate</stp>
        <tr r="E170" s="1"/>
      </tp>
      <tp>
        <v>1.4</v>
        <stp/>
        <stp>nse_fo|LAURUSLABS26DEC24510PE</stp>
        <stp>Ask Rate</stp>
        <tr r="E171" s="1"/>
      </tp>
      <tp>
        <v>0.8</v>
        <stp/>
        <stp>nse_fo|LAURUSLABS26DEC24470PE</stp>
        <stp>Ask Rate</stp>
        <tr r="E167" s="1"/>
      </tp>
      <tp>
        <v>0.5</v>
        <stp/>
        <stp>nse_fo|LAURUSLABS26DEC24480PE</stp>
        <stp>Ask Rate</stp>
        <tr r="E168" s="1"/>
      </tp>
      <tp>
        <v>0.65</v>
        <stp/>
        <stp>nse_fo|LAURUSLABS26DEC24490PE</stp>
        <stp>Ask Rate</stp>
        <tr r="E169" s="1"/>
      </tp>
      <tp>
        <v>7623.7</v>
        <stp/>
        <stp>nse_fo|ABB26DEC24FUT</stp>
        <stp>Ask Rate</stp>
        <tr r="E19" s="1"/>
      </tp>
      <tp>
        <v>-14.95</v>
        <stp/>
        <stp>nse_fo|LAURUSLABS26DEC24540CE</stp>
        <stp>Net Change</stp>
        <tr r="K163" s="1"/>
      </tp>
      <tp>
        <v>558.45000000000005</v>
        <stp/>
        <stp>nse_fo|UPL26DEC24FUT</stp>
        <stp>Ask Rate</stp>
        <tr r="E252" s="1"/>
      </tp>
      <tp t="e">
        <v>#N/A</v>
        <stp/>
        <stp>nse_fo|NIFTY26OCT2319500PE</stp>
        <stp>Strike Price</stp>
        <tr r="L303" s="4"/>
      </tp>
      <tp t="e">
        <v>#N/A</v>
        <stp/>
        <stp>nse_fo|NIFTY26OCT2319450PE</stp>
        <stp>Strike Price</stp>
        <tr r="L302" s="4"/>
      </tp>
      <tp t="s">
        <v>MOTHERSON</v>
        <stp/>
        <stp>nse_fo|MOTHERSON26DEC24165CE</stp>
        <stp>Symbol</stp>
        <tr r="A188" s="1"/>
        <tr r="A176" s="1"/>
      </tp>
      <tp t="s">
        <v>MOTHERSON</v>
        <stp/>
        <stp>nse_fo|MOTHERSON26DEC24160CE</stp>
        <stp>Symbol</stp>
        <tr r="A186" s="1"/>
      </tp>
      <tp>
        <v>-17.95</v>
        <stp/>
        <stp>nse_fo|LAURUSLABS26DEC24FUT</stp>
        <stp>Net Change</stp>
        <tr r="K154" s="1"/>
      </tp>
      <tp>
        <v>1250</v>
        <stp/>
        <stp>nse_fo|JUBLFOOD26DEC24700CE</stp>
        <stp>Ask Qty</stp>
        <tr r="F146" s="1"/>
      </tp>
      <tp>
        <v>1250</v>
        <stp/>
        <stp>nse_fo|JUBLFOOD26DEC24680CE</stp>
        <stp>Ask Qty</stp>
        <tr r="F144" s="1"/>
      </tp>
      <tp>
        <v>2500</v>
        <stp/>
        <stp>nse_fo|JUBLFOOD26DEC24690CE</stp>
        <stp>Ask Qty</stp>
        <tr r="F145" s="1"/>
      </tp>
      <tp>
        <v>2500</v>
        <stp/>
        <stp>nse_fo|JUBLFOOD26DEC24640CE</stp>
        <stp>Ask Qty</stp>
        <tr r="F140" s="1"/>
      </tp>
      <tp>
        <v>1250</v>
        <stp/>
        <stp>nse_fo|JUBLFOOD26DEC24650CE</stp>
        <stp>Ask Qty</stp>
        <tr r="F141" s="1"/>
      </tp>
      <tp>
        <v>1250</v>
        <stp/>
        <stp>nse_fo|JUBLFOOD26DEC24660CE</stp>
        <stp>Ask Qty</stp>
        <tr r="F142" s="1"/>
      </tp>
      <tp>
        <v>1250</v>
        <stp/>
        <stp>nse_fo|JUBLFOOD26DEC24670CE</stp>
        <stp>Ask Qty</stp>
        <tr r="F143" s="1"/>
      </tp>
      <tp>
        <v>1250</v>
        <stp/>
        <stp>nse_fo|JUBLFOOD26DEC24600CE</stp>
        <stp>Ask Qty</stp>
        <tr r="F136" s="1"/>
      </tp>
      <tp>
        <v>3750</v>
        <stp/>
        <stp>nse_fo|JUBLFOOD26DEC24610CE</stp>
        <stp>Ask Qty</stp>
        <tr r="F137" s="1"/>
      </tp>
      <tp>
        <v>1250</v>
        <stp/>
        <stp>nse_fo|JUBLFOOD26DEC24620CE</stp>
        <stp>Ask Qty</stp>
        <tr r="F138" s="1"/>
      </tp>
      <tp>
        <v>1250</v>
        <stp/>
        <stp>nse_fo|JUBLFOOD26DEC24630CE</stp>
        <stp>Ask Qty</stp>
        <tr r="F139" s="1"/>
      </tp>
      <tp>
        <v>-18.52</v>
        <stp/>
        <stp>nse_fo|MUTHOOTFIN26DEC241800PE</stp>
        <stp>% Change</stp>
        <tr r="J206" s="1"/>
      </tp>
      <tp>
        <v>-17.52</v>
        <stp/>
        <stp>nse_fo|MUTHOOTFIN26DEC241820PE</stp>
        <stp>% Change</stp>
        <tr r="J207" s="1"/>
      </tp>
      <tp>
        <v>-15.08</v>
        <stp/>
        <stp>nse_fo|MUTHOOTFIN26DEC241840PE</stp>
        <stp>% Change</stp>
        <tr r="J208" s="1"/>
      </tp>
      <tp>
        <v>-14.29</v>
        <stp/>
        <stp>nse_fo|MUTHOOTFIN26DEC241860PE</stp>
        <stp>% Change</stp>
        <tr r="J209" s="1"/>
      </tp>
      <tp>
        <v>-10.96</v>
        <stp/>
        <stp>nse_fo|MUTHOOTFIN26DEC241880PE</stp>
        <stp>% Change</stp>
        <tr r="J210" s="1"/>
      </tp>
      <tp>
        <v>22500</v>
        <stp/>
        <stp>nse_fo|JUBLFOOD26DEC24640PE</stp>
        <stp>Ask Qty</stp>
        <tr r="F151" s="1"/>
      </tp>
      <tp>
        <v>3750</v>
        <stp/>
        <stp>nse_fo|JUBLFOOD26DEC24600PE</stp>
        <stp>Ask Qty</stp>
        <tr r="F147" s="1"/>
      </tp>
      <tp>
        <v>5000</v>
        <stp/>
        <stp>nse_fo|JUBLFOOD26DEC24610PE</stp>
        <stp>Ask Qty</stp>
        <tr r="F148" s="1"/>
      </tp>
      <tp>
        <v>16250</v>
        <stp/>
        <stp>nse_fo|JUBLFOOD26DEC24620PE</stp>
        <stp>Ask Qty</stp>
        <tr r="F149" s="1"/>
      </tp>
      <tp>
        <v>27500</v>
        <stp/>
        <stp>nse_fo|JUBLFOOD26DEC24630PE</stp>
        <stp>Ask Qty</stp>
        <tr r="F150" s="1"/>
      </tp>
      <tp>
        <v>28.7</v>
        <stp/>
        <stp>nse_fo|TATAMOTORS26DEC24790CE</stp>
        <stp>Ask Rate</stp>
        <tr r="E61" s="1"/>
        <tr r="E216" s="1"/>
      </tp>
      <tp>
        <v>35.65</v>
        <stp/>
        <stp>nse_fo|TATAMOTORS26DEC24780CE</stp>
        <stp>Ask Rate</stp>
        <tr r="E215" s="1"/>
        <tr r="E60" s="1"/>
      </tp>
      <tp t="s">
        <v>26Dec2024</v>
        <stp/>
        <stp>nse_fo|ABB26DEC247500CE</stp>
        <stp>Series/Expiry</stp>
        <tr r="B31" s="1"/>
      </tp>
      <tp t="s">
        <v>26Dec2024</v>
        <stp/>
        <stp>nse_fo|ABB26DEC246500CE</stp>
        <stp>Series/Expiry</stp>
        <tr r="B21" s="1"/>
      </tp>
      <tp t="s">
        <v>26Dec2024</v>
        <stp/>
        <stp>nse_fo|ABB26DEC246500PE</stp>
        <stp>Series/Expiry</stp>
        <tr r="B32" s="1"/>
      </tp>
      <tp>
        <v>2.5</v>
        <stp/>
        <stp>nse_fo|TATAMOTORS26DEC24880CE</stp>
        <stp>Ask Rate</stp>
        <tr r="E70" s="1"/>
      </tp>
      <tp>
        <v>5.8</v>
        <stp/>
        <stp>nse_fo|TATAMOTORS26DEC24850CE</stp>
        <stp>Ask Rate</stp>
        <tr r="E222" s="1"/>
        <tr r="E67" s="1"/>
      </tp>
      <tp>
        <v>7.65</v>
        <stp/>
        <stp>nse_fo|TATAMOTORS26DEC24840CE</stp>
        <stp>Ask Rate</stp>
        <tr r="E221" s="1"/>
        <tr r="E66" s="1"/>
      </tp>
      <tp>
        <v>3.25</v>
        <stp/>
        <stp>nse_fo|TATAMOTORS26DEC24870CE</stp>
        <stp>Ask Rate</stp>
        <tr r="E69" s="1"/>
      </tp>
      <tp>
        <v>4.3</v>
        <stp/>
        <stp>nse_fo|TATAMOTORS26DEC24860CE</stp>
        <stp>Ask Rate</stp>
        <tr r="E68" s="1"/>
      </tp>
      <tp>
        <v>17.7</v>
        <stp/>
        <stp>nse_fo|TATAMOTORS26DEC24810CE</stp>
        <stp>Ask Rate</stp>
        <tr r="E63" s="1"/>
        <tr r="E218" s="1"/>
      </tp>
      <tp>
        <v>22.75</v>
        <stp/>
        <stp>nse_fo|TATAMOTORS26DEC24800CE</stp>
        <stp>Ask Rate</stp>
        <tr r="E62" s="1"/>
        <tr r="E217" s="1"/>
      </tp>
      <tp>
        <v>10.15</v>
        <stp/>
        <stp>nse_fo|TATAMOTORS26DEC24830CE</stp>
        <stp>Ask Rate</stp>
        <tr r="E65" s="1"/>
        <tr r="E220" s="1"/>
      </tp>
      <tp>
        <v>13.55</v>
        <stp/>
        <stp>nse_fo|TATAMOTORS26DEC24820CE</stp>
        <stp>Ask Rate</stp>
        <tr r="E64" s="1"/>
        <tr r="E219" s="1"/>
      </tp>
      <tp>
        <v>-11.25</v>
        <stp/>
        <stp>nse_fo|LAURUSLABS26DEC24570CE</stp>
        <stp>Net Change</stp>
        <tr r="K166" s="1"/>
      </tp>
      <tp>
        <v>0</v>
        <stp/>
        <stp>nse_fo|LAURUSLABS26DEC24470CE</stp>
        <stp>Net Change</stp>
        <tr r="K156" s="1"/>
      </tp>
      <tp>
        <v>0.15</v>
        <stp/>
        <stp>nse_fo|LAURUSLABS26DEC24470PE</stp>
        <stp>Net Change</stp>
        <tr r="K167" s="1"/>
      </tp>
      <tp>
        <v>119.65</v>
        <stp/>
        <stp>nse_fo|HDFCAMC26DEC24FUT</stp>
        <stp>Net Change</stp>
        <tr r="K117" s="1"/>
      </tp>
      <tp>
        <v>2.35</v>
        <stp/>
        <stp>nse_fo|MOTHERSON26DEC24160PE</stp>
        <stp>Ask Rate</stp>
        <tr r="E186" s="1"/>
      </tp>
      <tp>
        <v>4.25</v>
        <stp/>
        <stp>nse_fo|MOTHERSON26DEC24165PE</stp>
        <stp>Ask Rate</stp>
        <tr r="E188" s="1"/>
      </tp>
      <tp>
        <v>7</v>
        <stp/>
        <stp>nse_fo|MOTHERSON26DEC24170PE</stp>
        <stp>Ask Rate</stp>
        <tr r="E190" s="1"/>
      </tp>
      <tp>
        <v>18.25</v>
        <stp/>
        <stp>nse_fo|VEDL26DEC24500PE</stp>
        <stp>LTP</stp>
        <tr r="M22" s="2"/>
      </tp>
      <tp>
        <v>8.25</v>
        <stp/>
        <stp>nse_fo|VEDL26DEC24480PE</stp>
        <stp>LTP</stp>
        <tr r="G248" s="1"/>
      </tp>
      <tp>
        <v>12.4</v>
        <stp/>
        <stp>nse_fo|VEDL26DEC24490PE</stp>
        <stp>LTP</stp>
        <tr r="M23" s="2"/>
      </tp>
      <tp>
        <v>3.25</v>
        <stp/>
        <stp>nse_fo|VEDL26DEC24460PE</stp>
        <stp>LTP</stp>
        <tr r="G246" s="1"/>
      </tp>
      <tp>
        <v>5.05</v>
        <stp/>
        <stp>nse_fo|VEDL26DEC24470PE</stp>
        <stp>LTP</stp>
        <tr r="G247" s="1"/>
      </tp>
      <tp>
        <v>1.45</v>
        <stp/>
        <stp>nse_fo|VEDL26DEC24440PE</stp>
        <stp>LTP</stp>
        <tr r="G244" s="1"/>
      </tp>
      <tp>
        <v>2.2000000000000002</v>
        <stp/>
        <stp>nse_fo|VEDL26DEC24450PE</stp>
        <stp>LTP</stp>
        <tr r="G245" s="1"/>
      </tp>
      <tp>
        <v>0.8</v>
        <stp/>
        <stp>nse_fo|VEDL26DEC24420PE</stp>
        <stp>LTP</stp>
        <tr r="G242" s="1"/>
      </tp>
      <tp>
        <v>1.05</v>
        <stp/>
        <stp>nse_fo|VEDL26DEC24430PE</stp>
        <stp>LTP</stp>
        <tr r="G243" s="1"/>
      </tp>
      <tp>
        <v>0.6</v>
        <stp/>
        <stp>nse_fo|VEDL26DEC24410PE</stp>
        <stp>LTP</stp>
        <tr r="G241" s="1"/>
      </tp>
      <tp>
        <v>6250</v>
        <stp/>
        <stp>nse_fo|JUBLFOOD26DEC24640PE</stp>
        <stp>Bid Qty</stp>
        <tr r="C151" s="1"/>
      </tp>
      <tp>
        <v>8750</v>
        <stp/>
        <stp>nse_fo|JUBLFOOD26DEC24600PE</stp>
        <stp>Bid Qty</stp>
        <tr r="C147" s="1"/>
      </tp>
      <tp>
        <v>3750</v>
        <stp/>
        <stp>nse_fo|JUBLFOOD26DEC24610PE</stp>
        <stp>Bid Qty</stp>
        <tr r="C148" s="1"/>
      </tp>
      <tp>
        <v>6250</v>
        <stp/>
        <stp>nse_fo|JUBLFOOD26DEC24620PE</stp>
        <stp>Bid Qty</stp>
        <tr r="C149" s="1"/>
      </tp>
      <tp>
        <v>10000</v>
        <stp/>
        <stp>nse_fo|JUBLFOOD26DEC24630PE</stp>
        <stp>Bid Qty</stp>
        <tr r="C150" s="1"/>
      </tp>
      <tp>
        <v>9</v>
        <stp/>
        <stp>nse_fo|VEDL26DEC24500CE</stp>
        <stp>LTP</stp>
        <tr r="L22" s="2"/>
        <tr r="G240" s="1"/>
      </tp>
      <tp>
        <v>18.75</v>
        <stp/>
        <stp>nse_fo|VEDL26DEC24480CE</stp>
        <stp>LTP</stp>
        <tr r="G238" s="1"/>
      </tp>
      <tp>
        <v>13.25</v>
        <stp/>
        <stp>nse_fo|VEDL26DEC24490CE</stp>
        <stp>LTP</stp>
        <tr r="L23" s="2"/>
        <tr r="G239" s="1"/>
      </tp>
      <tp>
        <v>33.549999999999997</v>
        <stp/>
        <stp>nse_fo|VEDL26DEC24460CE</stp>
        <stp>LTP</stp>
        <tr r="G236" s="1"/>
      </tp>
      <tp>
        <v>25.75</v>
        <stp/>
        <stp>nse_fo|VEDL26DEC24470CE</stp>
        <stp>LTP</stp>
        <tr r="G237" s="1"/>
      </tp>
      <tp>
        <v>52.6</v>
        <stp/>
        <stp>nse_fo|VEDL26DEC24440CE</stp>
        <stp>LTP</stp>
        <tr r="G234" s="1"/>
      </tp>
      <tp>
        <v>42.35</v>
        <stp/>
        <stp>nse_fo|VEDL26DEC24450CE</stp>
        <stp>LTP</stp>
        <tr r="G235" s="1"/>
      </tp>
      <tp>
        <v>86.65</v>
        <stp/>
        <stp>nse_fo|VEDL26DEC24420CE</stp>
        <stp>LTP</stp>
        <tr r="G232" s="1"/>
      </tp>
      <tp>
        <v>62.35</v>
        <stp/>
        <stp>nse_fo|VEDL26DEC24430CE</stp>
        <stp>LTP</stp>
        <tr r="G233" s="1"/>
      </tp>
      <tp>
        <v>1250</v>
        <stp/>
        <stp>nse_fo|JUBLFOOD26DEC24680CE</stp>
        <stp>Bid Qty</stp>
        <tr r="C144" s="1"/>
      </tp>
      <tp>
        <v>1250</v>
        <stp/>
        <stp>nse_fo|JUBLFOOD26DEC24690CE</stp>
        <stp>Bid Qty</stp>
        <tr r="C145" s="1"/>
      </tp>
      <tp>
        <v>1250</v>
        <stp/>
        <stp>nse_fo|JUBLFOOD26DEC24640CE</stp>
        <stp>Bid Qty</stp>
        <tr r="C140" s="1"/>
      </tp>
      <tp>
        <v>1250</v>
        <stp/>
        <stp>nse_fo|JUBLFOOD26DEC24650CE</stp>
        <stp>Bid Qty</stp>
        <tr r="C141" s="1"/>
      </tp>
      <tp>
        <v>1250</v>
        <stp/>
        <stp>nse_fo|JUBLFOOD26DEC24660CE</stp>
        <stp>Bid Qty</stp>
        <tr r="C142" s="1"/>
      </tp>
      <tp>
        <v>1250</v>
        <stp/>
        <stp>nse_fo|JUBLFOOD26DEC24670CE</stp>
        <stp>Bid Qty</stp>
        <tr r="C143" s="1"/>
      </tp>
      <tp>
        <v>1250</v>
        <stp/>
        <stp>nse_fo|JUBLFOOD26DEC24600CE</stp>
        <stp>Bid Qty</stp>
        <tr r="C136" s="1"/>
      </tp>
      <tp>
        <v>1250</v>
        <stp/>
        <stp>nse_fo|JUBLFOOD26DEC24610CE</stp>
        <stp>Bid Qty</stp>
        <tr r="C137" s="1"/>
      </tp>
      <tp>
        <v>1250</v>
        <stp/>
        <stp>nse_fo|JUBLFOOD26DEC24620CE</stp>
        <stp>Bid Qty</stp>
        <tr r="C138" s="1"/>
      </tp>
      <tp>
        <v>1250</v>
        <stp/>
        <stp>nse_fo|JUBLFOOD26DEC24630CE</stp>
        <stp>Bid Qty</stp>
        <tr r="C139" s="1"/>
      </tp>
      <tp>
        <v>2500</v>
        <stp/>
        <stp>nse_fo|JUBLFOOD26DEC24700CE</stp>
        <stp>Bid Qty</stp>
        <tr r="C146" s="1"/>
      </tp>
      <tp t="s">
        <v>26Dec2024</v>
        <stp/>
        <stp>nse_fo|ABB26DEC247400CE</stp>
        <stp>Series/Expiry</stp>
        <tr r="B30" s="1"/>
      </tp>
      <tp>
        <v>1.85</v>
        <stp/>
        <stp>nse_fo|FEDERALBNK26DEC24222.5CE</stp>
        <stp>Ask Rate</stp>
        <tr r="E109" s="1"/>
      </tp>
      <tp>
        <v>-14.25</v>
        <stp/>
        <stp>nse_fo|LAURUSLABS26DEC24560CE</stp>
        <stp>Net Change</stp>
        <tr r="K165" s="1"/>
      </tp>
      <tp t="s">
        <v>TATAMOTORS</v>
        <stp/>
        <stp>nse_cm|TATAMOTORS-EQ</stp>
        <stp>Symbol</stp>
        <tr r="A59" s="1"/>
        <tr r="A214" s="1"/>
      </tp>
      <tp>
        <v>5100</v>
        <stp/>
        <stp>nse_fo|LAURUSLABS26DEC24500PE</stp>
        <stp>Bid Qty</stp>
        <tr r="C170" s="1"/>
      </tp>
      <tp>
        <v>27200</v>
        <stp/>
        <stp>nse_fo|LAURUSLABS26DEC24510PE</stp>
        <stp>Bid Qty</stp>
        <tr r="C171" s="1"/>
      </tp>
      <tp>
        <v>1700</v>
        <stp/>
        <stp>nse_fo|LAURUSLABS26DEC24480PE</stp>
        <stp>Bid Qty</stp>
        <tr r="C168" s="1"/>
      </tp>
      <tp>
        <v>5100</v>
        <stp/>
        <stp>nse_fo|LAURUSLABS26DEC24490PE</stp>
        <stp>Bid Qty</stp>
        <tr r="C169" s="1"/>
      </tp>
      <tp>
        <v>3400</v>
        <stp/>
        <stp>nse_fo|LAURUSLABS26DEC24470PE</stp>
        <stp>Bid Qty</stp>
        <tr r="C167" s="1"/>
      </tp>
      <tp>
        <v>3400</v>
        <stp/>
        <stp>nse_fo|LAURUSLABS26DEC24560CE</stp>
        <stp>Bid Qty</stp>
        <tr r="C165" s="1"/>
      </tp>
      <tp>
        <v>3400</v>
        <stp/>
        <stp>nse_fo|LAURUSLABS26DEC24570CE</stp>
        <stp>Bid Qty</stp>
        <tr r="C166" s="1"/>
      </tp>
      <tp>
        <v>1700</v>
        <stp/>
        <stp>nse_fo|LAURUSLABS26DEC24540CE</stp>
        <stp>Bid Qty</stp>
        <tr r="C163" s="1"/>
      </tp>
      <tp>
        <v>1700</v>
        <stp/>
        <stp>nse_fo|LAURUSLABS26DEC24550CE</stp>
        <stp>Bid Qty</stp>
        <tr r="C164" s="1"/>
      </tp>
      <tp>
        <v>3400</v>
        <stp/>
        <stp>nse_fo|LAURUSLABS26DEC24520CE</stp>
        <stp>Bid Qty</stp>
        <tr r="C161" s="1"/>
      </tp>
      <tp>
        <v>1700</v>
        <stp/>
        <stp>nse_fo|LAURUSLABS26DEC24530CE</stp>
        <stp>Bid Qty</stp>
        <tr r="C162" s="1"/>
      </tp>
      <tp>
        <v>3400</v>
        <stp/>
        <stp>nse_fo|LAURUSLABS26DEC24500CE</stp>
        <stp>Bid Qty</stp>
        <tr r="C159" s="1"/>
      </tp>
      <tp>
        <v>1700</v>
        <stp/>
        <stp>nse_fo|LAURUSLABS26DEC24510CE</stp>
        <stp>Bid Qty</stp>
        <tr r="C160" s="1"/>
      </tp>
      <tp>
        <v>5100</v>
        <stp/>
        <stp>nse_fo|LAURUSLABS26DEC24480CE</stp>
        <stp>Bid Qty</stp>
        <tr r="C157" s="1"/>
      </tp>
      <tp>
        <v>5100</v>
        <stp/>
        <stp>nse_fo|LAURUSLABS26DEC24490CE</stp>
        <stp>Bid Qty</stp>
        <tr r="C158" s="1"/>
      </tp>
      <tp>
        <v>0</v>
        <stp/>
        <stp>nse_fo|LAURUSLABS26DEC24470CE</stp>
        <stp>Bid Qty</stp>
        <tr r="C156" s="1"/>
      </tp>
      <tp>
        <v>608.45000000000005</v>
        <stp/>
        <stp>nse_cm|BSOFT-EQ</stp>
        <stp>Ask Rate</stp>
        <tr r="E79" s="1"/>
      </tp>
      <tp>
        <v>0</v>
        <stp/>
        <stp>nse_cm|MUTHOOTFIN-EQ</stp>
        <stp>Strike Price</stp>
        <tr r="L194" s="1"/>
      </tp>
      <tp>
        <v>0</v>
        <stp/>
        <stp>nse_cm|TATAMOTORS-EQ</stp>
        <stp>Strike Price</stp>
        <tr r="L59" s="1"/>
        <tr r="L214" s="1"/>
      </tp>
      <tp>
        <v>-4.38</v>
        <stp/>
        <stp>nse_fo|MOTHERSON26DEC24FUT</stp>
        <stp>Net Change</stp>
        <tr r="K174" s="1"/>
      </tp>
      <tp t="s">
        <v>26Dec2024</v>
        <stp/>
        <stp>nse_fo|ABB26DEC247300CE</stp>
        <stp>Series/Expiry</stp>
        <tr r="B29" s="1"/>
      </tp>
      <tp>
        <v>-22.2</v>
        <stp/>
        <stp>nse_fo|LAURUSLABS26DEC24510CE</stp>
        <stp>Net Change</stp>
        <tr r="K160" s="1"/>
      </tp>
      <tp>
        <v>0.3</v>
        <stp/>
        <stp>nse_fo|LAURUSLABS26DEC24510PE</stp>
        <stp>Net Change</stp>
        <tr r="K171" s="1"/>
      </tp>
      <tp>
        <v>0</v>
        <stp/>
        <stp>nse_cm|ABB-EQ</stp>
        <stp>Strike Price</stp>
        <tr r="L20" s="1"/>
      </tp>
      <tp t="s">
        <v>26Dec2024</v>
        <stp/>
        <stp>nse_fo|ABB26DEC247200CE</stp>
        <stp>Series/Expiry</stp>
        <tr r="B28" s="1"/>
      </tp>
      <tp>
        <v>610.64</v>
        <stp/>
        <stp>nse_cm|BSOFT-EQ</stp>
        <stp>ATP</stp>
        <tr r="H79" s="1"/>
      </tp>
      <tp>
        <v>-21.85</v>
        <stp/>
        <stp>nse_fo|LAURUSLABS26DEC24500CE</stp>
        <stp>Net Change</stp>
        <tr r="K159" s="1"/>
      </tp>
      <tp>
        <v>0.1</v>
        <stp/>
        <stp>nse_fo|LAURUSLABS26DEC24500PE</stp>
        <stp>Net Change</stp>
        <tr r="K170" s="1"/>
      </tp>
      <tp t="s">
        <v>26Dec2024</v>
        <stp/>
        <stp>nse_fo|ABB26DEC247100CE</stp>
        <stp>Series/Expiry</stp>
        <tr r="B27" s="1"/>
      </tp>
      <tp>
        <v>-10.45</v>
        <stp/>
        <stp>nse_fo|LAURUSLABS26DEC24530CE</stp>
        <stp>Net Change</stp>
        <tr r="K162" s="1"/>
      </tp>
      <tp>
        <v>-0.3</v>
        <stp/>
        <stp>nse_fo|BSOFT26DEC24FUT</stp>
        <stp>% Change</stp>
        <tr r="J78" s="1"/>
        <tr r="E6" s="1"/>
      </tp>
      <tp>
        <v>126500</v>
        <stp/>
        <stp>nse_fo|VEDL26DEC24450CE</stp>
        <stp>Volume Traded Today</stp>
        <tr r="I235" s="1"/>
      </tp>
      <tp>
        <v>40250</v>
        <stp/>
        <stp>nse_fo|VEDL26DEC24440CE</stp>
        <stp>Volume Traded Today</stp>
        <tr r="I234" s="1"/>
      </tp>
      <tp>
        <v>548550</v>
        <stp/>
        <stp>nse_fo|VEDL26DEC24470CE</stp>
        <stp>Volume Traded Today</stp>
        <tr r="I237" s="1"/>
      </tp>
      <tp>
        <v>105800</v>
        <stp/>
        <stp>nse_fo|VEDL26DEC24460CE</stp>
        <stp>Volume Traded Today</stp>
        <tr r="I236" s="1"/>
      </tp>
      <tp>
        <v>2300</v>
        <stp/>
        <stp>nse_fo|VEDL26DEC24430CE</stp>
        <stp>Volume Traded Today</stp>
        <tr r="I233" s="1"/>
      </tp>
      <tp>
        <v>0</v>
        <stp/>
        <stp>nse_fo|VEDL26DEC24420CE</stp>
        <stp>Volume Traded Today</stp>
        <tr r="I232" s="1"/>
      </tp>
      <tp>
        <v>3850200</v>
        <stp/>
        <stp>nse_fo|VEDL26DEC24490CE</stp>
        <stp>Volume Traded Today</stp>
        <tr r="I239" s="1"/>
      </tp>
      <tp>
        <v>1972250</v>
        <stp/>
        <stp>nse_fo|VEDL26DEC24480CE</stp>
        <stp>Volume Traded Today</stp>
        <tr r="I238" s="1"/>
      </tp>
      <tp>
        <v>10446600</v>
        <stp/>
        <stp>nse_fo|VEDL26DEC24500CE</stp>
        <stp>Volume Traded Today</stp>
        <tr r="I240" s="1"/>
      </tp>
      <tp t="s">
        <v>26Dec2024</v>
        <stp/>
        <stp>nse_fo|ABB26DEC247000CE</stp>
        <stp>Series/Expiry</stp>
        <tr r="B26" s="1"/>
      </tp>
      <tp>
        <v>1771000</v>
        <stp/>
        <stp>nse_fo|VEDL26DEC24450PE</stp>
        <stp>Volume Traded Today</stp>
        <tr r="I245" s="1"/>
      </tp>
      <tp>
        <v>1261550</v>
        <stp/>
        <stp>nse_fo|VEDL26DEC24440PE</stp>
        <stp>Volume Traded Today</stp>
        <tr r="I244" s="1"/>
      </tp>
      <tp>
        <v>3860550</v>
        <stp/>
        <stp>nse_fo|VEDL26DEC24470PE</stp>
        <stp>Volume Traded Today</stp>
        <tr r="I247" s="1"/>
      </tp>
      <tp>
        <v>2581750</v>
        <stp/>
        <stp>nse_fo|VEDL26DEC24460PE</stp>
        <stp>Volume Traded Today</stp>
        <tr r="I246" s="1"/>
      </tp>
      <tp>
        <v>198950</v>
        <stp/>
        <stp>nse_fo|VEDL26DEC24410PE</stp>
        <stp>Volume Traded Today</stp>
        <tr r="I241" s="1"/>
      </tp>
      <tp>
        <v>842950</v>
        <stp/>
        <stp>nse_fo|VEDL26DEC24430PE</stp>
        <stp>Volume Traded Today</stp>
        <tr r="I243" s="1"/>
      </tp>
      <tp>
        <v>358800</v>
        <stp/>
        <stp>nse_fo|VEDL26DEC24420PE</stp>
        <stp>Volume Traded Today</stp>
        <tr r="I242" s="1"/>
      </tp>
      <tp>
        <v>4577000</v>
        <stp/>
        <stp>nse_fo|VEDL26DEC24480PE</stp>
        <stp>Volume Traded Today</stp>
        <tr r="I248" s="1"/>
      </tp>
      <tp>
        <v>-16.100000000000001</v>
        <stp/>
        <stp>nse_fo|LAURUSLABS26DEC24520CE</stp>
        <stp>Net Change</stp>
        <tr r="K161" s="1"/>
      </tp>
      <tp>
        <v>691.19</v>
        <stp/>
        <stp>nse_cm|JUBLFOOD-EQ</stp>
        <stp>ATP</stp>
        <tr r="H135" s="1"/>
      </tp>
      <tp>
        <v>2.4500000000000002</v>
        <stp/>
        <stp>nse_fo|TATAMOTORS26DEC24880CE</stp>
        <stp>Bid Rate</stp>
        <tr r="D70" s="1"/>
      </tp>
      <tp>
        <v>5.75</v>
        <stp/>
        <stp>nse_fo|TATAMOTORS26DEC24850CE</stp>
        <stp>Bid Rate</stp>
        <tr r="D222" s="1"/>
        <tr r="D67" s="1"/>
      </tp>
      <tp>
        <v>7.55</v>
        <stp/>
        <stp>nse_fo|TATAMOTORS26DEC24840CE</stp>
        <stp>Bid Rate</stp>
        <tr r="D221" s="1"/>
        <tr r="D66" s="1"/>
      </tp>
      <tp>
        <v>3.2</v>
        <stp/>
        <stp>nse_fo|TATAMOTORS26DEC24870CE</stp>
        <stp>Bid Rate</stp>
        <tr r="D69" s="1"/>
      </tp>
      <tp>
        <v>4.25</v>
        <stp/>
        <stp>nse_fo|TATAMOTORS26DEC24860CE</stp>
        <stp>Bid Rate</stp>
        <tr r="D68" s="1"/>
      </tp>
      <tp>
        <v>17.600000000000001</v>
        <stp/>
        <stp>nse_fo|TATAMOTORS26DEC24810CE</stp>
        <stp>Bid Rate</stp>
        <tr r="D63" s="1"/>
        <tr r="D218" s="1"/>
      </tp>
      <tp>
        <v>22.65</v>
        <stp/>
        <stp>nse_fo|TATAMOTORS26DEC24800CE</stp>
        <stp>Bid Rate</stp>
        <tr r="D62" s="1"/>
        <tr r="D217" s="1"/>
      </tp>
      <tp>
        <v>10.050000000000001</v>
        <stp/>
        <stp>nse_fo|TATAMOTORS26DEC24830CE</stp>
        <stp>Bid Rate</stp>
        <tr r="D65" s="1"/>
        <tr r="D220" s="1"/>
      </tp>
      <tp>
        <v>13.45</v>
        <stp/>
        <stp>nse_fo|TATAMOTORS26DEC24820CE</stp>
        <stp>Bid Rate</stp>
        <tr r="D64" s="1"/>
        <tr r="D219" s="1"/>
      </tp>
      <tp>
        <v>28.55</v>
        <stp/>
        <stp>nse_fo|TATAMOTORS26DEC24790CE</stp>
        <stp>Bid Rate</stp>
        <tr r="D61" s="1"/>
        <tr r="D216" s="1"/>
      </tp>
      <tp>
        <v>35.5</v>
        <stp/>
        <stp>nse_fo|TATAMOTORS26DEC24780CE</stp>
        <stp>Bid Rate</stp>
        <tr r="D215" s="1"/>
        <tr r="D60" s="1"/>
      </tp>
      <tp>
        <v>0.7</v>
        <stp/>
        <stp>nse_fo|TATAMOTORS26DEC24740PE</stp>
        <stp>Net Change</stp>
        <tr r="K75" s="1"/>
      </tp>
      <tp>
        <v>-3.35</v>
        <stp/>
        <stp>nse_fo|TATAMOTORS26DEC24840CE</stp>
        <stp>Net Change</stp>
        <tr r="K221" s="1"/>
        <tr r="K66" s="1"/>
      </tp>
      <tp>
        <v>4442.4399999999996</v>
        <stp/>
        <stp>nse_cm|HDFCAMC-EQ</stp>
        <stp>ATP</stp>
        <tr r="H118" s="1"/>
      </tp>
      <tp t="s">
        <v>VEDL</v>
        <stp/>
        <stp>nse_fo|VEDL26DEC24490CE</stp>
        <stp>Symbol</stp>
        <tr r="A239" s="1"/>
      </tp>
      <tp>
        <v>2.25</v>
        <stp/>
        <stp>nse_fo|MOTHERSON26DEC24160PE</stp>
        <stp>Bid Rate</stp>
        <tr r="D186" s="1"/>
      </tp>
      <tp>
        <v>4.1500000000000004</v>
        <stp/>
        <stp>nse_fo|MOTHERSON26DEC24165PE</stp>
        <stp>Bid Rate</stp>
        <tr r="D188" s="1"/>
      </tp>
      <tp>
        <v>6.9</v>
        <stp/>
        <stp>nse_fo|MOTHERSON26DEC24170PE</stp>
        <stp>Bid Rate</stp>
        <tr r="D190" s="1"/>
      </tp>
      <tp>
        <v>-29.4</v>
        <stp/>
        <stp>nse_fo|ADANIGREEN26DEC241040PE</stp>
        <stp>% Change</stp>
        <tr r="J51" s="1"/>
      </tp>
      <tp>
        <v>-27.87</v>
        <stp/>
        <stp>nse_fo|ADANIGREEN26DEC241060PE</stp>
        <stp>% Change</stp>
        <tr r="J52" s="1"/>
      </tp>
      <tp>
        <v>-24</v>
        <stp/>
        <stp>nse_fo|ADANIGREEN26DEC241080PE</stp>
        <stp>% Change</stp>
        <tr r="J53" s="1"/>
      </tp>
      <tp>
        <v>-25.96</v>
        <stp/>
        <stp>nse_fo|ADANIGREEN26DEC241100PE</stp>
        <stp>% Change</stp>
        <tr r="J54" s="1"/>
      </tp>
      <tp>
        <v>-20.079999999999998</v>
        <stp/>
        <stp>nse_fo|ADANIGREEN26DEC241120PE</stp>
        <stp>% Change</stp>
        <tr r="J55" s="1"/>
      </tp>
      <tp>
        <v>377</v>
        <stp/>
        <stp>nse_cm|MOTHERSON-EQ</stp>
        <stp>Bid Qty</stp>
        <tr r="C175" s="1"/>
      </tp>
      <tp>
        <v>7621.45</v>
        <stp/>
        <stp>nse_fo|ABB26DEC24FUT</stp>
        <stp>ATP</stp>
        <tr r="H19" s="1"/>
      </tp>
      <tp>
        <v>0</v>
        <stp/>
        <stp>nse_cm|LAURUSLABS-EQ</stp>
        <stp>Strike Price</stp>
        <tr r="L155" s="1"/>
      </tp>
      <tp>
        <v>1.8</v>
        <stp/>
        <stp>nse_fo|FEDERALBNK26DEC24222.5CE</stp>
        <stp>Bid Rate</stp>
        <tr r="D109" s="1"/>
      </tp>
      <tp>
        <v>1.05</v>
        <stp/>
        <stp>nse_fo|TATAMOTORS26DEC24750PE</stp>
        <stp>Net Change</stp>
        <tr r="K223" s="1"/>
      </tp>
      <tp>
        <v>-2.7</v>
        <stp/>
        <stp>nse_fo|TATAMOTORS26DEC24850CE</stp>
        <stp>Net Change</stp>
        <tr r="K222" s="1"/>
        <tr r="K67" s="1"/>
      </tp>
      <tp t="s">
        <v>VEDL</v>
        <stp/>
        <stp>nse_fo|VEDL26DEC24480CE</stp>
        <stp>Symbol</stp>
        <tr r="A248" s="1"/>
        <tr r="A238" s="1"/>
      </tp>
      <tp>
        <v>608.25</v>
        <stp/>
        <stp>nse_cm|BSOFT-EQ</stp>
        <stp>Bid Rate</stp>
        <tr r="D79" s="1"/>
      </tp>
      <tp>
        <v>558.04999999999995</v>
        <stp/>
        <stp>nse_fo|UPL26DEC24FUT</stp>
        <stp>LTP</stp>
        <tr r="J26" s="2"/>
        <tr r="G252" s="1"/>
        <tr r="D15" s="1"/>
      </tp>
      <tp>
        <v>10</v>
        <stp/>
        <stp>nse_cm|MOTHERSON-EQ</stp>
        <stp>Ask Qty</stp>
        <tr r="F175" s="1"/>
      </tp>
      <tp>
        <v>2.9</v>
        <stp/>
        <stp>nse_fo|FEDERALBNK26DEC24210PE</stp>
        <stp>Bid Rate</stp>
        <tr r="D114" s="1"/>
      </tp>
      <tp>
        <v>1.55</v>
        <stp/>
        <stp>nse_fo|FEDERALBNK26DEC24205PE</stp>
        <stp>Bid Rate</stp>
        <tr r="D112" s="1"/>
      </tp>
      <tp>
        <v>0.85</v>
        <stp/>
        <stp>nse_fo|FEDERALBNK26DEC24200PE</stp>
        <stp>Bid Rate</stp>
        <tr r="D110" s="1"/>
      </tp>
      <tp>
        <v>5.65</v>
        <stp/>
        <stp>nse_fo|FEDERALBNK26DEC24212.5CE</stp>
        <stp>Bid Rate</stp>
        <tr r="D105" s="1"/>
      </tp>
      <tp>
        <v>3.3</v>
        <stp/>
        <stp>nse_fo|FEDERALBNK26DEC24217.5CE</stp>
        <stp>Bid Rate</stp>
        <tr r="D107" s="1"/>
      </tp>
      <tp>
        <v>1.4</v>
        <stp/>
        <stp>nse_fo|TATAMOTORS26DEC24760PE</stp>
        <stp>Net Change</stp>
        <tr r="K224" s="1"/>
      </tp>
      <tp>
        <v>-2.1</v>
        <stp/>
        <stp>nse_fo|TATAMOTORS26DEC24860CE</stp>
        <stp>Net Change</stp>
        <tr r="K68" s="1"/>
      </tp>
      <tp>
        <v>490.4</v>
        <stp/>
        <stp>nse_fo|VEDL26DEC24FUT</stp>
        <stp>Bid Rate</stp>
        <tr r="D230" s="1"/>
      </tp>
      <tp t="s">
        <v>UPL</v>
        <stp/>
        <stp>nse_fo|UPL26DEC24580CE</stp>
        <stp>Symbol</stp>
        <tr r="A254" s="1"/>
      </tp>
      <tp t="s">
        <v>UPL</v>
        <stp/>
        <stp>nse_fo|UPL26DEC24680CE</stp>
        <stp>Symbol</stp>
        <tr r="A264" s="1"/>
      </tp>
      <tp>
        <v>0.4</v>
        <stp/>
        <stp>nse_fo|LAURUSLABS26DEC24470PE</stp>
        <stp>Bid Rate</stp>
        <tr r="D167" s="1"/>
      </tp>
      <tp>
        <v>0.45</v>
        <stp/>
        <stp>nse_fo|LAURUSLABS26DEC24480PE</stp>
        <stp>Bid Rate</stp>
        <tr r="D168" s="1"/>
      </tp>
      <tp>
        <v>0.55000000000000004</v>
        <stp/>
        <stp>nse_fo|LAURUSLABS26DEC24490PE</stp>
        <stp>Bid Rate</stp>
        <tr r="D169" s="1"/>
      </tp>
      <tp>
        <v>0.95</v>
        <stp/>
        <stp>nse_fo|LAURUSLABS26DEC24500PE</stp>
        <stp>Bid Rate</stp>
        <tr r="D170" s="1"/>
      </tp>
      <tp>
        <v>1.3</v>
        <stp/>
        <stp>nse_fo|LAURUSLABS26DEC24510PE</stp>
        <stp>Bid Rate</stp>
        <tr r="D171" s="1"/>
      </tp>
      <tp>
        <v>12.85</v>
        <stp/>
        <stp>nse_fo|FEDERALBNK26DEC24202.5CE</stp>
        <stp>Bid Rate</stp>
        <tr r="D101" s="1"/>
      </tp>
      <tp>
        <v>8.85</v>
        <stp/>
        <stp>nse_fo|FEDERALBNK26DEC24207.5CE</stp>
        <stp>Bid Rate</stp>
        <tr r="D103" s="1"/>
      </tp>
      <tp>
        <v>7618.05</v>
        <stp/>
        <stp>nse_fo|ABB26DEC24FUT</stp>
        <stp>Bid Rate</stp>
        <tr r="D19" s="1"/>
      </tp>
      <tp>
        <v>2.1</v>
        <stp/>
        <stp>nse_fo|TATAMOTORS26DEC24770PE</stp>
        <stp>Net Change</stp>
        <tr r="K225" s="1"/>
      </tp>
      <tp>
        <v>-1.6</v>
        <stp/>
        <stp>nse_fo|TATAMOTORS26DEC24870CE</stp>
        <stp>Net Change</stp>
        <tr r="K69" s="1"/>
      </tp>
      <tp>
        <v>558.1</v>
        <stp/>
        <stp>nse_fo|UPL26DEC24FUT</stp>
        <stp>Bid Rate</stp>
        <tr r="D252" s="1"/>
      </tp>
      <tp t="s">
        <v>UPL</v>
        <stp/>
        <stp>nse_fo|UPL26DEC24590CE</stp>
        <stp>Symbol</stp>
        <tr r="A265" s="1"/>
        <tr r="A255" s="1"/>
      </tp>
      <tp>
        <v>0.2</v>
        <stp/>
        <stp>nse_fo|TATAMOTORS26DEC24700PE</stp>
        <stp>Net Change</stp>
        <tr r="K71" s="1"/>
      </tp>
      <tp>
        <v>-7.4</v>
        <stp/>
        <stp>nse_fo|TATAMOTORS26DEC24800CE</stp>
        <stp>Net Change</stp>
        <tr r="K62" s="1"/>
        <tr r="K217" s="1"/>
      </tp>
      <tp>
        <v>0.2</v>
        <stp/>
        <stp>nse_fo|TATAMOTORS26DEC24710PE</stp>
        <stp>Net Change</stp>
        <tr r="K72" s="1"/>
      </tp>
      <tp>
        <v>-6.15</v>
        <stp/>
        <stp>nse_fo|TATAMOTORS26DEC24810CE</stp>
        <stp>Net Change</stp>
        <tr r="K63" s="1"/>
        <tr r="K218" s="1"/>
      </tp>
      <tp>
        <v>32.6</v>
        <stp/>
        <stp>nse_cm|ABB-EQ</stp>
        <stp>Net Change</stp>
        <tr r="K20" s="1"/>
      </tp>
      <tp>
        <v>0</v>
        <stp/>
        <stp>nse_cm|JUBLFOOD-EQ</stp>
        <stp>Strike Price</stp>
        <tr r="L135" s="1"/>
      </tp>
      <tp t="s">
        <v>EQ</v>
        <stp/>
        <stp>nse_cm|ABB-EQ</stp>
        <stp>Series/Expiry</stp>
        <tr r="B20" s="1"/>
      </tp>
      <tp>
        <v>3300</v>
        <stp/>
        <stp>nse_fo|TATAMOTORS26DEC24770PE</stp>
        <stp>Ask Qty</stp>
        <tr r="F225" s="1"/>
      </tp>
      <tp>
        <v>8800</v>
        <stp/>
        <stp>nse_fo|TATAMOTORS26DEC24760PE</stp>
        <stp>Ask Qty</stp>
        <tr r="F224" s="1"/>
      </tp>
      <tp>
        <v>7700</v>
        <stp/>
        <stp>nse_fo|TATAMOTORS26DEC24750PE</stp>
        <stp>Ask Qty</stp>
        <tr r="F223" s="1"/>
      </tp>
      <tp>
        <v>16500</v>
        <stp/>
        <stp>nse_fo|TATAMOTORS26DEC24740PE</stp>
        <stp>Ask Qty</stp>
        <tr r="F75" s="1"/>
      </tp>
      <tp>
        <v>550</v>
        <stp/>
        <stp>nse_fo|TATAMOTORS26DEC24730PE</stp>
        <stp>Ask Qty</stp>
        <tr r="F74" s="1"/>
      </tp>
      <tp>
        <v>11000</v>
        <stp/>
        <stp>nse_fo|TATAMOTORS26DEC24720PE</stp>
        <stp>Ask Qty</stp>
        <tr r="F73" s="1"/>
      </tp>
      <tp>
        <v>3850</v>
        <stp/>
        <stp>nse_fo|TATAMOTORS26DEC24710PE</stp>
        <stp>Ask Qty</stp>
        <tr r="F72" s="1"/>
      </tp>
      <tp>
        <v>6050</v>
        <stp/>
        <stp>nse_fo|TATAMOTORS26DEC24700PE</stp>
        <stp>Ask Qty</stp>
        <tr r="F71" s="1"/>
      </tp>
      <tp>
        <v>3850</v>
        <stp/>
        <stp>nse_fo|TATAMOTORS26DEC24790PE</stp>
        <stp>Ask Qty</stp>
        <tr r="F227" s="1"/>
      </tp>
      <tp>
        <v>11550</v>
        <stp/>
        <stp>nse_fo|TATAMOTORS26DEC24780PE</stp>
        <stp>Ask Qty</stp>
        <tr r="F226" s="1"/>
      </tp>
      <tp>
        <v>2200</v>
        <stp/>
        <stp>nse_fo|TATAMOTORS26DEC24870CE</stp>
        <stp>Ask Qty</stp>
        <tr r="F69" s="1"/>
      </tp>
      <tp>
        <v>12100</v>
        <stp/>
        <stp>nse_fo|TATAMOTORS26DEC24860CE</stp>
        <stp>Ask Qty</stp>
        <tr r="F68" s="1"/>
      </tp>
      <tp>
        <v>2200</v>
        <stp/>
        <stp>nse_fo|TATAMOTORS26DEC24850CE</stp>
        <stp>Ask Qty</stp>
        <tr r="F222" s="1"/>
        <tr r="F67" s="1"/>
      </tp>
      <tp>
        <v>9350</v>
        <stp/>
        <stp>nse_fo|TATAMOTORS26DEC24840CE</stp>
        <stp>Ask Qty</stp>
        <tr r="F221" s="1"/>
        <tr r="F66" s="1"/>
      </tp>
      <tp>
        <v>5500</v>
        <stp/>
        <stp>nse_fo|TATAMOTORS26DEC24830CE</stp>
        <stp>Ask Qty</stp>
        <tr r="F65" s="1"/>
        <tr r="F220" s="1"/>
      </tp>
      <tp>
        <v>10450</v>
        <stp/>
        <stp>nse_fo|TATAMOTORS26DEC24820CE</stp>
        <stp>Ask Qty</stp>
        <tr r="F64" s="1"/>
        <tr r="F219" s="1"/>
      </tp>
      <tp>
        <v>3850</v>
        <stp/>
        <stp>nse_fo|TATAMOTORS26DEC24810CE</stp>
        <stp>Ask Qty</stp>
        <tr r="F63" s="1"/>
        <tr r="F218" s="1"/>
      </tp>
      <tp>
        <v>550</v>
        <stp/>
        <stp>nse_fo|TATAMOTORS26DEC24800CE</stp>
        <stp>Ask Qty</stp>
        <tr r="F62" s="1"/>
        <tr r="F217" s="1"/>
      </tp>
      <tp>
        <v>6050</v>
        <stp/>
        <stp>nse_fo|TATAMOTORS26DEC24880CE</stp>
        <stp>Ask Qty</stp>
        <tr r="F70" s="1"/>
      </tp>
      <tp>
        <v>1100</v>
        <stp/>
        <stp>nse_fo|TATAMOTORS26DEC24790CE</stp>
        <stp>Ask Qty</stp>
        <tr r="F61" s="1"/>
        <tr r="F216" s="1"/>
      </tp>
      <tp>
        <v>550</v>
        <stp/>
        <stp>nse_fo|TATAMOTORS26DEC24780CE</stp>
        <stp>Ask Qty</stp>
        <tr r="F215" s="1"/>
        <tr r="F60" s="1"/>
      </tp>
      <tp>
        <v>0.3</v>
        <stp/>
        <stp>nse_fo|TATAMOTORS26DEC24720PE</stp>
        <stp>Net Change</stp>
        <tr r="K73" s="1"/>
      </tp>
      <tp>
        <v>-5.15</v>
        <stp/>
        <stp>nse_fo|TATAMOTORS26DEC24820CE</stp>
        <stp>Net Change</stp>
        <tr r="K64" s="1"/>
        <tr r="K219" s="1"/>
      </tp>
      <tp t="e">
        <v>#N/A</v>
        <stp/>
        <stp>nse_fo|NIFTY26OCT2319450PE</stp>
        <stp>Series/Expiry</stp>
        <tr r="B302" s="4"/>
      </tp>
      <tp t="s">
        <v>26Dec2024</v>
        <stp/>
        <stp>nse_fo|VEDL26DEC24FUT</stp>
        <stp>Series/Expiry</stp>
        <tr r="B230" s="1"/>
      </tp>
      <tp>
        <v>1100</v>
        <stp/>
        <stp>nse_fo|TATAMOTORS26DEC24790CE</stp>
        <stp>Bid Qty</stp>
        <tr r="C61" s="1"/>
        <tr r="C216" s="1"/>
      </tp>
      <tp>
        <v>550</v>
        <stp/>
        <stp>nse_fo|TATAMOTORS26DEC24780CE</stp>
        <stp>Bid Qty</stp>
        <tr r="C215" s="1"/>
        <tr r="C60" s="1"/>
      </tp>
      <tp>
        <v>11550</v>
        <stp/>
        <stp>nse_fo|TATAMOTORS26DEC24870CE</stp>
        <stp>Bid Qty</stp>
        <tr r="C69" s="1"/>
      </tp>
      <tp>
        <v>9900</v>
        <stp/>
        <stp>nse_fo|TATAMOTORS26DEC24860CE</stp>
        <stp>Bid Qty</stp>
        <tr r="C68" s="1"/>
      </tp>
      <tp>
        <v>7150</v>
        <stp/>
        <stp>nse_fo|TATAMOTORS26DEC24850CE</stp>
        <stp>Bid Qty</stp>
        <tr r="C222" s="1"/>
        <tr r="C67" s="1"/>
      </tp>
      <tp>
        <v>6600</v>
        <stp/>
        <stp>nse_fo|TATAMOTORS26DEC24840CE</stp>
        <stp>Bid Qty</stp>
        <tr r="C221" s="1"/>
        <tr r="C66" s="1"/>
      </tp>
      <tp>
        <v>13200</v>
        <stp/>
        <stp>nse_fo|TATAMOTORS26DEC24830CE</stp>
        <stp>Bid Qty</stp>
        <tr r="C65" s="1"/>
        <tr r="C220" s="1"/>
      </tp>
      <tp>
        <v>7150</v>
        <stp/>
        <stp>nse_fo|TATAMOTORS26DEC24820CE</stp>
        <stp>Bid Qty</stp>
        <tr r="C64" s="1"/>
        <tr r="C219" s="1"/>
      </tp>
      <tp>
        <v>2750</v>
        <stp/>
        <stp>nse_fo|TATAMOTORS26DEC24810CE</stp>
        <stp>Bid Qty</stp>
        <tr r="C63" s="1"/>
        <tr r="C218" s="1"/>
      </tp>
      <tp>
        <v>2750</v>
        <stp/>
        <stp>nse_fo|TATAMOTORS26DEC24800CE</stp>
        <stp>Bid Qty</stp>
        <tr r="C62" s="1"/>
        <tr r="C217" s="1"/>
      </tp>
      <tp>
        <v>8250</v>
        <stp/>
        <stp>nse_fo|TATAMOTORS26DEC24880CE</stp>
        <stp>Bid Qty</stp>
        <tr r="C70" s="1"/>
      </tp>
      <tp>
        <v>4950</v>
        <stp/>
        <stp>nse_fo|TATAMOTORS26DEC24770PE</stp>
        <stp>Bid Qty</stp>
        <tr r="C225" s="1"/>
      </tp>
      <tp>
        <v>8250</v>
        <stp/>
        <stp>nse_fo|TATAMOTORS26DEC24760PE</stp>
        <stp>Bid Qty</stp>
        <tr r="C224" s="1"/>
      </tp>
      <tp>
        <v>11000</v>
        <stp/>
        <stp>nse_fo|TATAMOTORS26DEC24750PE</stp>
        <stp>Bid Qty</stp>
        <tr r="C223" s="1"/>
      </tp>
      <tp>
        <v>22550</v>
        <stp/>
        <stp>nse_fo|TATAMOTORS26DEC24740PE</stp>
        <stp>Bid Qty</stp>
        <tr r="C75" s="1"/>
      </tp>
      <tp>
        <v>15400</v>
        <stp/>
        <stp>nse_fo|TATAMOTORS26DEC24730PE</stp>
        <stp>Bid Qty</stp>
        <tr r="C74" s="1"/>
      </tp>
      <tp>
        <v>3850</v>
        <stp/>
        <stp>nse_fo|TATAMOTORS26DEC24720PE</stp>
        <stp>Bid Qty</stp>
        <tr r="C73" s="1"/>
      </tp>
      <tp>
        <v>22550</v>
        <stp/>
        <stp>nse_fo|TATAMOTORS26DEC24710PE</stp>
        <stp>Bid Qty</stp>
        <tr r="C72" s="1"/>
      </tp>
      <tp>
        <v>2750</v>
        <stp/>
        <stp>nse_fo|TATAMOTORS26DEC24700PE</stp>
        <stp>Bid Qty</stp>
        <tr r="C71" s="1"/>
      </tp>
      <tp>
        <v>2200</v>
        <stp/>
        <stp>nse_fo|TATAMOTORS26DEC24790PE</stp>
        <stp>Bid Qty</stp>
        <tr r="C227" s="1"/>
      </tp>
      <tp>
        <v>4950</v>
        <stp/>
        <stp>nse_fo|TATAMOTORS26DEC24780PE</stp>
        <stp>Bid Qty</stp>
        <tr r="C226" s="1"/>
      </tp>
      <tp>
        <v>2.73</v>
        <stp/>
        <stp>nse_fo|HDFCAMC26DEC24FUT</stp>
        <stp>% Change</stp>
        <tr r="J117" s="1"/>
        <tr r="E8" s="1"/>
      </tp>
      <tp>
        <v>-53.85</v>
        <stp/>
        <stp>nse_fo|BSOFT26DEC24520PE</stp>
        <stp>% Change</stp>
        <tr r="J91" s="1"/>
      </tp>
      <tp>
        <v>-27.78</v>
        <stp/>
        <stp>nse_fo|BSOFT26DEC24530PE</stp>
        <stp>% Change</stp>
        <tr r="J92" s="1"/>
      </tp>
      <tp>
        <v>-20</v>
        <stp/>
        <stp>nse_fo|BSOFT26DEC24540PE</stp>
        <stp>% Change</stp>
        <tr r="J93" s="1"/>
      </tp>
      <tp>
        <v>-12.5</v>
        <stp/>
        <stp>nse_fo|BSOFT26DEC24550PE</stp>
        <stp>% Change</stp>
        <tr r="J94" s="1"/>
      </tp>
      <tp>
        <v>-13.04</v>
        <stp/>
        <stp>nse_fo|BSOFT26DEC24560PE</stp>
        <stp>% Change</stp>
        <tr r="J95" s="1"/>
      </tp>
      <tp>
        <v>0.45</v>
        <stp/>
        <stp>nse_fo|TATAMOTORS26DEC24730PE</stp>
        <stp>Net Change</stp>
        <tr r="K74" s="1"/>
      </tp>
      <tp>
        <v>-4.25</v>
        <stp/>
        <stp>nse_fo|TATAMOTORS26DEC24830CE</stp>
        <stp>Net Change</stp>
        <tr r="K65" s="1"/>
        <tr r="K220" s="1"/>
      </tp>
      <tp t="e">
        <v>#N/A</v>
        <stp/>
        <stp>nse_fo|NIFTY26OCT2319500PE</stp>
        <stp>Series/Expiry</stp>
        <tr r="B303" s="4"/>
      </tp>
      <tp t="s">
        <v>LAURUSLABS</v>
        <stp/>
        <stp>nse_cm|LAURUSLABS-EQ</stp>
        <stp>Symbol</stp>
        <tr r="A155" s="1"/>
      </tp>
      <tp>
        <v>3398340</v>
        <stp/>
        <stp>nse_fo|UPL26DEC24FUT</stp>
        <stp>Volume Traded Today</stp>
        <tr r="I252" s="1"/>
      </tp>
      <tp t="s">
        <v>VEDL</v>
        <stp/>
        <stp>nse_cm|VEDL-EQ</stp>
        <stp>Symbol</stp>
        <tr r="A231" s="1"/>
      </tp>
      <tp t="s">
        <v>VEDL</v>
        <stp/>
        <stp>nse_fo|VEDL26DEC24410CE</stp>
        <stp>Symbol</stp>
        <tr r="A241" s="1"/>
      </tp>
      <tp>
        <v>0</v>
        <stp/>
        <stp>nse_cm|UPL-EQ</stp>
        <stp>Strike Price</stp>
        <tr r="L253" s="1"/>
      </tp>
      <tp>
        <v>440085</v>
        <stp/>
        <stp>nse_cm|HDFCAMC-EQ</stp>
        <stp>Volume Traded Today</stp>
        <tr r="I118" s="1"/>
      </tp>
      <tp>
        <v>683</v>
        <stp/>
        <stp>nse_cm|VEDL-EQ</stp>
        <stp>Ask Qty</stp>
        <tr r="F231" s="1"/>
      </tp>
      <tp t="s">
        <v>UPL</v>
        <stp/>
        <stp>nse_fo|UPL26DEC24620CE</stp>
        <stp>Symbol</stp>
        <tr r="A268" s="1"/>
        <tr r="A258" s="1"/>
      </tp>
      <tp>
        <v>11.65</v>
        <stp/>
        <stp>nse_fo|TATAMOTORS26DEC24790PE</stp>
        <stp>Ask Rate</stp>
        <tr r="E227" s="1"/>
      </tp>
      <tp>
        <v>8.65</v>
        <stp/>
        <stp>nse_fo|TATAMOTORS26DEC24780PE</stp>
        <stp>Ask Rate</stp>
        <tr r="E226" s="1"/>
      </tp>
      <tp>
        <v>3.5</v>
        <stp/>
        <stp>nse_fo|TATAMOTORS26DEC24750PE</stp>
        <stp>Ask Rate</stp>
        <tr r="E223" s="1"/>
      </tp>
      <tp>
        <v>2.65</v>
        <stp/>
        <stp>nse_fo|TATAMOTORS26DEC24740PE</stp>
        <stp>Ask Rate</stp>
        <tr r="E75" s="1"/>
      </tp>
      <tp>
        <v>6.35</v>
        <stp/>
        <stp>nse_fo|TATAMOTORS26DEC24770PE</stp>
        <stp>Ask Rate</stp>
        <tr r="E225" s="1"/>
      </tp>
      <tp>
        <v>4.7</v>
        <stp/>
        <stp>nse_fo|TATAMOTORS26DEC24760PE</stp>
        <stp>Ask Rate</stp>
        <tr r="E224" s="1"/>
      </tp>
      <tp>
        <v>1.1499999999999999</v>
        <stp/>
        <stp>nse_fo|TATAMOTORS26DEC24710PE</stp>
        <stp>Ask Rate</stp>
        <tr r="E72" s="1"/>
      </tp>
      <tp>
        <v>1</v>
        <stp/>
        <stp>nse_fo|TATAMOTORS26DEC24700PE</stp>
        <stp>Ask Rate</stp>
        <tr r="E71" s="1"/>
      </tp>
      <tp>
        <v>1.95</v>
        <stp/>
        <stp>nse_fo|TATAMOTORS26DEC24730PE</stp>
        <stp>Ask Rate</stp>
        <tr r="E74" s="1"/>
      </tp>
      <tp>
        <v>1.55</v>
        <stp/>
        <stp>nse_fo|TATAMOTORS26DEC24720PE</stp>
        <stp>Ask Rate</stp>
        <tr r="E73" s="1"/>
      </tp>
      <tp>
        <v>5420</v>
        <stp/>
        <stp>nse_fo|UPL26DEC24590CE</stp>
        <stp>Bid Qty</stp>
        <tr r="C255" s="1"/>
      </tp>
      <tp>
        <v>6775</v>
        <stp/>
        <stp>nse_fo|UPL26DEC24580CE</stp>
        <stp>Bid Qty</stp>
        <tr r="C254" s="1"/>
      </tp>
      <tp>
        <v>0</v>
        <stp/>
        <stp>nse_fo|UPL26DEC24680CE</stp>
        <stp>Bid Qty</stp>
        <tr r="C264" s="1"/>
      </tp>
      <tp>
        <v>16260</v>
        <stp/>
        <stp>nse_fo|UPL26DEC24610CE</stp>
        <stp>Bid Qty</stp>
        <tr r="C257" s="1"/>
      </tp>
      <tp>
        <v>4065</v>
        <stp/>
        <stp>nse_fo|UPL26DEC24600CE</stp>
        <stp>Bid Qty</stp>
        <tr r="C256" s="1"/>
      </tp>
      <tp>
        <v>20325</v>
        <stp/>
        <stp>nse_fo|UPL26DEC24630CE</stp>
        <stp>Bid Qty</stp>
        <tr r="C259" s="1"/>
      </tp>
      <tp>
        <v>1355</v>
        <stp/>
        <stp>nse_fo|UPL26DEC24620CE</stp>
        <stp>Bid Qty</stp>
        <tr r="C258" s="1"/>
      </tp>
      <tp t="e">
        <v>#N/A</v>
        <stp/>
        <stp>nse_fo|UPL26DEC24650CE</stp>
        <stp>Bid Qty</stp>
        <tr r="C261" s="1"/>
      </tp>
      <tp>
        <v>10840</v>
        <stp/>
        <stp>nse_fo|UPL26DEC24640CE</stp>
        <stp>Bid Qty</stp>
        <tr r="C260" s="1"/>
      </tp>
      <tp t="e">
        <v>#N/A</v>
        <stp/>
        <stp>nse_fo|UPL26DEC24670CE</stp>
        <stp>Bid Qty</stp>
        <tr r="C263" s="1"/>
      </tp>
      <tp>
        <v>1355</v>
        <stp/>
        <stp>nse_fo|UPL26DEC24660CE</stp>
        <stp>Bid Qty</stp>
        <tr r="C262" s="1"/>
      </tp>
      <tp>
        <v>24636.9</v>
        <stp/>
        <stp>Nifty 50</stp>
        <stp>Index Value</stp>
        <tr r="C2" s="1"/>
      </tp>
      <tp>
        <v>1355</v>
        <stp/>
        <stp>nse_fo|UPL26DEC24590PE</stp>
        <stp>Bid Qty</stp>
        <tr r="C265" s="1"/>
      </tp>
      <tp>
        <v>4065</v>
        <stp/>
        <stp>nse_fo|UPL26DEC24610PE</stp>
        <stp>Bid Qty</stp>
        <tr r="C267" s="1"/>
      </tp>
      <tp>
        <v>1355</v>
        <stp/>
        <stp>nse_fo|UPL26DEC24600PE</stp>
        <stp>Bid Qty</stp>
        <tr r="C266" s="1"/>
      </tp>
      <tp>
        <v>4065</v>
        <stp/>
        <stp>nse_fo|UPL26DEC24630PE</stp>
        <stp>Bid Qty</stp>
        <tr r="C269" s="1"/>
      </tp>
      <tp>
        <v>4065</v>
        <stp/>
        <stp>nse_fo|UPL26DEC24620PE</stp>
        <stp>Bid Qty</stp>
        <tr r="C268" s="1"/>
      </tp>
      <tp t="s">
        <v>VEDL</v>
        <stp/>
        <stp>nse_fo|VEDL26DEC24500CE</stp>
        <stp>Symbol</stp>
        <tr r="A240" s="1"/>
      </tp>
      <tp>
        <v>-12.95</v>
        <stp/>
        <stp>nse_fo|TATAMOTORS26DEC24FUT</stp>
        <stp>Net Change</stp>
        <tr r="K213" s="1"/>
        <tr r="K58" s="1"/>
      </tp>
      <tp>
        <v>5.85</v>
        <stp/>
        <stp>nse_fo|MOTHERSON26DEC24165CE</stp>
        <stp>Ask Rate</stp>
        <tr r="E176" s="1"/>
      </tp>
      <tp>
        <v>3.6</v>
        <stp/>
        <stp>nse_fo|MOTHERSON26DEC24170CE</stp>
        <stp>Ask Rate</stp>
        <tr r="E178" s="1"/>
      </tp>
      <tp>
        <v>2.1</v>
        <stp/>
        <stp>nse_fo|MOTHERSON26DEC24175CE</stp>
        <stp>Ask Rate</stp>
        <tr r="E180" s="1"/>
      </tp>
      <tp>
        <v>1.25</v>
        <stp/>
        <stp>nse_fo|MOTHERSON26DEC24180CE</stp>
        <stp>Ask Rate</stp>
        <tr r="E182" s="1"/>
      </tp>
      <tp>
        <v>0.75</v>
        <stp/>
        <stp>nse_fo|MOTHERSON26DEC24185CE</stp>
        <stp>Ask Rate</stp>
        <tr r="E184" s="1"/>
      </tp>
      <tp>
        <v>25.5</v>
        <stp/>
        <stp>nse_fo|MUTHOOTFIN26DEC24FUT</stp>
        <stp>Net Change</stp>
        <tr r="K193" s="1"/>
      </tp>
      <tp t="s">
        <v>FEDERALBNK</v>
        <stp/>
        <stp>nse_cm|FEDERALBNK-EQ</stp>
        <stp>Symbol</stp>
        <tr r="A99" s="1"/>
      </tp>
      <tp>
        <v>65000</v>
        <stp/>
        <stp>nse_fo|FEDERALBNK26DEC24215CE</stp>
        <stp>Ask Qty</stp>
        <tr r="F106" s="1"/>
      </tp>
      <tp>
        <v>5000</v>
        <stp/>
        <stp>nse_fo|FEDERALBNK26DEC24205CE</stp>
        <stp>Ask Qty</stp>
        <tr r="F102" s="1"/>
      </tp>
      <tp>
        <v>135000</v>
        <stp/>
        <stp>nse_fo|FEDERALBNK26DEC24205PE</stp>
        <stp>Ask Qty</stp>
        <tr r="F112" s="1"/>
      </tp>
      <tp>
        <v>163875</v>
        <stp/>
        <stp>nse_fo|ABB26DEC24FUT</stp>
        <stp>Volume Traded Today</stp>
        <tr r="I19" s="1"/>
      </tp>
      <tp>
        <v>64.89</v>
        <stp/>
        <stp>nse_fo|MUTHOOTFIN26DEC242000CE</stp>
        <stp>% Change</stp>
        <tr r="J202" s="1"/>
      </tp>
      <tp>
        <v>80.150000000000006</v>
        <stp/>
        <stp>nse_fo|MUTHOOTFIN26DEC242020CE</stp>
        <stp>% Change</stp>
        <tr r="J203" s="1"/>
      </tp>
      <tp>
        <v>86.44</v>
        <stp/>
        <stp>nse_fo|MUTHOOTFIN26DEC242040CE</stp>
        <stp>% Change</stp>
        <tr r="J204" s="1"/>
      </tp>
      <tp>
        <v>90.91</v>
        <stp/>
        <stp>nse_fo|MUTHOOTFIN26DEC242060CE</stp>
        <stp>% Change</stp>
        <tr r="J205" s="1"/>
      </tp>
      <tp t="s">
        <v>UPL</v>
        <stp/>
        <stp>nse_fo|UPL26DEC24630CE</stp>
        <stp>Symbol</stp>
        <tr r="A269" s="1"/>
        <tr r="A259" s="1"/>
      </tp>
      <tp>
        <v>1355</v>
        <stp/>
        <stp>nse_fo|UPL26DEC24610PE</stp>
        <stp>Ask Qty</stp>
        <tr r="F267" s="1"/>
      </tp>
      <tp>
        <v>1355</v>
        <stp/>
        <stp>nse_fo|UPL26DEC24600PE</stp>
        <stp>Ask Qty</stp>
        <tr r="F266" s="1"/>
      </tp>
      <tp>
        <v>14905</v>
        <stp/>
        <stp>nse_fo|UPL26DEC24630PE</stp>
        <stp>Ask Qty</stp>
        <tr r="F269" s="1"/>
      </tp>
      <tp>
        <v>1355</v>
        <stp/>
        <stp>nse_fo|UPL26DEC24620PE</stp>
        <stp>Ask Qty</stp>
        <tr r="F268" s="1"/>
      </tp>
      <tp>
        <v>1355</v>
        <stp/>
        <stp>nse_fo|UPL26DEC24590PE</stp>
        <stp>Ask Qty</stp>
        <tr r="F265" s="1"/>
      </tp>
      <tp>
        <v>-28.57</v>
        <stp/>
        <stp>nse_fo|UPL26DEC24590CE</stp>
        <stp>% Change</stp>
        <tr r="J255" s="1"/>
      </tp>
      <tp>
        <v>-23.88</v>
        <stp/>
        <stp>nse_fo|UPL26DEC24580CE</stp>
        <stp>% Change</stp>
        <tr r="J254" s="1"/>
      </tp>
      <tp>
        <v>-100</v>
        <stp/>
        <stp>nse_fo|UPL26DEC24680CE</stp>
        <stp>% Change</stp>
        <tr r="J264" s="1"/>
      </tp>
      <tp>
        <v>-100</v>
        <stp/>
        <stp>nse_fo|UPL26DEC24630CE</stp>
        <stp>% Change</stp>
        <tr r="J259" s="1"/>
      </tp>
      <tp>
        <v>-25</v>
        <stp/>
        <stp>nse_fo|UPL26DEC24620CE</stp>
        <stp>% Change</stp>
        <tr r="J258" s="1"/>
      </tp>
      <tp>
        <v>-20.69</v>
        <stp/>
        <stp>nse_fo|UPL26DEC24610CE</stp>
        <stp>% Change</stp>
        <tr r="J257" s="1"/>
      </tp>
      <tp>
        <v>-27.45</v>
        <stp/>
        <stp>nse_fo|UPL26DEC24600CE</stp>
        <stp>% Change</stp>
        <tr r="J256" s="1"/>
      </tp>
      <tp t="e">
        <v>#N/A</v>
        <stp/>
        <stp>nse_fo|UPL26DEC24670CE</stp>
        <stp>% Change</stp>
        <tr r="J263" s="1"/>
      </tp>
      <tp>
        <v>-100</v>
        <stp/>
        <stp>nse_fo|UPL26DEC24660CE</stp>
        <stp>% Change</stp>
        <tr r="J262" s="1"/>
      </tp>
      <tp t="e">
        <v>#N/A</v>
        <stp/>
        <stp>nse_fo|UPL26DEC24650CE</stp>
        <stp>% Change</stp>
        <tr r="J261" s="1"/>
      </tp>
      <tp>
        <v>0</v>
        <stp/>
        <stp>nse_fo|UPL26DEC24640CE</stp>
        <stp>% Change</stp>
        <tr r="J260" s="1"/>
      </tp>
      <tp>
        <v>2.15</v>
        <stp/>
        <stp>nse_fo|FEDERALBNK26DEC24207.5PE</stp>
        <stp>Ask Rate</stp>
        <tr r="E113" s="1"/>
      </tp>
      <tp>
        <v>0</v>
        <stp/>
        <stp>nse_fo|UPL26DEC24680CE</stp>
        <stp>Ask Qty</stp>
        <tr r="F264" s="1"/>
      </tp>
      <tp>
        <v>18970</v>
        <stp/>
        <stp>nse_fo|UPL26DEC24610CE</stp>
        <stp>Ask Qty</stp>
        <tr r="F257" s="1"/>
      </tp>
      <tp>
        <v>17615</v>
        <stp/>
        <stp>nse_fo|UPL26DEC24600CE</stp>
        <stp>Ask Qty</stp>
        <tr r="F256" s="1"/>
      </tp>
      <tp>
        <v>5420</v>
        <stp/>
        <stp>nse_fo|UPL26DEC24630CE</stp>
        <stp>Ask Qty</stp>
        <tr r="F259" s="1"/>
      </tp>
      <tp>
        <v>17615</v>
        <stp/>
        <stp>nse_fo|UPL26DEC24620CE</stp>
        <stp>Ask Qty</stp>
        <tr r="F258" s="1"/>
      </tp>
      <tp t="e">
        <v>#N/A</v>
        <stp/>
        <stp>nse_fo|UPL26DEC24650CE</stp>
        <stp>Ask Qty</stp>
        <tr r="F261" s="1"/>
      </tp>
      <tp>
        <v>1355</v>
        <stp/>
        <stp>nse_fo|UPL26DEC24640CE</stp>
        <stp>Ask Qty</stp>
        <tr r="F260" s="1"/>
      </tp>
      <tp t="e">
        <v>#N/A</v>
        <stp/>
        <stp>nse_fo|UPL26DEC24670CE</stp>
        <stp>Ask Qty</stp>
        <tr r="F263" s="1"/>
      </tp>
      <tp>
        <v>40650</v>
        <stp/>
        <stp>nse_fo|UPL26DEC24660CE</stp>
        <stp>Ask Qty</stp>
        <tr r="F262" s="1"/>
      </tp>
      <tp>
        <v>5420</v>
        <stp/>
        <stp>nse_fo|UPL26DEC24590CE</stp>
        <stp>Ask Qty</stp>
        <tr r="F255" s="1"/>
      </tp>
      <tp>
        <v>8130</v>
        <stp/>
        <stp>nse_fo|UPL26DEC24580CE</stp>
        <stp>Ask Qty</stp>
        <tr r="F254" s="1"/>
      </tp>
      <tp>
        <v>1.2</v>
        <stp/>
        <stp>nse_fo|FEDERALBNK26DEC24202.5PE</stp>
        <stp>Ask Rate</stp>
        <tr r="E111" s="1"/>
      </tp>
      <tp>
        <v>39.6</v>
        <stp/>
        <stp>nse_fo|LAURUSLABS26DEC24540CE</stp>
        <stp>Ask Rate</stp>
        <tr r="E163" s="1"/>
      </tp>
      <tp>
        <v>31.9</v>
        <stp/>
        <stp>nse_fo|LAURUSLABS26DEC24550CE</stp>
        <stp>Ask Rate</stp>
        <tr r="E164" s="1"/>
      </tp>
      <tp>
        <v>24.85</v>
        <stp/>
        <stp>nse_fo|LAURUSLABS26DEC24560CE</stp>
        <stp>Ask Rate</stp>
        <tr r="E165" s="1"/>
      </tp>
      <tp>
        <v>19</v>
        <stp/>
        <stp>nse_fo|LAURUSLABS26DEC24570CE</stp>
        <stp>Ask Rate</stp>
        <tr r="E166" s="1"/>
      </tp>
      <tp>
        <v>76.45</v>
        <stp/>
        <stp>nse_fo|LAURUSLABS26DEC24500CE</stp>
        <stp>Ask Rate</stp>
        <tr r="E159" s="1"/>
      </tp>
      <tp>
        <v>66.2</v>
        <stp/>
        <stp>nse_fo|LAURUSLABS26DEC24510CE</stp>
        <stp>Ask Rate</stp>
        <tr r="E160" s="1"/>
      </tp>
      <tp>
        <v>57</v>
        <stp/>
        <stp>nse_fo|LAURUSLABS26DEC24520CE</stp>
        <stp>Ask Rate</stp>
        <tr r="E161" s="1"/>
      </tp>
      <tp>
        <v>48.3</v>
        <stp/>
        <stp>nse_fo|LAURUSLABS26DEC24530CE</stp>
        <stp>Ask Rate</stp>
        <tr r="E162" s="1"/>
      </tp>
      <tp>
        <v>0</v>
        <stp/>
        <stp>nse_fo|LAURUSLABS26DEC24470CE</stp>
        <stp>Ask Rate</stp>
        <tr r="E156" s="1"/>
      </tp>
      <tp>
        <v>98.35</v>
        <stp/>
        <stp>nse_fo|LAURUSLABS26DEC24480CE</stp>
        <stp>Ask Rate</stp>
        <tr r="E157" s="1"/>
      </tp>
      <tp>
        <v>88.55</v>
        <stp/>
        <stp>nse_fo|LAURUSLABS26DEC24490CE</stp>
        <stp>Ask Rate</stp>
        <tr r="E158" s="1"/>
      </tp>
      <tp t="s">
        <v>VEDL</v>
        <stp/>
        <stp>nse_fo|VEDL26DEC24430CE</stp>
        <stp>Symbol</stp>
        <tr r="A233" s="1"/>
        <tr r="A243" s="1"/>
      </tp>
      <tp>
        <v>115000</v>
        <stp/>
        <stp>nse_fo|FEDERALBNK26DEC24205PE</stp>
        <stp>Bid Qty</stp>
        <tr r="C112" s="1"/>
      </tp>
      <tp>
        <v>41.1</v>
        <stp/>
        <stp>nse_fo|HDFCAMC26DEC244550CE</stp>
        <stp>Net Change</stp>
        <tr r="K126" s="1"/>
      </tp>
      <tp>
        <v>57.85</v>
        <stp/>
        <stp>nse_fo|HDFCAMC26DEC244450CE</stp>
        <stp>Net Change</stp>
        <tr r="K124" s="1"/>
      </tp>
      <tp>
        <v>77.599999999999994</v>
        <stp/>
        <stp>nse_fo|HDFCAMC26DEC244350CE</stp>
        <stp>Net Change</stp>
        <tr r="K122" s="1"/>
      </tp>
      <tp>
        <v>59.1</v>
        <stp/>
        <stp>nse_fo|HDFCAMC26DEC244250CE</stp>
        <stp>Net Change</stp>
        <tr r="K120" s="1"/>
      </tp>
      <tp>
        <v>85000</v>
        <stp/>
        <stp>nse_fo|FEDERALBNK26DEC24215CE</stp>
        <stp>Bid Qty</stp>
        <tr r="C106" s="1"/>
      </tp>
      <tp>
        <v>10000</v>
        <stp/>
        <stp>nse_fo|FEDERALBNK26DEC24205CE</stp>
        <stp>Bid Qty</stp>
        <tr r="C102" s="1"/>
      </tp>
      <tp>
        <v>-38.75</v>
        <stp/>
        <stp>nse_fo|HDFCAMC26DEC244150PE</stp>
        <stp>Net Change</stp>
        <tr r="K130" s="1"/>
      </tp>
      <tp>
        <v>-6.85</v>
        <stp/>
        <stp>nse_fo|HDFCAMC26DEC244050PE</stp>
        <stp>Net Change</stp>
        <tr r="K128" s="1"/>
      </tp>
      <tp t="s">
        <v>UPL</v>
        <stp/>
        <stp>nse_fo|UPL26DEC24600CE</stp>
        <stp>Symbol</stp>
        <tr r="A266" s="1"/>
        <tr r="A256" s="1"/>
      </tp>
      <tp>
        <v>27.32</v>
        <stp/>
        <stp>nse_fo|MUTHOOTFIN26DEC241900CE</stp>
        <stp>% Change</stp>
        <tr r="J197" s="1"/>
      </tp>
      <tp>
        <v>19.350000000000001</v>
        <stp/>
        <stp>nse_fo|MUTHOOTFIN26DEC241920CE</stp>
        <stp>% Change</stp>
        <tr r="J198" s="1"/>
      </tp>
      <tp>
        <v>40.97</v>
        <stp/>
        <stp>nse_fo|MUTHOOTFIN26DEC241940CE</stp>
        <stp>% Change</stp>
        <tr r="J199" s="1"/>
      </tp>
      <tp>
        <v>44.99</v>
        <stp/>
        <stp>nse_fo|MUTHOOTFIN26DEC241960CE</stp>
        <stp>% Change</stp>
        <tr r="J200" s="1"/>
      </tp>
      <tp>
        <v>55.38</v>
        <stp/>
        <stp>nse_fo|MUTHOOTFIN26DEC241980CE</stp>
        <stp>% Change</stp>
        <tr r="J201" s="1"/>
      </tp>
      <tp>
        <v>22.47</v>
        <stp/>
        <stp>nse_fo|MUTHOOTFIN26DEC241860CE</stp>
        <stp>% Change</stp>
        <tr r="J195" s="1"/>
      </tp>
      <tp>
        <v>0</v>
        <stp/>
        <stp>nse_fo|MUTHOOTFIN26DEC241880CE</stp>
        <stp>% Change</stp>
        <tr r="J196" s="1"/>
      </tp>
      <tp>
        <v>4.5</v>
        <stp/>
        <stp>nse_fo|FEDERALBNK26DEC24215CE</stp>
        <stp>Ask Rate</stp>
        <tr r="E106" s="1"/>
      </tp>
      <tp>
        <v>7.3</v>
        <stp/>
        <stp>nse_fo|FEDERALBNK26DEC24210CE</stp>
        <stp>Ask Rate</stp>
        <tr r="E104" s="1"/>
      </tp>
      <tp>
        <v>10.95</v>
        <stp/>
        <stp>nse_fo|FEDERALBNK26DEC24205CE</stp>
        <stp>Ask Rate</stp>
        <tr r="E102" s="1"/>
      </tp>
      <tp>
        <v>15.25</v>
        <stp/>
        <stp>nse_fo|FEDERALBNK26DEC24200CE</stp>
        <stp>Ask Rate</stp>
        <tr r="E100" s="1"/>
      </tp>
      <tp>
        <v>2.5499999999999998</v>
        <stp/>
        <stp>nse_fo|FEDERALBNK26DEC24220CE</stp>
        <stp>Ask Rate</stp>
        <tr r="E108" s="1"/>
      </tp>
      <tp>
        <v>-4.7</v>
        <stp/>
        <stp>nse_cm|UPL-EQ</stp>
        <stp>Net Change</stp>
        <tr r="K253" s="1"/>
      </tp>
      <tp t="s">
        <v>VEDL</v>
        <stp/>
        <stp>nse_fo|VEDL26DEC24420CE</stp>
        <stp>Symbol</stp>
        <tr r="A242" s="1"/>
        <tr r="A232" s="1"/>
      </tp>
      <tp t="s">
        <v>ADANIGREEN</v>
        <stp/>
        <stp>nse_cm|ADANIGREEN-EQ</stp>
        <stp>Symbol</stp>
        <tr r="A40" s="1"/>
      </tp>
      <tp>
        <v>23</v>
        <stp/>
        <stp>nse_cm|VEDL-EQ</stp>
        <stp>Bid Qty</stp>
        <tr r="C231" s="1"/>
      </tp>
      <tp t="s">
        <v>UPL</v>
        <stp/>
        <stp>nse_fo|UPL26DEC24610CE</stp>
        <stp>Symbol</stp>
        <tr r="A267" s="1"/>
        <tr r="A257" s="1"/>
      </tp>
      <tp>
        <v>7613.65</v>
        <stp/>
        <stp>nse_fo|ABB26DEC24FUT</stp>
        <stp>LTP</stp>
        <tr r="D3" s="1"/>
        <tr r="B3" s="2"/>
        <tr r="G19" s="1"/>
      </tp>
      <tp>
        <v>166.57</v>
        <stp/>
        <stp>nse_fo|MOTHERSON26DEC24FUT</stp>
        <stp>Ask Rate</stp>
        <tr r="E174" s="1"/>
      </tp>
      <tp>
        <v>-0.05</v>
        <stp/>
        <stp>nse_fo|FEDERALBNK26DEC24205CE</stp>
        <stp>Net Change</stp>
        <tr r="K102" s="1"/>
      </tp>
      <tp>
        <v>-0.35</v>
        <stp/>
        <stp>nse_fo|FEDERALBNK26DEC24205PE</stp>
        <stp>Net Change</stp>
        <tr r="K112" s="1"/>
      </tp>
      <tp>
        <v>-0.1</v>
        <stp/>
        <stp>nse_fo|FEDERALBNK26DEC24200CE</stp>
        <stp>Net Change</stp>
        <tr r="K100" s="1"/>
      </tp>
      <tp>
        <v>-0.2</v>
        <stp/>
        <stp>nse_fo|FEDERALBNK26DEC24200PE</stp>
        <stp>Net Change</stp>
        <tr r="K110" s="1"/>
      </tp>
      <tp>
        <v>2.9</v>
        <stp/>
        <stp>nse_fo|TATAMOTORS26DEC24780PE</stp>
        <stp>Net Change</stp>
        <tr r="K226" s="1"/>
      </tp>
      <tp>
        <v>-1.3</v>
        <stp/>
        <stp>nse_fo|TATAMOTORS26DEC24880CE</stp>
        <stp>Net Change</stp>
        <tr r="K70" s="1"/>
      </tp>
      <tp>
        <v>-9.6</v>
        <stp/>
        <stp>nse_fo|TATAMOTORS26DEC24780CE</stp>
        <stp>Net Change</stp>
        <tr r="K215" s="1"/>
        <tr r="K60" s="1"/>
      </tp>
      <tp t="s">
        <v>VEDL</v>
        <stp/>
        <stp>nse_fo|VEDL26DEC24450CE</stp>
        <stp>Symbol</stp>
        <tr r="A235" s="1"/>
        <tr r="A245" s="1"/>
      </tp>
      <tp>
        <v>45000</v>
        <stp/>
        <stp>nse_fo|FEDERALBNK26DEC24220CE</stp>
        <stp>Ask Qty</stp>
        <tr r="F108" s="1"/>
      </tp>
      <tp>
        <v>15000</v>
        <stp/>
        <stp>nse_fo|FEDERALBNK26DEC24210CE</stp>
        <stp>Ask Qty</stp>
        <tr r="F104" s="1"/>
      </tp>
      <tp>
        <v>10000</v>
        <stp/>
        <stp>nse_fo|FEDERALBNK26DEC24200CE</stp>
        <stp>Ask Qty</stp>
        <tr r="F100" s="1"/>
      </tp>
      <tp>
        <v>80000</v>
        <stp/>
        <stp>nse_fo|FEDERALBNK26DEC24210PE</stp>
        <stp>Ask Qty</stp>
        <tr r="F114" s="1"/>
      </tp>
      <tp>
        <v>210000</v>
        <stp/>
        <stp>nse_fo|FEDERALBNK26DEC24200PE</stp>
        <stp>Ask Qty</stp>
        <tr r="F110" s="1"/>
      </tp>
      <tp t="s">
        <v>UPL</v>
        <stp/>
        <stp>nse_fo|UPL26DEC24660CE</stp>
        <stp>Symbol</stp>
        <tr r="A262" s="1"/>
      </tp>
      <tp t="s">
        <v>EQ</v>
        <stp/>
        <stp>nse_cm|BSOFT-EQ</stp>
        <stp>Series/Expiry</stp>
        <tr r="B79" s="1"/>
      </tp>
      <tp>
        <v>-0.05</v>
        <stp/>
        <stp>nse_fo|FEDERALBNK26DEC24215CE</stp>
        <stp>Net Change</stp>
        <tr r="K106" s="1"/>
      </tp>
      <tp>
        <v>0.05</v>
        <stp/>
        <stp>nse_fo|FEDERALBNK26DEC24210CE</stp>
        <stp>Net Change</stp>
        <tr r="K104" s="1"/>
      </tp>
      <tp>
        <v>-0.45</v>
        <stp/>
        <stp>nse_fo|FEDERALBNK26DEC24210PE</stp>
        <stp>Net Change</stp>
        <tr r="K114" s="1"/>
      </tp>
      <tp>
        <v>3.9</v>
        <stp/>
        <stp>nse_fo|TATAMOTORS26DEC24790PE</stp>
        <stp>Net Change</stp>
        <tr r="K227" s="1"/>
      </tp>
      <tp>
        <v>-8.75</v>
        <stp/>
        <stp>nse_fo|TATAMOTORS26DEC24790CE</stp>
        <stp>Net Change</stp>
        <tr r="K61" s="1"/>
        <tr r="K216" s="1"/>
      </tp>
      <tp>
        <v>4495.8</v>
        <stp/>
        <stp>nse_cm|HDFCAMC-EQ</stp>
        <stp>LTP</stp>
        <tr r="C8" s="1"/>
        <tr r="G118" s="1"/>
      </tp>
      <tp t="s">
        <v>VEDL</v>
        <stp/>
        <stp>nse_fo|VEDL26DEC24440CE</stp>
        <stp>Symbol</stp>
        <tr r="A234" s="1"/>
        <tr r="A244" s="1"/>
      </tp>
      <tp t="e">
        <v>#N/A</v>
        <stp/>
        <stp>nse_fo|UPL26DEC24670CE</stp>
        <stp>Symbol</stp>
        <tr r="A263" s="1"/>
      </tp>
      <tp>
        <v>-0.15</v>
        <stp/>
        <stp>nse_fo|FEDERALBNK26DEC24220CE</stp>
        <stp>Net Change</stp>
        <tr r="K108" s="1"/>
      </tp>
      <tp t="s">
        <v>VEDL</v>
        <stp/>
        <stp>nse_fo|VEDL26DEC24470CE</stp>
        <stp>Symbol</stp>
        <tr r="A247" s="1"/>
        <tr r="A237" s="1"/>
      </tp>
      <tp t="s">
        <v>UPL</v>
        <stp/>
        <stp>nse_fo|UPL26DEC24640CE</stp>
        <stp>Symbol</stp>
        <tr r="A260" s="1"/>
      </tp>
      <tp>
        <v>-2.4300000000000002</v>
        <stp/>
        <stp>nse_cm|MOTHERSON-EQ</stp>
        <stp>% Change</stp>
        <tr r="J175" s="1"/>
      </tp>
      <tp>
        <v>556.84</v>
        <stp/>
        <stp>nse_fo|UPL26DEC24FUT</stp>
        <stp>ATP</stp>
        <tr r="H252" s="1"/>
      </tp>
      <tp t="s">
        <v>VEDL</v>
        <stp/>
        <stp>nse_fo|VEDL26DEC24460CE</stp>
        <stp>Symbol</stp>
        <tr r="A246" s="1"/>
        <tr r="A236" s="1"/>
      </tp>
      <tp>
        <v>10000</v>
        <stp/>
        <stp>nse_fo|FEDERALBNK26DEC24210PE</stp>
        <stp>Bid Qty</stp>
        <tr r="C114" s="1"/>
      </tp>
      <tp>
        <v>75000</v>
        <stp/>
        <stp>nse_fo|FEDERALBNK26DEC24200PE</stp>
        <stp>Bid Qty</stp>
        <tr r="C110" s="1"/>
      </tp>
      <tp t="s">
        <v>CE</v>
        <stp/>
        <stp>nse_fo|VEDL26DEC24490CE</stp>
        <stp>Option Type</stp>
        <tr r="M239" s="1"/>
      </tp>
      <tp t="s">
        <v>CE</v>
        <stp/>
        <stp>nse_fo|VEDL26DEC24480CE</stp>
        <stp>Option Type</stp>
        <tr r="M238" s="1"/>
      </tp>
      <tp t="s">
        <v>CE</v>
        <stp/>
        <stp>nse_fo|VEDL26DEC24430CE</stp>
        <stp>Option Type</stp>
        <tr r="M233" s="1"/>
      </tp>
      <tp t="s">
        <v>CE</v>
        <stp/>
        <stp>nse_fo|VEDL26DEC24420CE</stp>
        <stp>Option Type</stp>
        <tr r="M232" s="1"/>
      </tp>
      <tp t="s">
        <v>CE</v>
        <stp/>
        <stp>nse_fo|VEDL26DEC24470CE</stp>
        <stp>Option Type</stp>
        <tr r="M237" s="1"/>
      </tp>
      <tp t="s">
        <v>CE</v>
        <stp/>
        <stp>nse_fo|VEDL26DEC24460CE</stp>
        <stp>Option Type</stp>
        <tr r="M236" s="1"/>
      </tp>
      <tp t="s">
        <v>CE</v>
        <stp/>
        <stp>nse_fo|VEDL26DEC24450CE</stp>
        <stp>Option Type</stp>
        <tr r="M235" s="1"/>
      </tp>
      <tp t="s">
        <v>CE</v>
        <stp/>
        <stp>nse_fo|VEDL26DEC24440CE</stp>
        <stp>Option Type</stp>
        <tr r="M234" s="1"/>
      </tp>
      <tp t="s">
        <v>CE</v>
        <stp/>
        <stp>nse_fo|VEDL26DEC24500CE</stp>
        <stp>Option Type</stp>
        <tr r="M240" s="1"/>
      </tp>
      <tp>
        <v>12.7</v>
        <stp/>
        <stp>nse_fo|ADANIGREEN26DEC24FUT</stp>
        <stp>Net Change</stp>
        <tr r="K39" s="1"/>
      </tp>
      <tp>
        <v>49.95</v>
        <stp/>
        <stp>nse_fo|HDFCAMC26DEC244500CE</stp>
        <stp>Net Change</stp>
        <tr r="K125" s="1"/>
      </tp>
      <tp>
        <v>67.3</v>
        <stp/>
        <stp>nse_fo|HDFCAMC26DEC244400CE</stp>
        <stp>Net Change</stp>
        <tr r="K123" s="1"/>
      </tp>
      <tp>
        <v>93.2</v>
        <stp/>
        <stp>nse_fo|HDFCAMC26DEC244300CE</stp>
        <stp>Net Change</stp>
        <tr r="K121" s="1"/>
      </tp>
      <tp>
        <v>114.15</v>
        <stp/>
        <stp>nse_fo|HDFCAMC26DEC244200CE</stp>
        <stp>Net Change</stp>
        <tr r="K119" s="1"/>
      </tp>
      <tp>
        <v>55000</v>
        <stp/>
        <stp>nse_fo|FEDERALBNK26DEC24220CE</stp>
        <stp>Bid Qty</stp>
        <tr r="C108" s="1"/>
      </tp>
      <tp>
        <v>15000</v>
        <stp/>
        <stp>nse_fo|FEDERALBNK26DEC24210CE</stp>
        <stp>Bid Qty</stp>
        <tr r="C104" s="1"/>
      </tp>
      <tp>
        <v>5000</v>
        <stp/>
        <stp>nse_fo|FEDERALBNK26DEC24200CE</stp>
        <stp>Bid Qty</stp>
        <tr r="C100" s="1"/>
      </tp>
      <tp>
        <v>-9.75</v>
        <stp/>
        <stp>nse_fo|HDFCAMC26DEC244100PE</stp>
        <stp>Net Change</stp>
        <tr r="K129" s="1"/>
      </tp>
      <tp>
        <v>-5.05</v>
        <stp/>
        <stp>nse_fo|HDFCAMC26DEC244000PE</stp>
        <stp>Net Change</stp>
        <tr r="K127" s="1"/>
      </tp>
      <tp>
        <v>-18.45</v>
        <stp/>
        <stp>nse_fo|HDFCAMC26DEC244200PE</stp>
        <stp>Net Change</stp>
        <tr r="K131" s="1"/>
      </tp>
      <tp t="s">
        <v>PE</v>
        <stp/>
        <stp>nse_fo|VEDL26DEC24480PE</stp>
        <stp>Option Type</stp>
        <tr r="M248" s="1"/>
      </tp>
      <tp t="s">
        <v>PE</v>
        <stp/>
        <stp>nse_fo|VEDL26DEC24430PE</stp>
        <stp>Option Type</stp>
        <tr r="M243" s="1"/>
      </tp>
      <tp t="s">
        <v>PE</v>
        <stp/>
        <stp>nse_fo|VEDL26DEC24420PE</stp>
        <stp>Option Type</stp>
        <tr r="M242" s="1"/>
      </tp>
      <tp t="s">
        <v>PE</v>
        <stp/>
        <stp>nse_fo|VEDL26DEC24410PE</stp>
        <stp>Option Type</stp>
        <tr r="M241" s="1"/>
      </tp>
      <tp t="s">
        <v>PE</v>
        <stp/>
        <stp>nse_fo|VEDL26DEC24470PE</stp>
        <stp>Option Type</stp>
        <tr r="M247" s="1"/>
      </tp>
      <tp t="s">
        <v>PE</v>
        <stp/>
        <stp>nse_fo|VEDL26DEC24460PE</stp>
        <stp>Option Type</stp>
        <tr r="M246" s="1"/>
      </tp>
      <tp t="s">
        <v>PE</v>
        <stp/>
        <stp>nse_fo|VEDL26DEC24450PE</stp>
        <stp>Option Type</stp>
        <tr r="M245" s="1"/>
      </tp>
      <tp t="s">
        <v>PE</v>
        <stp/>
        <stp>nse_fo|VEDL26DEC24440PE</stp>
        <stp>Option Type</stp>
        <tr r="M244" s="1"/>
      </tp>
      <tp t="e">
        <v>#N/A</v>
        <stp/>
        <stp>nse_fo|UPL26DEC24650CE</stp>
        <stp>Symbol</stp>
        <tr r="A261" s="1"/>
      </tp>
      <tp t="e">
        <v>#N/A</v>
        <stp/>
        <stp>nse_fo|NIFTY28NOV24FUT</stp>
        <stp xml:space="preserve">Low </stp>
        <tr r="B2" s="1"/>
      </tp>
      <tp>
        <v>0</v>
        <stp/>
        <stp>nse_fo|HDFCAMC26DEC24FUT</stp>
        <stp>Strike Price</stp>
        <tr r="L117" s="1"/>
      </tp>
      <tp>
        <v>489.9</v>
        <stp/>
        <stp>nse_cm|VEDL-EQ</stp>
        <stp>Ask Rate</stp>
        <tr r="E231" s="1"/>
      </tp>
      <tp>
        <v>15163500</v>
        <stp/>
        <stp>nse_fo|TATAMOTORS26DEC24FUT</stp>
        <stp>Volume Traded Today</stp>
        <tr r="I213" s="1"/>
        <tr r="I58" s="1"/>
      </tp>
      <tp>
        <v>0.35</v>
        <stp/>
        <stp>nse_cm|BSOFT-EQ</stp>
        <stp>Net Change</stp>
        <tr r="K79" s="1"/>
      </tp>
      <tp t="s">
        <v>26Dec2024</v>
        <stp/>
        <stp>nse_fo|MUTHOOTFIN26DEC242060CE</stp>
        <stp>Series/Expiry</stp>
        <tr r="B205" s="1"/>
      </tp>
      <tp t="s">
        <v>26Dec2024</v>
        <stp/>
        <stp>nse_fo|MUTHOOTFIN26DEC242040CE</stp>
        <stp>Series/Expiry</stp>
        <tr r="B204" s="1"/>
      </tp>
      <tp t="s">
        <v>26Dec2024</v>
        <stp/>
        <stp>nse_fo|MUTHOOTFIN26DEC242020CE</stp>
        <stp>Series/Expiry</stp>
        <tr r="B203" s="1"/>
      </tp>
      <tp t="s">
        <v>26Dec2024</v>
        <stp/>
        <stp>nse_fo|MUTHOOTFIN26DEC242000CE</stp>
        <stp>Series/Expiry</stp>
        <tr r="B202" s="1"/>
      </tp>
      <tp>
        <v>1985.02</v>
        <stp/>
        <stp>nse_fo|MUTHOOTFIN26DEC24FUT</stp>
        <stp>ATP</stp>
        <tr r="H193" s="1"/>
      </tp>
      <tp t="e">
        <v>#N/A</v>
        <stp/>
        <stp>nse_fo|NIFTY26OCT2319500PE</stp>
        <stp>Bid Qty</stp>
        <tr r="C303" s="4"/>
      </tp>
      <tp t="e">
        <v>#N/A</v>
        <stp/>
        <stp>nse_fo|NIFTY26OCT2319450PE</stp>
        <stp>Bid Qty</stp>
        <tr r="C302" s="4"/>
      </tp>
      <tp>
        <v>51975</v>
        <stp/>
        <stp>nse_fo|MUTHOOTFIN26DEC241880PE</stp>
        <stp>Volume Traded Today</stp>
        <tr r="I210" s="1"/>
      </tp>
      <tp>
        <v>91575</v>
        <stp/>
        <stp>nse_fo|MUTHOOTFIN26DEC241840PE</stp>
        <stp>Volume Traded Today</stp>
        <tr r="I208" s="1"/>
      </tp>
      <tp>
        <v>40150</v>
        <stp/>
        <stp>nse_fo|MUTHOOTFIN26DEC241860PE</stp>
        <stp>Volume Traded Today</stp>
        <tr r="I209" s="1"/>
      </tp>
      <tp>
        <v>84425</v>
        <stp/>
        <stp>nse_fo|MUTHOOTFIN26DEC241800PE</stp>
        <stp>Volume Traded Today</stp>
        <tr r="I206" s="1"/>
      </tp>
      <tp>
        <v>9625</v>
        <stp/>
        <stp>nse_fo|MUTHOOTFIN26DEC241820PE</stp>
        <stp>Volume Traded Today</stp>
        <tr r="I207" s="1"/>
      </tp>
      <tp>
        <v>152350</v>
        <stp/>
        <stp>nse_fo|MUTHOOTFIN26DEC242040CE</stp>
        <stp>Volume Traded Today</stp>
        <tr r="I204" s="1"/>
      </tp>
      <tp>
        <v>88275</v>
        <stp/>
        <stp>nse_fo|MUTHOOTFIN26DEC242060CE</stp>
        <stp>Volume Traded Today</stp>
        <tr r="I205" s="1"/>
      </tp>
      <tp>
        <v>2657875</v>
        <stp/>
        <stp>nse_fo|MUTHOOTFIN26DEC242000CE</stp>
        <stp>Volume Traded Today</stp>
        <tr r="I202" s="1"/>
      </tp>
      <tp>
        <v>141625</v>
        <stp/>
        <stp>nse_fo|MUTHOOTFIN26DEC242020CE</stp>
        <stp>Volume Traded Today</stp>
        <tr r="I203" s="1"/>
      </tp>
      <tp>
        <v>0</v>
        <stp/>
        <stp>nse_fo|MUTHOOTFIN26DEC241880CE</stp>
        <stp>Volume Traded Today</stp>
        <tr r="I196" s="1"/>
      </tp>
      <tp>
        <v>275</v>
        <stp/>
        <stp>nse_fo|MUTHOOTFIN26DEC241860CE</stp>
        <stp>Volume Traded Today</stp>
        <tr r="I195" s="1"/>
      </tp>
      <tp>
        <v>422675</v>
        <stp/>
        <stp>nse_fo|MUTHOOTFIN26DEC241980CE</stp>
        <stp>Volume Traded Today</stp>
        <tr r="I201" s="1"/>
      </tp>
      <tp>
        <v>90475</v>
        <stp/>
        <stp>nse_fo|MUTHOOTFIN26DEC241940CE</stp>
        <stp>Volume Traded Today</stp>
        <tr r="I199" s="1"/>
      </tp>
      <tp>
        <v>337975</v>
        <stp/>
        <stp>nse_fo|MUTHOOTFIN26DEC241960CE</stp>
        <stp>Volume Traded Today</stp>
        <tr r="I200" s="1"/>
      </tp>
      <tp>
        <v>28325</v>
        <stp/>
        <stp>nse_fo|MUTHOOTFIN26DEC241900CE</stp>
        <stp>Volume Traded Today</stp>
        <tr r="I197" s="1"/>
      </tp>
      <tp>
        <v>1375</v>
        <stp/>
        <stp>nse_fo|MUTHOOTFIN26DEC241920CE</stp>
        <stp>Volume Traded Today</stp>
        <tr r="I198" s="1"/>
      </tp>
      <tp>
        <v>-0.35</v>
        <stp/>
        <stp>nse_fo|FEDERALBNK26DEC24207.5PE</stp>
        <stp>Net Change</stp>
        <tr r="K113" s="1"/>
      </tp>
      <tp>
        <v>-0.25</v>
        <stp/>
        <stp>nse_fo|FEDERALBNK26DEC24202.5PE</stp>
        <stp>Net Change</stp>
        <tr r="K111" s="1"/>
      </tp>
      <tp>
        <v>-0.15</v>
        <stp/>
        <stp>nse_fo|FEDERALBNK26DEC24222.5CE</stp>
        <stp>Net Change</stp>
        <tr r="K109" s="1"/>
      </tp>
      <tp>
        <v>-0.1</v>
        <stp/>
        <stp>nse_fo|FEDERALBNK26DEC24217.5CE</stp>
        <stp>Net Change</stp>
        <tr r="K107" s="1"/>
      </tp>
      <tp>
        <v>-0.05</v>
        <stp/>
        <stp>nse_fo|FEDERALBNK26DEC24212.5CE</stp>
        <stp>Net Change</stp>
        <tr r="K105" s="1"/>
      </tp>
      <tp>
        <v>-0.25</v>
        <stp/>
        <stp>nse_fo|FEDERALBNK26DEC24207.5CE</stp>
        <stp>Net Change</stp>
        <tr r="K103" s="1"/>
      </tp>
      <tp>
        <v>0.75</v>
        <stp/>
        <stp>nse_fo|FEDERALBNK26DEC24202.5CE</stp>
        <stp>Net Change</stp>
        <tr r="K101" s="1"/>
      </tp>
      <tp>
        <v>27.9</v>
        <stp/>
        <stp>nse_cm|MUTHOOTFIN-EQ</stp>
        <stp>Net Change</stp>
        <tr r="K194" s="1"/>
      </tp>
      <tp t="e">
        <v>#N/A</v>
        <stp/>
        <stp>nse_fo|NIFTY26OCT2319450PE</stp>
        <stp>Ask Qty</stp>
        <tr r="F302" s="4"/>
      </tp>
      <tp t="e">
        <v>#N/A</v>
        <stp/>
        <stp>nse_fo|NIFTY26OCT2319500PE</stp>
        <stp>Ask Qty</stp>
        <tr r="F303" s="4"/>
      </tp>
      <tp>
        <v>68</v>
        <stp/>
        <stp>nse_fo|ADANIGREEN26DEC241220PE</stp>
        <stp>LTP</stp>
        <tr r="E7" s="2"/>
      </tp>
      <tp>
        <v>58.8</v>
        <stp/>
        <stp>nse_fo|ADANIGREEN26DEC241200PE</stp>
        <stp>LTP</stp>
        <tr r="E8" s="2"/>
      </tp>
      <tp>
        <v>16.95</v>
        <stp/>
        <stp>nse_fo|ADANIGREEN26DEC241060PE</stp>
        <stp>LTP</stp>
        <tr r="G52" s="1"/>
      </tp>
      <tp>
        <v>13.45</v>
        <stp/>
        <stp>nse_fo|ADANIGREEN26DEC241040PE</stp>
        <stp>LTP</stp>
        <tr r="G51" s="1"/>
      </tp>
      <tp>
        <v>21.85</v>
        <stp/>
        <stp>nse_fo|ADANIGREEN26DEC241080PE</stp>
        <stp>LTP</stp>
        <tr r="G53" s="1"/>
      </tp>
      <tp>
        <v>31.85</v>
        <stp/>
        <stp>nse_fo|ADANIGREEN26DEC241120PE</stp>
        <stp>LTP</stp>
        <tr r="G55" s="1"/>
      </tp>
      <tp>
        <v>24.95</v>
        <stp/>
        <stp>nse_fo|ADANIGREEN26DEC241100PE</stp>
        <stp>LTP</stp>
        <tr r="G54" s="1"/>
      </tp>
      <tp>
        <v>-2.6</v>
        <stp/>
        <stp>nse_fo|MOTHERSON26DEC24167.5CE</stp>
        <stp>Net Change</stp>
        <tr r="K177" s="1"/>
      </tp>
      <tp>
        <v>-2</v>
        <stp/>
        <stp>nse_fo|MOTHERSON26DEC24172.5CE</stp>
        <stp>Net Change</stp>
        <tr r="K179" s="1"/>
      </tp>
      <tp>
        <v>-1.2</v>
        <stp/>
        <stp>nse_fo|MOTHERSON26DEC24177.5CE</stp>
        <stp>Net Change</stp>
        <tr r="K181" s="1"/>
      </tp>
      <tp>
        <v>-0.85</v>
        <stp/>
        <stp>nse_fo|MOTHERSON26DEC24182.5CE</stp>
        <stp>Net Change</stp>
        <tr r="K183" s="1"/>
      </tp>
      <tp>
        <v>-0.5</v>
        <stp/>
        <stp>nse_fo|MOTHERSON26DEC24187.5CE</stp>
        <stp>Net Change</stp>
        <tr r="K185" s="1"/>
      </tp>
      <tp>
        <v>1</v>
        <stp/>
        <stp>nse_fo|MOTHERSON26DEC24162.5PE</stp>
        <stp>Net Change</stp>
        <tr r="K187" s="1"/>
      </tp>
      <tp>
        <v>1.75</v>
        <stp/>
        <stp>nse_fo|MOTHERSON26DEC24167.5PE</stp>
        <stp>Net Change</stp>
        <tr r="K189" s="1"/>
      </tp>
      <tp>
        <v>67</v>
        <stp/>
        <stp>nse_fo|ADANIGREEN26DEC241220CE</stp>
        <stp>LTP</stp>
        <tr r="G44" s="1"/>
        <tr r="D7" s="2"/>
      </tp>
      <tp>
        <v>77</v>
        <stp/>
        <stp>nse_fo|ADANIGREEN26DEC241200CE</stp>
        <stp>LTP</stp>
        <tr r="G43" s="1"/>
        <tr r="D8" s="2"/>
      </tp>
      <tp>
        <v>50.05</v>
        <stp/>
        <stp>nse_fo|ADANIGREEN26DEC241260CE</stp>
        <stp>LTP</stp>
        <tr r="G46" s="1"/>
      </tp>
      <tp>
        <v>57.7</v>
        <stp/>
        <stp>nse_fo|ADANIGREEN26DEC241240CE</stp>
        <stp>LTP</stp>
        <tr r="G45" s="1"/>
      </tp>
      <tp>
        <v>43</v>
        <stp/>
        <stp>nse_fo|ADANIGREEN26DEC241280CE</stp>
        <stp>LTP</stp>
        <tr r="G47" s="1"/>
      </tp>
      <tp>
        <v>32.549999999999997</v>
        <stp/>
        <stp>nse_fo|ADANIGREEN26DEC241320CE</stp>
        <stp>LTP</stp>
        <tr r="G49" s="1"/>
      </tp>
      <tp>
        <v>37</v>
        <stp/>
        <stp>nse_fo|ADANIGREEN26DEC241300CE</stp>
        <stp>LTP</stp>
        <tr r="G48" s="1"/>
      </tp>
      <tp>
        <v>27.7</v>
        <stp/>
        <stp>nse_fo|ADANIGREEN26DEC241340CE</stp>
        <stp>LTP</stp>
        <tr r="G50" s="1"/>
      </tp>
      <tp>
        <v>101</v>
        <stp/>
        <stp>nse_fo|ADANIGREEN26DEC241160CE</stp>
        <stp>LTP</stp>
        <tr r="G41" s="1"/>
      </tp>
      <tp>
        <v>89</v>
        <stp/>
        <stp>nse_fo|ADANIGREEN26DEC241180CE</stp>
        <stp>LTP</stp>
        <tr r="G42" s="1"/>
      </tp>
      <tp t="s">
        <v>26Dec2024</v>
        <stp/>
        <stp>nse_fo|MOTHERSON26DEC24185CE</stp>
        <stp>Series/Expiry</stp>
        <tr r="B184" s="1"/>
      </tp>
      <tp t="s">
        <v>26Dec2024</v>
        <stp/>
        <stp>nse_fo|MOTHERSON26DEC24180CE</stp>
        <stp>Series/Expiry</stp>
        <tr r="B182" s="1"/>
      </tp>
      <tp t="s">
        <v>26Dec2024</v>
        <stp/>
        <stp>nse_fo|MOTHERSON26DEC24165CE</stp>
        <stp>Series/Expiry</stp>
        <tr r="B176" s="1"/>
      </tp>
      <tp t="s">
        <v>26Dec2024</v>
        <stp/>
        <stp>nse_fo|MOTHERSON26DEC24165PE</stp>
        <stp>Series/Expiry</stp>
        <tr r="B188" s="1"/>
      </tp>
      <tp t="s">
        <v>26Dec2024</v>
        <stp/>
        <stp>nse_fo|MOTHERSON26DEC24160PE</stp>
        <stp>Series/Expiry</stp>
        <tr r="B186" s="1"/>
      </tp>
      <tp t="s">
        <v>26Dec2024</v>
        <stp/>
        <stp>nse_fo|MOTHERSON26DEC24175CE</stp>
        <stp>Series/Expiry</stp>
        <tr r="B180" s="1"/>
      </tp>
      <tp t="s">
        <v>26Dec2024</v>
        <stp/>
        <stp>nse_fo|MOTHERSON26DEC24170CE</stp>
        <stp>Series/Expiry</stp>
        <tr r="B178" s="1"/>
      </tp>
      <tp t="s">
        <v>26Dec2024</v>
        <stp/>
        <stp>nse_fo|MOTHERSON26DEC24170PE</stp>
        <stp>Series/Expiry</stp>
        <tr r="B190" s="1"/>
      </tp>
      <tp>
        <v>342000</v>
        <stp/>
        <stp>nse_fo|BSOFT26DEC24640CE</stp>
        <stp>Volume Traded Today</stp>
        <tr r="I90" s="1"/>
      </tp>
      <tp>
        <v>590000</v>
        <stp/>
        <stp>nse_fo|BSOFT26DEC24610CE</stp>
        <stp>Volume Traded Today</stp>
        <tr r="I87" s="1"/>
      </tp>
      <tp>
        <v>393000</v>
        <stp/>
        <stp>nse_fo|BSOFT26DEC24600CE</stp>
        <stp>Volume Traded Today</stp>
        <tr r="I86" s="1"/>
      </tp>
      <tp>
        <v>537000</v>
        <stp/>
        <stp>nse_fo|BSOFT26DEC24630CE</stp>
        <stp>Volume Traded Today</stp>
        <tr r="I89" s="1"/>
      </tp>
      <tp>
        <v>641000</v>
        <stp/>
        <stp>nse_fo|BSOFT26DEC24620CE</stp>
        <stp>Volume Traded Today</stp>
        <tr r="I88" s="1"/>
      </tp>
      <tp>
        <v>23000</v>
        <stp/>
        <stp>nse_fo|BSOFT26DEC24590CE</stp>
        <stp>Volume Traded Today</stp>
        <tr r="I85" s="1"/>
      </tp>
      <tp>
        <v>11000</v>
        <stp/>
        <stp>nse_fo|BSOFT26DEC24580CE</stp>
        <stp>Volume Traded Today</stp>
        <tr r="I84" s="1"/>
      </tp>
      <tp>
        <v>17000</v>
        <stp/>
        <stp>nse_fo|BSOFT26DEC24550CE</stp>
        <stp>Volume Traded Today</stp>
        <tr r="I81" s="1"/>
      </tp>
      <tp>
        <v>0</v>
        <stp/>
        <stp>nse_fo|BSOFT26DEC24540CE</stp>
        <stp>Volume Traded Today</stp>
        <tr r="I80" s="1"/>
      </tp>
      <tp>
        <v>6000</v>
        <stp/>
        <stp>nse_fo|BSOFT26DEC24570CE</stp>
        <stp>Volume Traded Today</stp>
        <tr r="I83" s="1"/>
      </tp>
      <tp>
        <v>3000</v>
        <stp/>
        <stp>nse_fo|BSOFT26DEC24560CE</stp>
        <stp>Volume Traded Today</stp>
        <tr r="I82" s="1"/>
      </tp>
      <tp>
        <v>-0.03</v>
        <stp/>
        <stp>nse_cm|JUBLFOOD-EQ</stp>
        <stp>% Change</stp>
        <tr r="J135" s="1"/>
      </tp>
      <tp>
        <v>201000</v>
        <stp/>
        <stp>nse_fo|BSOFT26DEC24550PE</stp>
        <stp>Volume Traded Today</stp>
        <tr r="I94" s="1"/>
      </tp>
      <tp>
        <v>105000</v>
        <stp/>
        <stp>nse_fo|BSOFT26DEC24540PE</stp>
        <stp>Volume Traded Today</stp>
        <tr r="I93" s="1"/>
      </tp>
      <tp>
        <v>115000</v>
        <stp/>
        <stp>nse_fo|BSOFT26DEC24560PE</stp>
        <stp>Volume Traded Today</stp>
        <tr r="I95" s="1"/>
      </tp>
      <tp>
        <v>24000</v>
        <stp/>
        <stp>nse_fo|BSOFT26DEC24530PE</stp>
        <stp>Volume Traded Today</stp>
        <tr r="I92" s="1"/>
      </tp>
      <tp>
        <v>20000</v>
        <stp/>
        <stp>nse_fo|BSOFT26DEC24520PE</stp>
        <stp>Volume Traded Today</stp>
        <tr r="I91" s="1"/>
      </tp>
      <tp>
        <v>684.05</v>
        <stp/>
        <stp>nse_fo|JUBLFOOD26DEC24FUT</stp>
        <stp xml:space="preserve">Low </stp>
        <tr r="B9" s="1"/>
      </tp>
      <tp>
        <v>1250</v>
        <stp/>
        <stp>nse_fo|JUBLFOOD26DEC24FUT</stp>
        <stp>Ask Qty</stp>
        <tr r="F134" s="1"/>
      </tp>
      <tp>
        <v>574.6</v>
        <stp/>
        <stp>nse_fo|LAURUSLABS26DEC24FUT</stp>
        <stp>Bid Rate</stp>
        <tr r="D154" s="1"/>
      </tp>
      <tp>
        <v>63.65</v>
        <stp/>
        <stp>nse_fo|MUTHOOTFIN26DEC241960CE</stp>
        <stp>LTP</stp>
        <tr r="G200" s="1"/>
      </tp>
      <tp>
        <v>77.25</v>
        <stp/>
        <stp>nse_fo|MUTHOOTFIN26DEC241940CE</stp>
        <stp>LTP</stp>
        <tr r="G199" s="1"/>
      </tp>
      <tp>
        <v>88.2</v>
        <stp/>
        <stp>nse_fo|MUTHOOTFIN26DEC241920CE</stp>
        <stp>LTP</stp>
        <tr r="G198" s="1"/>
      </tp>
      <tp>
        <v>105.1</v>
        <stp/>
        <stp>nse_fo|MUTHOOTFIN26DEC241900CE</stp>
        <stp>LTP</stp>
        <tr r="G197" s="1"/>
      </tp>
      <tp>
        <v>52.75</v>
        <stp/>
        <stp>nse_fo|MUTHOOTFIN26DEC241980CE</stp>
        <stp>LTP</stp>
        <tr r="G201" s="1"/>
        <tr r="L14" s="2"/>
      </tp>
      <tp>
        <v>136.55000000000001</v>
        <stp/>
        <stp>nse_fo|MUTHOOTFIN26DEC241860CE</stp>
        <stp>LTP</stp>
        <tr r="G195" s="1"/>
      </tp>
      <tp>
        <v>96.9</v>
        <stp/>
        <stp>nse_fo|MUTHOOTFIN26DEC241880CE</stp>
        <stp>LTP</stp>
        <tr r="G196" s="1"/>
      </tp>
      <tp>
        <v>21</v>
        <stp/>
        <stp>nse_fo|MUTHOOTFIN26DEC242060CE</stp>
        <stp>LTP</stp>
        <tr r="G205" s="1"/>
      </tp>
      <tp>
        <v>27.5</v>
        <stp/>
        <stp>nse_fo|MUTHOOTFIN26DEC242040CE</stp>
        <stp>LTP</stp>
        <tr r="G204" s="1"/>
      </tp>
      <tp>
        <v>34.950000000000003</v>
        <stp/>
        <stp>nse_fo|MUTHOOTFIN26DEC242020CE</stp>
        <stp>LTP</stp>
        <tr r="G203" s="1"/>
      </tp>
      <tp>
        <v>43.2</v>
        <stp/>
        <stp>nse_fo|MUTHOOTFIN26DEC242000CE</stp>
        <stp>LTP</stp>
        <tr r="L13" s="2"/>
        <tr r="G202" s="1"/>
      </tp>
      <tp>
        <v>53.9</v>
        <stp/>
        <stp>nse_fo|MUTHOOTFIN26DEC242000PE</stp>
        <stp>LTP</stp>
        <tr r="M13" s="2"/>
      </tp>
      <tp>
        <v>45.2</v>
        <stp/>
        <stp>nse_fo|MUTHOOTFIN26DEC241980PE</stp>
        <stp>LTP</stp>
        <tr r="M14" s="2"/>
      </tp>
      <tp>
        <v>9.9</v>
        <stp/>
        <stp>nse_fo|MUTHOOTFIN26DEC241860PE</stp>
        <stp>LTP</stp>
        <tr r="G209" s="1"/>
      </tp>
      <tp>
        <v>7.6</v>
        <stp/>
        <stp>nse_fo|MUTHOOTFIN26DEC241840PE</stp>
        <stp>LTP</stp>
        <tr r="G208" s="1"/>
      </tp>
      <tp>
        <v>5.65</v>
        <stp/>
        <stp>nse_fo|MUTHOOTFIN26DEC241820PE</stp>
        <stp>LTP</stp>
        <tr r="G207" s="1"/>
      </tp>
      <tp>
        <v>4.4000000000000004</v>
        <stp/>
        <stp>nse_fo|MUTHOOTFIN26DEC241800PE</stp>
        <stp>LTP</stp>
        <tr r="G206" s="1"/>
      </tp>
      <tp>
        <v>13.4</v>
        <stp/>
        <stp>nse_fo|MUTHOOTFIN26DEC241880PE</stp>
        <stp>LTP</stp>
        <tr r="G210" s="1"/>
      </tp>
      <tp t="s">
        <v>LAURUSLABS</v>
        <stp/>
        <stp>nse_fo|LAURUSLABS26DEC24490CE</stp>
        <stp>Symbol</stp>
        <tr r="A158" s="1"/>
        <tr r="A169" s="1"/>
      </tp>
      <tp>
        <v>2</v>
        <stp/>
        <stp>nse_cm|FEDERALBNK-EQ</stp>
        <stp>Bid Qty</stp>
        <tr r="C99" s="1"/>
      </tp>
      <tp>
        <v>806.65</v>
        <stp/>
        <stp>nse_fo|TATAMOTORS26DEC24FUT</stp>
        <stp>LTP</stp>
        <tr r="D5" s="1"/>
        <tr r="D13" s="1"/>
        <tr r="J17" s="2"/>
        <tr r="B12" s="2"/>
        <tr r="G213" s="1"/>
        <tr r="G58" s="1"/>
      </tp>
      <tp>
        <v>125</v>
        <stp/>
        <stp>nse_fo|ABB26DEC246900CE</stp>
        <stp>Ask Qty</stp>
        <tr r="F25" s="1"/>
      </tp>
      <tp>
        <v>375</v>
        <stp/>
        <stp>nse_fo|ABB26DEC246800CE</stp>
        <stp>Ask Qty</stp>
        <tr r="F24" s="1"/>
      </tp>
      <tp>
        <v>0</v>
        <stp/>
        <stp>nse_fo|ABB26DEC246500CE</stp>
        <stp>Ask Qty</stp>
        <tr r="F21" s="1"/>
      </tp>
      <tp>
        <v>375</v>
        <stp/>
        <stp>nse_fo|ABB26DEC246700CE</stp>
        <stp>Ask Qty</stp>
        <tr r="F23" s="1"/>
      </tp>
      <tp>
        <v>375</v>
        <stp/>
        <stp>nse_fo|ABB26DEC246600CE</stp>
        <stp>Ask Qty</stp>
        <tr r="F22" s="1"/>
      </tp>
      <tp>
        <v>125</v>
        <stp/>
        <stp>nse_fo|ABB26DEC247100CE</stp>
        <stp>Ask Qty</stp>
        <tr r="F27" s="1"/>
      </tp>
      <tp>
        <v>375</v>
        <stp/>
        <stp>nse_fo|ABB26DEC247000CE</stp>
        <stp>Ask Qty</stp>
        <tr r="F26" s="1"/>
      </tp>
      <tp>
        <v>250</v>
        <stp/>
        <stp>nse_fo|ABB26DEC247300CE</stp>
        <stp>Ask Qty</stp>
        <tr r="F29" s="1"/>
      </tp>
      <tp>
        <v>125</v>
        <stp/>
        <stp>nse_fo|ABB26DEC247200CE</stp>
        <stp>Ask Qty</stp>
        <tr r="F28" s="1"/>
      </tp>
      <tp>
        <v>125</v>
        <stp/>
        <stp>nse_fo|ABB26DEC247500CE</stp>
        <stp>Ask Qty</stp>
        <tr r="F31" s="1"/>
      </tp>
      <tp>
        <v>125</v>
        <stp/>
        <stp>nse_fo|ABB26DEC247400CE</stp>
        <stp>Ask Qty</stp>
        <tr r="F30" s="1"/>
      </tp>
      <tp>
        <v>4.91</v>
        <stp/>
        <stp>nse_fo|MOTHERSON26DEC24167.5PE</stp>
        <stp>ATP</stp>
        <tr r="H189" s="1"/>
      </tp>
      <tp>
        <v>2.88</v>
        <stp/>
        <stp>nse_fo|MOTHERSON26DEC24162.5PE</stp>
        <stp>ATP</stp>
        <tr r="H187" s="1"/>
      </tp>
      <tp>
        <v>0.69</v>
        <stp/>
        <stp>nse_fo|MOTHERSON26DEC24187.5CE</stp>
        <stp>ATP</stp>
        <tr r="H185" s="1"/>
      </tp>
      <tp>
        <v>1.1499999999999999</v>
        <stp/>
        <stp>nse_fo|MOTHERSON26DEC24182.5CE</stp>
        <stp>ATP</stp>
        <tr r="H183" s="1"/>
      </tp>
      <tp>
        <v>125</v>
        <stp/>
        <stp>nse_fo|ABB26DEC246900PE</stp>
        <stp>Ask Qty</stp>
        <tr r="F36" s="1"/>
      </tp>
      <tp>
        <v>125</v>
        <stp/>
        <stp>nse_fo|ABB26DEC246800PE</stp>
        <stp>Ask Qty</stp>
        <tr r="F35" s="1"/>
      </tp>
      <tp>
        <v>125</v>
        <stp/>
        <stp>nse_fo|ABB26DEC246500PE</stp>
        <stp>Ask Qty</stp>
        <tr r="F32" s="1"/>
      </tp>
      <tp>
        <v>125</v>
        <stp/>
        <stp>nse_fo|ABB26DEC246700PE</stp>
        <stp>Ask Qty</stp>
        <tr r="F34" s="1"/>
      </tp>
      <tp>
        <v>125</v>
        <stp/>
        <stp>nse_fo|ABB26DEC246600PE</stp>
        <stp>Ask Qty</stp>
        <tr r="F33" s="1"/>
      </tp>
      <tp>
        <v>5.28</v>
        <stp/>
        <stp>nse_fo|MOTHERSON26DEC24167.5CE</stp>
        <stp>ATP</stp>
        <tr r="H177" s="1"/>
      </tp>
      <tp>
        <v>1.95</v>
        <stp/>
        <stp>nse_fo|MOTHERSON26DEC24177.5CE</stp>
        <stp>ATP</stp>
        <tr r="H181" s="1"/>
      </tp>
      <tp>
        <v>3.23</v>
        <stp/>
        <stp>nse_fo|MOTHERSON26DEC24172.5CE</stp>
        <stp>ATP</stp>
        <tr r="H179" s="1"/>
      </tp>
      <tp>
        <v>698.45</v>
        <stp/>
        <stp>nse_fo|JUBLFOOD26DEC24FUT</stp>
        <stp>High</stp>
        <tr r="A9" s="1"/>
      </tp>
      <tp t="s">
        <v>LAURUSLABS</v>
        <stp/>
        <stp>nse_fo|LAURUSLABS26DEC24480CE</stp>
        <stp>Symbol</stp>
        <tr r="A157" s="1"/>
        <tr r="A168" s="1"/>
      </tp>
      <tp>
        <v>125</v>
        <stp/>
        <stp>nse_fo|ABB26DEC246600PE</stp>
        <stp>Bid Qty</stp>
        <tr r="C33" s="1"/>
      </tp>
      <tp>
        <v>500</v>
        <stp/>
        <stp>nse_fo|ABB26DEC246700PE</stp>
        <stp>Bid Qty</stp>
        <tr r="C34" s="1"/>
      </tp>
      <tp>
        <v>500</v>
        <stp/>
        <stp>nse_fo|ABB26DEC246500PE</stp>
        <stp>Bid Qty</stp>
        <tr r="C32" s="1"/>
      </tp>
      <tp>
        <v>125</v>
        <stp/>
        <stp>nse_fo|ABB26DEC246800PE</stp>
        <stp>Bid Qty</stp>
        <tr r="C35" s="1"/>
      </tp>
      <tp>
        <v>125</v>
        <stp/>
        <stp>nse_fo|ABB26DEC246900PE</stp>
        <stp>Bid Qty</stp>
        <tr r="C36" s="1"/>
      </tp>
      <tp t="e">
        <v>#N/A</v>
        <stp/>
        <stp>nse_fo|NIFTY28NOV24FUT</stp>
        <stp>High</stp>
        <tr r="A2" s="1"/>
      </tp>
      <tp>
        <v>4.5</v>
        <stp/>
        <stp>nse_fo|MOTHERSON26DEC24167.5CE</stp>
        <stp>Bid Rate</stp>
        <tr r="D177" s="1"/>
      </tp>
      <tp>
        <v>1</v>
        <stp/>
        <stp>nse_cm|FEDERALBNK-EQ</stp>
        <stp>Ask Qty</stp>
        <tr r="F99" s="1"/>
      </tp>
      <tp>
        <v>375</v>
        <stp/>
        <stp>nse_fo|ABB26DEC246600CE</stp>
        <stp>Bid Qty</stp>
        <tr r="C22" s="1"/>
      </tp>
      <tp>
        <v>125</v>
        <stp/>
        <stp>nse_fo|ABB26DEC246700CE</stp>
        <stp>Bid Qty</stp>
        <tr r="C23" s="1"/>
      </tp>
      <tp>
        <v>0</v>
        <stp/>
        <stp>nse_fo|ABB26DEC246500CE</stp>
        <stp>Bid Qty</stp>
        <tr r="C21" s="1"/>
      </tp>
      <tp>
        <v>125</v>
        <stp/>
        <stp>nse_fo|ABB26DEC246800CE</stp>
        <stp>Bid Qty</stp>
        <tr r="C24" s="1"/>
      </tp>
      <tp>
        <v>375</v>
        <stp/>
        <stp>nse_fo|ABB26DEC246900CE</stp>
        <stp>Bid Qty</stp>
        <tr r="C25" s="1"/>
      </tp>
      <tp>
        <v>125</v>
        <stp/>
        <stp>nse_fo|ABB26DEC247400CE</stp>
        <stp>Bid Qty</stp>
        <tr r="C30" s="1"/>
      </tp>
      <tp>
        <v>125</v>
        <stp/>
        <stp>nse_fo|ABB26DEC247500CE</stp>
        <stp>Bid Qty</stp>
        <tr r="C31" s="1"/>
      </tp>
      <tp>
        <v>125</v>
        <stp/>
        <stp>nse_fo|ABB26DEC247200CE</stp>
        <stp>Bid Qty</stp>
        <tr r="C28" s="1"/>
      </tp>
      <tp>
        <v>250</v>
        <stp/>
        <stp>nse_fo|ABB26DEC247300CE</stp>
        <stp>Bid Qty</stp>
        <tr r="C29" s="1"/>
      </tp>
      <tp>
        <v>250</v>
        <stp/>
        <stp>nse_fo|ABB26DEC247000CE</stp>
        <stp>Bid Qty</stp>
        <tr r="C26" s="1"/>
      </tp>
      <tp>
        <v>250</v>
        <stp/>
        <stp>nse_fo|ABB26DEC247100CE</stp>
        <stp>Bid Qty</stp>
        <tr r="C27" s="1"/>
      </tp>
      <tp>
        <v>10.35</v>
        <stp/>
        <stp>nse_fo|BSOFT26DEC24600PE</stp>
        <stp>LTP</stp>
        <tr r="E17" s="2"/>
      </tp>
      <tp>
        <v>15.15</v>
        <stp/>
        <stp>nse_fo|BSOFT26DEC24610PE</stp>
        <stp>LTP</stp>
        <tr r="E16" s="2"/>
      </tp>
      <tp>
        <v>2</v>
        <stp/>
        <stp>nse_fo|BSOFT26DEC24560PE</stp>
        <stp>LTP</stp>
        <tr r="G95" s="1"/>
      </tp>
      <tp>
        <v>1</v>
        <stp/>
        <stp>nse_fo|BSOFT26DEC24540PE</stp>
        <stp>LTP</stp>
        <tr r="G93" s="1"/>
      </tp>
      <tp>
        <v>1.4</v>
        <stp/>
        <stp>nse_fo|BSOFT26DEC24550PE</stp>
        <stp>LTP</stp>
        <tr r="G94" s="1"/>
      </tp>
      <tp>
        <v>0.3</v>
        <stp/>
        <stp>nse_fo|BSOFT26DEC24520PE</stp>
        <stp>LTP</stp>
        <tr r="G91" s="1"/>
      </tp>
      <tp>
        <v>0.65</v>
        <stp/>
        <stp>nse_fo|BSOFT26DEC24530PE</stp>
        <stp>LTP</stp>
        <tr r="G92" s="1"/>
      </tp>
      <tp>
        <v>5.2</v>
        <stp/>
        <stp>nse_fo|BSOFT26DEC24640CE</stp>
        <stp>LTP</stp>
        <tr r="G90" s="1"/>
      </tp>
      <tp>
        <v>10.6</v>
        <stp/>
        <stp>nse_fo|BSOFT26DEC24620CE</stp>
        <stp>LTP</stp>
        <tr r="G88" s="1"/>
      </tp>
      <tp>
        <v>7.3</v>
        <stp/>
        <stp>nse_fo|BSOFT26DEC24630CE</stp>
        <stp>LTP</stp>
        <tr r="G89" s="1"/>
      </tp>
      <tp>
        <v>20.3</v>
        <stp/>
        <stp>nse_fo|BSOFT26DEC24600CE</stp>
        <stp>LTP</stp>
        <tr r="G86" s="1"/>
        <tr r="D17" s="2"/>
      </tp>
      <tp>
        <v>14.85</v>
        <stp/>
        <stp>nse_fo|BSOFT26DEC24610CE</stp>
        <stp>LTP</stp>
        <tr r="D16" s="2"/>
        <tr r="G87" s="1"/>
      </tp>
      <tp>
        <v>51.95</v>
        <stp/>
        <stp>nse_fo|BSOFT26DEC24560CE</stp>
        <stp>LTP</stp>
        <tr r="G82" s="1"/>
      </tp>
      <tp>
        <v>43.35</v>
        <stp/>
        <stp>nse_fo|BSOFT26DEC24570CE</stp>
        <stp>LTP</stp>
        <tr r="G83" s="1"/>
      </tp>
      <tp>
        <v>62.25</v>
        <stp/>
        <stp>nse_fo|BSOFT26DEC24540CE</stp>
        <stp>LTP</stp>
        <tr r="G80" s="1"/>
      </tp>
      <tp>
        <v>61.9</v>
        <stp/>
        <stp>nse_fo|BSOFT26DEC24550CE</stp>
        <stp>LTP</stp>
        <tr r="G81" s="1"/>
      </tp>
      <tp>
        <v>34.5</v>
        <stp/>
        <stp>nse_fo|BSOFT26DEC24580CE</stp>
        <stp>LTP</stp>
        <tr r="G84" s="1"/>
      </tp>
      <tp>
        <v>27.5</v>
        <stp/>
        <stp>nse_fo|BSOFT26DEC24590CE</stp>
        <stp>LTP</stp>
        <tr r="G85" s="1"/>
      </tp>
      <tp>
        <v>-2.67</v>
        <stp/>
        <stp>nse_cm|LAURUSLABS-EQ</stp>
        <stp>% Change</stp>
        <tr r="J155" s="1"/>
      </tp>
      <tp t="s">
        <v>CE</v>
        <stp/>
        <stp>nse_fo|HDFCAMC26DEC244350CE</stp>
        <stp>Option Type</stp>
        <tr r="M122" s="1"/>
      </tp>
      <tp t="s">
        <v>CE</v>
        <stp/>
        <stp>nse_fo|HDFCAMC26DEC244300CE</stp>
        <stp>Option Type</stp>
        <tr r="M121" s="1"/>
      </tp>
      <tp t="s">
        <v>CE</v>
        <stp/>
        <stp>nse_fo|HDFCAMC26DEC244250CE</stp>
        <stp>Option Type</stp>
        <tr r="M120" s="1"/>
      </tp>
      <tp t="s">
        <v>CE</v>
        <stp/>
        <stp>nse_fo|HDFCAMC26DEC244200CE</stp>
        <stp>Option Type</stp>
        <tr r="M119" s="1"/>
      </tp>
      <tp t="s">
        <v>CE</v>
        <stp/>
        <stp>nse_fo|HDFCAMC26DEC244550CE</stp>
        <stp>Option Type</stp>
        <tr r="M126" s="1"/>
      </tp>
      <tp t="s">
        <v>CE</v>
        <stp/>
        <stp>nse_fo|HDFCAMC26DEC244500CE</stp>
        <stp>Option Type</stp>
        <tr r="M125" s="1"/>
      </tp>
      <tp t="s">
        <v>CE</v>
        <stp/>
        <stp>nse_fo|HDFCAMC26DEC244450CE</stp>
        <stp>Option Type</stp>
        <tr r="M124" s="1"/>
      </tp>
      <tp t="s">
        <v>CE</v>
        <stp/>
        <stp>nse_fo|HDFCAMC26DEC244400CE</stp>
        <stp>Option Type</stp>
        <tr r="M123" s="1"/>
      </tp>
      <tp>
        <v>-1.05</v>
        <stp/>
        <stp>nse_fo|MOTHERSON26DEC24180CE</stp>
        <stp>Net Change</stp>
        <tr r="K182" s="1"/>
      </tp>
      <tp>
        <v>-0.65</v>
        <stp/>
        <stp>nse_fo|MOTHERSON26DEC24185CE</stp>
        <stp>Net Change</stp>
        <tr r="K184" s="1"/>
      </tp>
      <tp>
        <v>1250</v>
        <stp/>
        <stp>nse_fo|JUBLFOOD26DEC24FUT</stp>
        <stp>Bid Qty</stp>
        <tr r="C134" s="1"/>
      </tp>
      <tp t="s">
        <v>PE</v>
        <stp/>
        <stp>nse_fo|HDFCAMC26DEC244150PE</stp>
        <stp>Option Type</stp>
        <tr r="M130" s="1"/>
      </tp>
      <tp t="s">
        <v>PE</v>
        <stp/>
        <stp>nse_fo|HDFCAMC26DEC244100PE</stp>
        <stp>Option Type</stp>
        <tr r="M129" s="1"/>
      </tp>
      <tp t="s">
        <v>PE</v>
        <stp/>
        <stp>nse_fo|HDFCAMC26DEC244050PE</stp>
        <stp>Option Type</stp>
        <tr r="M128" s="1"/>
      </tp>
      <tp t="s">
        <v>PE</v>
        <stp/>
        <stp>nse_fo|HDFCAMC26DEC244000PE</stp>
        <stp>Option Type</stp>
        <tr r="M127" s="1"/>
      </tp>
      <tp t="s">
        <v>PE</v>
        <stp/>
        <stp>nse_fo|HDFCAMC26DEC244200PE</stp>
        <stp>Option Type</stp>
        <tr r="M131" s="1"/>
      </tp>
      <tp>
        <v>16.600000000000001</v>
        <stp/>
        <stp>nse_fo|HDFCAMC26DEC244200PE</stp>
        <stp>Ask Rate</stp>
        <tr r="E131" s="1"/>
      </tp>
      <tp>
        <v>12.4</v>
        <stp/>
        <stp>nse_fo|HDFCAMC26DEC244150PE</stp>
        <stp>Ask Rate</stp>
        <tr r="E130" s="1"/>
      </tp>
      <tp>
        <v>9.35</v>
        <stp/>
        <stp>nse_fo|HDFCAMC26DEC244100PE</stp>
        <stp>Ask Rate</stp>
        <tr r="E129" s="1"/>
      </tp>
      <tp>
        <v>1612125</v>
        <stp/>
        <stp>nse_fo|ADANIGREEN26DEC241300CE</stp>
        <stp>Volume Traded Today</stp>
        <tr r="I48" s="1"/>
      </tp>
      <tp>
        <v>275250</v>
        <stp/>
        <stp>nse_fo|ADANIGREEN26DEC241320CE</stp>
        <stp>Volume Traded Today</stp>
        <tr r="I49" s="1"/>
      </tp>
      <tp>
        <v>292125</v>
        <stp/>
        <stp>nse_fo|ADANIGREEN26DEC241340CE</stp>
        <stp>Volume Traded Today</stp>
        <tr r="I50" s="1"/>
      </tp>
      <tp>
        <v>247875</v>
        <stp/>
        <stp>nse_fo|ADANIGREEN26DEC241280CE</stp>
        <stp>Volume Traded Today</stp>
        <tr r="I47" s="1"/>
      </tp>
      <tp>
        <v>3063750</v>
        <stp/>
        <stp>nse_fo|ADANIGREEN26DEC241200CE</stp>
        <stp>Volume Traded Today</stp>
        <tr r="I43" s="1"/>
      </tp>
      <tp>
        <v>601125</v>
        <stp/>
        <stp>nse_fo|ADANIGREEN26DEC241220CE</stp>
        <stp>Volume Traded Today</stp>
        <tr r="I44" s="1"/>
      </tp>
      <tp>
        <v>543375</v>
        <stp/>
        <stp>nse_fo|ADANIGREEN26DEC241240CE</stp>
        <stp>Volume Traded Today</stp>
        <tr r="I45" s="1"/>
      </tp>
      <tp>
        <v>441750</v>
        <stp/>
        <stp>nse_fo|ADANIGREEN26DEC241260CE</stp>
        <stp>Volume Traded Today</stp>
        <tr r="I46" s="1"/>
      </tp>
      <tp>
        <v>387750</v>
        <stp/>
        <stp>nse_fo|ADANIGREEN26DEC241180CE</stp>
        <stp>Volume Traded Today</stp>
        <tr r="I42" s="1"/>
      </tp>
      <tp>
        <v>52875</v>
        <stp/>
        <stp>nse_fo|ADANIGREEN26DEC241160CE</stp>
        <stp>Volume Traded Today</stp>
        <tr r="I41" s="1"/>
      </tp>
      <tp>
        <v>7.25</v>
        <stp/>
        <stp>nse_fo|HDFCAMC26DEC244050PE</stp>
        <stp>Ask Rate</stp>
        <tr r="E128" s="1"/>
      </tp>
      <tp>
        <v>5.8</v>
        <stp/>
        <stp>nse_fo|HDFCAMC26DEC244000PE</stp>
        <stp>Ask Rate</stp>
        <tr r="E127" s="1"/>
      </tp>
      <tp>
        <v>1.55</v>
        <stp/>
        <stp>nse_fo|MOTHERSON26DEC24177.5CE</stp>
        <stp>Bid Rate</stp>
        <tr r="D181" s="1"/>
      </tp>
      <tp>
        <v>431625</v>
        <stp/>
        <stp>nse_fo|ADANIGREEN26DEC241100PE</stp>
        <stp>Volume Traded Today</stp>
        <tr r="I54" s="1"/>
      </tp>
      <tp>
        <v>109875</v>
        <stp/>
        <stp>nse_fo|ADANIGREEN26DEC241120PE</stp>
        <stp>Volume Traded Today</stp>
        <tr r="I55" s="1"/>
      </tp>
      <tp>
        <v>32250</v>
        <stp/>
        <stp>nse_fo|ADANIGREEN26DEC241080PE</stp>
        <stp>Volume Traded Today</stp>
        <tr r="I53" s="1"/>
      </tp>
      <tp>
        <v>32250</v>
        <stp/>
        <stp>nse_fo|ADANIGREEN26DEC241040PE</stp>
        <stp>Volume Traded Today</stp>
        <tr r="I51" s="1"/>
      </tp>
      <tp>
        <v>42375</v>
        <stp/>
        <stp>nse_fo|ADANIGREEN26DEC241060PE</stp>
        <stp>Volume Traded Today</stp>
        <tr r="I52" s="1"/>
      </tp>
      <tp>
        <v>2.7</v>
        <stp/>
        <stp>nse_fo|MOTHERSON26DEC24172.5CE</stp>
        <stp>Bid Rate</stp>
        <tr r="D179" s="1"/>
      </tp>
      <tp>
        <v>1987.15</v>
        <stp/>
        <stp>nse_fo|MUTHOOTFIN26DEC24FUT</stp>
        <stp>Ask Rate</stp>
        <tr r="E193" s="1"/>
      </tp>
      <tp>
        <v>806.65</v>
        <stp/>
        <stp>nse_fo|TATAMOTORS26DEC24FUT</stp>
        <stp>Ask Rate</stp>
        <tr r="E213" s="1"/>
        <tr r="E58" s="1"/>
      </tp>
      <tp>
        <v>13.8</v>
        <stp/>
        <stp>nse_fo|JUBLFOOD26DEC24700CE</stp>
        <stp>Bid Rate</stp>
        <tr r="D146" s="1"/>
      </tp>
      <tp>
        <v>38.700000000000003</v>
        <stp/>
        <stp>nse_fo|JUBLFOOD26DEC24660CE</stp>
        <stp>Bid Rate</stp>
        <tr r="D142" s="1"/>
      </tp>
      <tp>
        <v>30.75</v>
        <stp/>
        <stp>nse_fo|JUBLFOOD26DEC24670CE</stp>
        <stp>Bid Rate</stp>
        <tr r="D143" s="1"/>
      </tp>
      <tp>
        <v>55.7</v>
        <stp/>
        <stp>nse_fo|JUBLFOOD26DEC24640CE</stp>
        <stp>Bid Rate</stp>
        <tr r="D140" s="1"/>
      </tp>
      <tp>
        <v>46.9</v>
        <stp/>
        <stp>nse_fo|JUBLFOOD26DEC24650CE</stp>
        <stp>Bid Rate</stp>
        <tr r="D141" s="1"/>
      </tp>
      <tp>
        <v>73.55</v>
        <stp/>
        <stp>nse_fo|JUBLFOOD26DEC24620CE</stp>
        <stp>Bid Rate</stp>
        <tr r="D138" s="1"/>
      </tp>
      <tp>
        <v>65.55</v>
        <stp/>
        <stp>nse_fo|JUBLFOOD26DEC24630CE</stp>
        <stp>Bid Rate</stp>
        <tr r="D139" s="1"/>
      </tp>
      <tp>
        <v>93.95</v>
        <stp/>
        <stp>nse_fo|JUBLFOOD26DEC24600CE</stp>
        <stp>Bid Rate</stp>
        <tr r="D136" s="1"/>
      </tp>
      <tp>
        <v>83.35</v>
        <stp/>
        <stp>nse_fo|JUBLFOOD26DEC24610CE</stp>
        <stp>Bid Rate</stp>
        <tr r="D137" s="1"/>
      </tp>
      <tp>
        <v>24.45</v>
        <stp/>
        <stp>nse_fo|JUBLFOOD26DEC24680CE</stp>
        <stp>Bid Rate</stp>
        <tr r="D144" s="1"/>
      </tp>
      <tp>
        <v>18.7</v>
        <stp/>
        <stp>nse_fo|JUBLFOOD26DEC24690CE</stp>
        <stp>Bid Rate</stp>
        <tr r="D145" s="1"/>
      </tp>
      <tp t="s">
        <v>FEDERALBNK</v>
        <stp/>
        <stp>nse_fo|FEDERALBNK26DEC24FUT</stp>
        <stp>Symbol</stp>
        <tr r="A98" s="1"/>
      </tp>
      <tp>
        <v>-2.25</v>
        <stp/>
        <stp>nse_fo|MOTHERSON26DEC24170CE</stp>
        <stp>Net Change</stp>
        <tr r="K178" s="1"/>
      </tp>
      <tp>
        <v>1.9</v>
        <stp/>
        <stp>nse_fo|MOTHERSON26DEC24170PE</stp>
        <stp>Net Change</stp>
        <tr r="K190" s="1"/>
      </tp>
      <tp>
        <v>-1.6</v>
        <stp/>
        <stp>nse_fo|MOTHERSON26DEC24175CE</stp>
        <stp>Net Change</stp>
        <tr r="K180" s="1"/>
      </tp>
      <tp t="s">
        <v>26Dec2024</v>
        <stp/>
        <stp>nse_fo|MUTHOOTFIN26DEC241960CE</stp>
        <stp>Series/Expiry</stp>
        <tr r="B200" s="1"/>
      </tp>
      <tp t="s">
        <v>26Dec2024</v>
        <stp/>
        <stp>nse_fo|MUTHOOTFIN26DEC241940CE</stp>
        <stp>Series/Expiry</stp>
        <tr r="B199" s="1"/>
      </tp>
      <tp t="s">
        <v>26Dec2024</v>
        <stp/>
        <stp>nse_fo|MUTHOOTFIN26DEC241920CE</stp>
        <stp>Series/Expiry</stp>
        <tr r="B198" s="1"/>
      </tp>
      <tp t="s">
        <v>26Dec2024</v>
        <stp/>
        <stp>nse_fo|MUTHOOTFIN26DEC241900CE</stp>
        <stp>Series/Expiry</stp>
        <tr r="B197" s="1"/>
      </tp>
      <tp t="s">
        <v>26Dec2024</v>
        <stp/>
        <stp>nse_fo|MUTHOOTFIN26DEC241980CE</stp>
        <stp>Series/Expiry</stp>
        <tr r="B201" s="1"/>
      </tp>
      <tp>
        <v>-2.7</v>
        <stp/>
        <stp>nse_fo|JUBLFOOD26DEC24FUT</stp>
        <stp>Net Change</stp>
        <tr r="K134" s="1"/>
      </tp>
      <tp>
        <v>813.33</v>
        <stp/>
        <stp>nse_fo|TATAMOTORS26DEC24FUT</stp>
        <stp>ATP</stp>
        <tr r="H213" s="1"/>
        <tr r="H58" s="1"/>
      </tp>
      <tp>
        <v>-42.12</v>
        <stp/>
        <stp>nse_fo|VEDL26DEC24500CE</stp>
        <stp>% Change</stp>
        <tr r="J240" s="1"/>
      </tp>
      <tp>
        <v>-34.67</v>
        <stp/>
        <stp>nse_fo|VEDL26DEC24480CE</stp>
        <stp>% Change</stp>
        <tr r="J238" s="1"/>
      </tp>
      <tp>
        <v>-38.229999999999997</v>
        <stp/>
        <stp>nse_fo|VEDL26DEC24490CE</stp>
        <stp>% Change</stp>
        <tr r="J239" s="1"/>
      </tp>
      <tp>
        <v>0</v>
        <stp/>
        <stp>nse_fo|VEDL26DEC24420CE</stp>
        <stp>% Change</stp>
        <tr r="J232" s="1"/>
      </tp>
      <tp>
        <v>-15.97</v>
        <stp/>
        <stp>nse_fo|VEDL26DEC24430CE</stp>
        <stp>% Change</stp>
        <tr r="J233" s="1"/>
      </tp>
      <tp>
        <v>-18.13</v>
        <stp/>
        <stp>nse_fo|VEDL26DEC24440CE</stp>
        <stp>% Change</stp>
        <tr r="J234" s="1"/>
      </tp>
      <tp>
        <v>-22.65</v>
        <stp/>
        <stp>nse_fo|VEDL26DEC24450CE</stp>
        <stp>% Change</stp>
        <tr r="J235" s="1"/>
      </tp>
      <tp>
        <v>-26.26</v>
        <stp/>
        <stp>nse_fo|VEDL26DEC24460CE</stp>
        <stp>% Change</stp>
        <tr r="J236" s="1"/>
      </tp>
      <tp>
        <v>-30.03</v>
        <stp/>
        <stp>nse_fo|VEDL26DEC24470CE</stp>
        <stp>% Change</stp>
        <tr r="J237" s="1"/>
      </tp>
      <tp>
        <v>5.45</v>
        <stp/>
        <stp>nse_fo|MOTHERSON26DEC24167.5PE</stp>
        <stp>LTP</stp>
        <tr r="G189" s="1"/>
        <tr r="M8" s="2"/>
      </tp>
      <tp>
        <v>3.1</v>
        <stp/>
        <stp>nse_fo|MOTHERSON26DEC24162.5PE</stp>
        <stp>LTP</stp>
        <tr r="G187" s="1"/>
      </tp>
      <tp>
        <v>0.55000000000000004</v>
        <stp/>
        <stp>nse_fo|MOTHERSON26DEC24187.5CE</stp>
        <stp>Bid Rate</stp>
        <tr r="D185" s="1"/>
      </tp>
      <tp>
        <v>0.6</v>
        <stp/>
        <stp>nse_fo|MOTHERSON26DEC24187.5CE</stp>
        <stp>LTP</stp>
        <tr r="G185" s="1"/>
      </tp>
      <tp>
        <v>0.95</v>
        <stp/>
        <stp>nse_fo|MOTHERSON26DEC24182.5CE</stp>
        <stp>LTP</stp>
        <tr r="G183" s="1"/>
      </tp>
      <tp>
        <v>0.9</v>
        <stp/>
        <stp>nse_fo|MOTHERSON26DEC24182.5CE</stp>
        <stp>Bid Rate</stp>
        <tr r="D183" s="1"/>
      </tp>
      <tp>
        <v>4496.1000000000004</v>
        <stp/>
        <stp>nse_cm|HDFCAMC-EQ</stp>
        <stp>Bid Rate</stp>
        <tr r="D118" s="1"/>
      </tp>
      <tp>
        <v>4.55</v>
        <stp/>
        <stp>nse_fo|MOTHERSON26DEC24167.5CE</stp>
        <stp>LTP</stp>
        <tr r="L8" s="2"/>
        <tr r="G177" s="1"/>
      </tp>
      <tp>
        <v>1.7</v>
        <stp/>
        <stp>nse_fo|MOTHERSON26DEC24177.5CE</stp>
        <stp>LTP</stp>
        <tr r="G181" s="1"/>
      </tp>
      <tp>
        <v>2.65</v>
        <stp/>
        <stp>nse_fo|MOTHERSON26DEC24172.5CE</stp>
        <stp>LTP</stp>
        <tr r="G179" s="1"/>
      </tp>
      <tp t="s">
        <v>LAURUSLABS</v>
        <stp/>
        <stp>nse_fo|LAURUSLABS26DEC24550CE</stp>
        <stp>Symbol</stp>
        <tr r="A164" s="1"/>
      </tp>
      <tp>
        <v>0.7</v>
        <stp/>
        <stp>nse_fo|MOTHERSON26DEC24160PE</stp>
        <stp>Net Change</stp>
        <tr r="K186" s="1"/>
      </tp>
      <tp t="s">
        <v>LAURUSLABS</v>
        <stp/>
        <stp>nse_fo|LAURUSLABS26DEC24FUT</stp>
        <stp>Symbol</stp>
        <tr r="A154" s="1"/>
      </tp>
      <tp>
        <v>-2.95</v>
        <stp/>
        <stp>nse_fo|MOTHERSON26DEC24165CE</stp>
        <stp>Net Change</stp>
        <tr r="K176" s="1"/>
      </tp>
      <tp>
        <v>1.45</v>
        <stp/>
        <stp>nse_fo|MOTHERSON26DEC24165PE</stp>
        <stp>Net Change</stp>
        <tr r="K188" s="1"/>
      </tp>
      <tp t="s">
        <v>26Dec2024</v>
        <stp/>
        <stp>nse_fo|MUTHOOTFIN26DEC241860PE</stp>
        <stp>Series/Expiry</stp>
        <tr r="B209" s="1"/>
      </tp>
      <tp t="s">
        <v>26Dec2024</v>
        <stp/>
        <stp>nse_fo|MUTHOOTFIN26DEC241860CE</stp>
        <stp>Series/Expiry</stp>
        <tr r="B195" s="1"/>
      </tp>
      <tp t="s">
        <v>26Dec2024</v>
        <stp/>
        <stp>nse_fo|MUTHOOTFIN26DEC241840PE</stp>
        <stp>Series/Expiry</stp>
        <tr r="B208" s="1"/>
      </tp>
      <tp t="s">
        <v>26Dec2024</v>
        <stp/>
        <stp>nse_fo|MUTHOOTFIN26DEC241820PE</stp>
        <stp>Series/Expiry</stp>
        <tr r="B207" s="1"/>
      </tp>
      <tp t="s">
        <v>26Dec2024</v>
        <stp/>
        <stp>nse_fo|MUTHOOTFIN26DEC241800PE</stp>
        <stp>Series/Expiry</stp>
        <tr r="B206" s="1"/>
      </tp>
      <tp>
        <v>0</v>
        <stp/>
        <stp>nse_cm|MOTHERSON-EQ</stp>
        <stp>Strike Price</stp>
        <tr r="L175" s="1"/>
      </tp>
      <tp t="s">
        <v>26Dec2024</v>
        <stp/>
        <stp>nse_fo|MUTHOOTFIN26DEC241880PE</stp>
        <stp>Series/Expiry</stp>
        <tr r="B210" s="1"/>
      </tp>
      <tp t="s">
        <v>26Dec2024</v>
        <stp/>
        <stp>nse_fo|MUTHOOTFIN26DEC241880CE</stp>
        <stp>Series/Expiry</stp>
        <tr r="B196" s="1"/>
      </tp>
      <tp>
        <v>616.70000000000005</v>
        <stp/>
        <stp>nse_fo|BSOFT26DEC24FUT</stp>
        <stp>High</stp>
        <tr r="A6" s="1"/>
      </tp>
      <tp>
        <v>58.39</v>
        <stp/>
        <stp>nse_fo|MUTHOOTFIN26DEC241960CE</stp>
        <stp>ATP</stp>
        <tr r="H200" s="1"/>
      </tp>
      <tp>
        <v>69.05</v>
        <stp/>
        <stp>nse_fo|MUTHOOTFIN26DEC241940CE</stp>
        <stp>ATP</stp>
        <tr r="H199" s="1"/>
      </tp>
      <tp>
        <v>93.39</v>
        <stp/>
        <stp>nse_fo|MUTHOOTFIN26DEC241920CE</stp>
        <stp>ATP</stp>
        <tr r="H198" s="1"/>
      </tp>
      <tp>
        <v>101.75</v>
        <stp/>
        <stp>nse_fo|MUTHOOTFIN26DEC241900CE</stp>
        <stp>ATP</stp>
        <tr r="H197" s="1"/>
      </tp>
      <tp>
        <v>50.67</v>
        <stp/>
        <stp>nse_fo|MUTHOOTFIN26DEC241980CE</stp>
        <stp>ATP</stp>
        <tr r="H201" s="1"/>
      </tp>
      <tp>
        <v>136.55000000000001</v>
        <stp/>
        <stp>nse_fo|MUTHOOTFIN26DEC241860CE</stp>
        <stp>ATP</stp>
        <tr r="H195" s="1"/>
      </tp>
      <tp>
        <v>0</v>
        <stp/>
        <stp>nse_fo|MUTHOOTFIN26DEC241880CE</stp>
        <stp>ATP</stp>
        <tr r="H196" s="1"/>
      </tp>
      <tp>
        <v>19.62</v>
        <stp/>
        <stp>nse_fo|MUTHOOTFIN26DEC242060CE</stp>
        <stp>ATP</stp>
        <tr r="H205" s="1"/>
      </tp>
      <tp>
        <v>26.82</v>
        <stp/>
        <stp>nse_fo|MUTHOOTFIN26DEC242040CE</stp>
        <stp>ATP</stp>
        <tr r="H204" s="1"/>
      </tp>
      <tp>
        <v>34.56</v>
        <stp/>
        <stp>nse_fo|MUTHOOTFIN26DEC242020CE</stp>
        <stp>ATP</stp>
        <tr r="H203" s="1"/>
      </tp>
      <tp>
        <v>43.71</v>
        <stp/>
        <stp>nse_fo|MUTHOOTFIN26DEC242000CE</stp>
        <stp>ATP</stp>
        <tr r="H202" s="1"/>
      </tp>
      <tp>
        <v>95000</v>
        <stp/>
        <stp>nse_fo|FEDERALBNK26DEC24222.5CE</stp>
        <stp>Bid Qty</stp>
        <tr r="C109" s="1"/>
      </tp>
      <tp>
        <v>10000</v>
        <stp/>
        <stp>nse_fo|FEDERALBNK26DEC24207.5CE</stp>
        <stp>Bid Qty</stp>
        <tr r="C103" s="1"/>
      </tp>
      <tp>
        <v>5000</v>
        <stp/>
        <stp>nse_fo|FEDERALBNK26DEC24202.5CE</stp>
        <stp>Bid Qty</stp>
        <tr r="C101" s="1"/>
      </tp>
      <tp>
        <v>75000</v>
        <stp/>
        <stp>nse_fo|FEDERALBNK26DEC24217.5CE</stp>
        <stp>Bid Qty</stp>
        <tr r="C107" s="1"/>
      </tp>
      <tp>
        <v>45000</v>
        <stp/>
        <stp>nse_fo|FEDERALBNK26DEC24212.5CE</stp>
        <stp>Bid Qty</stp>
        <tr r="C105" s="1"/>
      </tp>
      <tp>
        <v>9.74</v>
        <stp/>
        <stp>nse_fo|MUTHOOTFIN26DEC241860PE</stp>
        <stp>ATP</stp>
        <tr r="H209" s="1"/>
      </tp>
      <tp>
        <v>7.6</v>
        <stp/>
        <stp>nse_fo|MUTHOOTFIN26DEC241840PE</stp>
        <stp>ATP</stp>
        <tr r="H208" s="1"/>
      </tp>
      <tp>
        <v>6.2</v>
        <stp/>
        <stp>nse_fo|MUTHOOTFIN26DEC241820PE</stp>
        <stp>ATP</stp>
        <tr r="H207" s="1"/>
      </tp>
      <tp>
        <v>4.79</v>
        <stp/>
        <stp>nse_fo|MUTHOOTFIN26DEC241800PE</stp>
        <stp>ATP</stp>
        <tr r="H206" s="1"/>
      </tp>
      <tp>
        <v>13.09</v>
        <stp/>
        <stp>nse_fo|MUTHOOTFIN26DEC241880PE</stp>
        <stp>ATP</stp>
        <tr r="H210" s="1"/>
      </tp>
      <tp>
        <v>75000</v>
        <stp/>
        <stp>nse_fo|FEDERALBNK26DEC24207.5PE</stp>
        <stp>Bid Qty</stp>
        <tr r="C113" s="1"/>
      </tp>
      <tp>
        <v>160000</v>
        <stp/>
        <stp>nse_fo|FEDERALBNK26DEC24202.5PE</stp>
        <stp>Bid Qty</stp>
        <tr r="C111" s="1"/>
      </tp>
      <tp>
        <v>724625</v>
        <stp/>
        <stp>nse_fo|MUTHOOTFIN26DEC24FUT</stp>
        <stp>Volume Traded Today</stp>
        <tr r="I193" s="1"/>
      </tp>
      <tp t="s">
        <v>LAURUSLABS</v>
        <stp/>
        <stp>nse_fo|LAURUSLABS26DEC24540CE</stp>
        <stp>Symbol</stp>
        <tr r="A163" s="1"/>
      </tp>
      <tp>
        <v>115000</v>
        <stp/>
        <stp>nse_fo|FEDERALBNK26DEC24202.5PE</stp>
        <stp>Ask Qty</stp>
        <tr r="F111" s="1"/>
      </tp>
      <tp>
        <v>55000</v>
        <stp/>
        <stp>nse_fo|FEDERALBNK26DEC24207.5PE</stp>
        <stp>Ask Qty</stp>
        <tr r="F113" s="1"/>
      </tp>
      <tp>
        <v>10000</v>
        <stp/>
        <stp>nse_fo|FEDERALBNK26DEC24202.5CE</stp>
        <stp>Ask Qty</stp>
        <tr r="F101" s="1"/>
      </tp>
      <tp>
        <v>5000</v>
        <stp/>
        <stp>nse_fo|FEDERALBNK26DEC24207.5CE</stp>
        <stp>Ask Qty</stp>
        <tr r="F103" s="1"/>
      </tp>
      <tp>
        <v>15000</v>
        <stp/>
        <stp>nse_fo|FEDERALBNK26DEC24212.5CE</stp>
        <stp>Ask Qty</stp>
        <tr r="F105" s="1"/>
      </tp>
      <tp>
        <v>40000</v>
        <stp/>
        <stp>nse_fo|FEDERALBNK26DEC24217.5CE</stp>
        <stp>Ask Qty</stp>
        <tr r="F107" s="1"/>
      </tp>
      <tp>
        <v>80000</v>
        <stp/>
        <stp>nse_fo|FEDERALBNK26DEC24222.5CE</stp>
        <stp>Ask Qty</stp>
        <tr r="F109" s="1"/>
      </tp>
      <tp t="s">
        <v>LAURUSLABS</v>
        <stp/>
        <stp>nse_fo|LAURUSLABS26DEC24570CE</stp>
        <stp>Symbol</stp>
        <tr r="A166" s="1"/>
      </tp>
      <tp t="s">
        <v>LAURUSLABS</v>
        <stp/>
        <stp>nse_fo|LAURUSLABS26DEC24470CE</stp>
        <stp>Symbol</stp>
        <tr r="A156" s="1"/>
        <tr r="A167" s="1"/>
      </tp>
      <tp t="s">
        <v>HDFCAMC</v>
        <stp/>
        <stp>nse_fo|HDFCAMC26DEC24FUT</stp>
        <stp>Symbol</stp>
        <tr r="A117" s="1"/>
      </tp>
      <tp>
        <v>-12.05</v>
        <stp/>
        <stp>nse_cm|TATAMOTORS-EQ</stp>
        <stp>Net Change</stp>
        <tr r="K59" s="1"/>
        <tr r="K214" s="1"/>
      </tp>
      <tp>
        <v>1.92</v>
        <stp/>
        <stp>nse_fo|BSOFT26DEC24560PE</stp>
        <stp>ATP</stp>
        <tr r="H95" s="1"/>
      </tp>
      <tp>
        <v>1.03</v>
        <stp/>
        <stp>nse_fo|BSOFT26DEC24540PE</stp>
        <stp>ATP</stp>
        <tr r="H93" s="1"/>
      </tp>
      <tp>
        <v>1.34</v>
        <stp/>
        <stp>nse_fo|BSOFT26DEC24550PE</stp>
        <stp>ATP</stp>
        <tr r="H94" s="1"/>
      </tp>
      <tp>
        <v>0.5</v>
        <stp/>
        <stp>nse_fo|BSOFT26DEC24520PE</stp>
        <stp>ATP</stp>
        <tr r="H91" s="1"/>
      </tp>
      <tp>
        <v>0.73</v>
        <stp/>
        <stp>nse_fo|BSOFT26DEC24530PE</stp>
        <stp>ATP</stp>
        <tr r="H92" s="1"/>
      </tp>
      <tp>
        <v>6.31</v>
        <stp/>
        <stp>nse_fo|BSOFT26DEC24640CE</stp>
        <stp>ATP</stp>
        <tr r="H90" s="1"/>
      </tp>
      <tp>
        <v>12.53</v>
        <stp/>
        <stp>nse_fo|BSOFT26DEC24620CE</stp>
        <stp>ATP</stp>
        <tr r="H88" s="1"/>
      </tp>
      <tp>
        <v>8.26</v>
        <stp/>
        <stp>nse_fo|BSOFT26DEC24630CE</stp>
        <stp>ATP</stp>
        <tr r="H89" s="1"/>
      </tp>
      <tp>
        <v>22.5</v>
        <stp/>
        <stp>nse_fo|BSOFT26DEC24600CE</stp>
        <stp>ATP</stp>
        <tr r="H86" s="1"/>
      </tp>
      <tp>
        <v>17.03</v>
        <stp/>
        <stp>nse_fo|BSOFT26DEC24610CE</stp>
        <stp>ATP</stp>
        <tr r="H87" s="1"/>
      </tp>
      <tp>
        <v>51.66</v>
        <stp/>
        <stp>nse_fo|BSOFT26DEC24560CE</stp>
        <stp>ATP</stp>
        <tr r="H82" s="1"/>
      </tp>
      <tp>
        <v>43.9</v>
        <stp/>
        <stp>nse_fo|BSOFT26DEC24570CE</stp>
        <stp>ATP</stp>
        <tr r="H83" s="1"/>
      </tp>
      <tp>
        <v>0</v>
        <stp/>
        <stp>nse_fo|BSOFT26DEC24540CE</stp>
        <stp>ATP</stp>
        <tr r="H80" s="1"/>
      </tp>
      <tp>
        <v>63.31</v>
        <stp/>
        <stp>nse_fo|BSOFT26DEC24550CE</stp>
        <stp>ATP</stp>
        <tr r="H81" s="1"/>
      </tp>
      <tp>
        <v>35</v>
        <stp/>
        <stp>nse_fo|BSOFT26DEC24580CE</stp>
        <stp>ATP</stp>
        <tr r="H84" s="1"/>
      </tp>
      <tp>
        <v>29.56</v>
        <stp/>
        <stp>nse_fo|BSOFT26DEC24590CE</stp>
        <stp>ATP</stp>
        <tr r="H85" s="1"/>
      </tp>
      <tp t="s">
        <v>LAURUSLABS</v>
        <stp/>
        <stp>nse_fo|LAURUSLABS26DEC24560CE</stp>
        <stp>Symbol</stp>
        <tr r="A165" s="1"/>
      </tp>
      <tp>
        <v>1987.15</v>
        <stp/>
        <stp>nse_fo|MUTHOOTFIN26DEC24FUT</stp>
        <stp>LTP</stp>
        <tr r="D12" s="1"/>
        <tr r="J13" s="2"/>
        <tr r="G193" s="1"/>
      </tp>
      <tp>
        <v>7.87</v>
        <stp/>
        <stp>nse_fo|ABB26DEC247500CE</stp>
        <stp>% Change</stp>
        <tr r="J31" s="1"/>
      </tp>
      <tp>
        <v>5.47</v>
        <stp/>
        <stp>nse_fo|ABB26DEC247400CE</stp>
        <stp>% Change</stp>
        <tr r="J30" s="1"/>
      </tp>
      <tp>
        <v>9.52</v>
        <stp/>
        <stp>nse_fo|ABB26DEC247300CE</stp>
        <stp>% Change</stp>
        <tr r="J29" s="1"/>
      </tp>
      <tp>
        <v>11.69</v>
        <stp/>
        <stp>nse_fo|ABB26DEC247200CE</stp>
        <stp>% Change</stp>
        <tr r="J28" s="1"/>
      </tp>
      <tp>
        <v>2.59</v>
        <stp/>
        <stp>nse_fo|ABB26DEC247100CE</stp>
        <stp>% Change</stp>
        <tr r="J27" s="1"/>
      </tp>
      <tp t="s">
        <v>MOTHERSON</v>
        <stp/>
        <stp>nse_fo|MOTHERSON26DEC24FUT</stp>
        <stp>Symbol</stp>
        <tr r="A174" s="1"/>
      </tp>
      <tp>
        <v>0</v>
        <stp/>
        <stp>nse_fo|ABB26DEC247000CE</stp>
        <stp>% Change</stp>
        <tr r="J26" s="1"/>
      </tp>
      <tp t="s">
        <v>LAURUSLABS</v>
        <stp/>
        <stp>nse_fo|LAURUSLABS26DEC24510CE</stp>
        <stp>Symbol</stp>
        <tr r="A171" s="1"/>
        <tr r="A160" s="1"/>
      </tp>
      <tp t="e">
        <v>#N/A</v>
        <stp/>
        <stp>nse_fo|PERSISTENT28JUL22FUT</stp>
        <stp>Symbol</stp>
        <tr r="P118" s="4"/>
      </tp>
      <tp>
        <v>4</v>
        <stp/>
        <stp>nse_cm|MUTHOOTFIN-EQ</stp>
        <stp>Bid Qty</stp>
        <tr r="C194" s="1"/>
      </tp>
      <tp>
        <v>14</v>
        <stp/>
        <stp>nse_cm|TATAMOTORS-EQ</stp>
        <stp>Bid Qty</stp>
        <tr r="C59" s="1"/>
        <tr r="C214" s="1"/>
      </tp>
      <tp>
        <v>2868400</v>
        <stp/>
        <stp>nse_fo|MOTHERSON26DEC24167.5CE</stp>
        <stp>Volume Traded Today</stp>
        <tr r="I177" s="1"/>
      </tp>
      <tp>
        <v>3393800</v>
        <stp/>
        <stp>nse_fo|MOTHERSON26DEC24172.5CE</stp>
        <stp>Volume Traded Today</stp>
        <tr r="I179" s="1"/>
      </tp>
      <tp>
        <v>1469700</v>
        <stp/>
        <stp>nse_fo|MOTHERSON26DEC24177.5CE</stp>
        <stp>Volume Traded Today</stp>
        <tr r="I181" s="1"/>
      </tp>
      <tp>
        <v>1231850</v>
        <stp/>
        <stp>nse_fo|MOTHERSON26DEC24182.5CE</stp>
        <stp>Volume Traded Today</stp>
        <tr r="I183" s="1"/>
      </tp>
      <tp>
        <v>415350</v>
        <stp/>
        <stp>nse_fo|MOTHERSON26DEC24187.5CE</stp>
        <stp>Volume Traded Today</stp>
        <tr r="I185" s="1"/>
      </tp>
      <tp>
        <v>0</v>
        <stp/>
        <stp>nse_fo|ABB26DEC246900CE</stp>
        <stp>% Change</stp>
        <tr r="J25" s="1"/>
      </tp>
      <tp>
        <v>1093400</v>
        <stp/>
        <stp>nse_fo|MOTHERSON26DEC24162.5PE</stp>
        <stp>Volume Traded Today</stp>
        <tr r="I187" s="1"/>
      </tp>
      <tp>
        <v>1917000</v>
        <stp/>
        <stp>nse_fo|MOTHERSON26DEC24167.5PE</stp>
        <stp>Volume Traded Today</stp>
        <tr r="I189" s="1"/>
      </tp>
      <tp>
        <v>0</v>
        <stp/>
        <stp>nse_fo|ABB26DEC246800CE</stp>
        <stp>% Change</stp>
        <tr r="J24" s="1"/>
      </tp>
      <tp>
        <v>19.64</v>
        <stp/>
        <stp>nse_fo|ABB26DEC246700CE</stp>
        <stp>% Change</stp>
        <tr r="J23" s="1"/>
      </tp>
      <tp>
        <v>0</v>
        <stp/>
        <stp>nse_fo|ABB26DEC246600CE</stp>
        <stp>% Change</stp>
        <tr r="J22" s="1"/>
      </tp>
      <tp>
        <v>0</v>
        <stp/>
        <stp>nse_fo|ABB26DEC246500CE</stp>
        <stp>% Change</stp>
        <tr r="J21" s="1"/>
      </tp>
      <tp t="s">
        <v>LAURUSLABS</v>
        <stp/>
        <stp>nse_fo|LAURUSLABS26DEC24500CE</stp>
        <stp>Symbol</stp>
        <tr r="A170" s="1"/>
        <tr r="A159" s="1"/>
      </tp>
      <tp>
        <v>272.35000000000002</v>
        <stp/>
        <stp>nse_fo|HDFCAMC26DEC244250CE</stp>
        <stp>Bid Rate</stp>
        <tr r="D120" s="1"/>
      </tp>
      <tp>
        <v>319.39999999999998</v>
        <stp/>
        <stp>nse_fo|HDFCAMC26DEC244200CE</stp>
        <stp>Bid Rate</stp>
        <tr r="D119" s="1"/>
      </tp>
      <tp>
        <v>198.2</v>
        <stp/>
        <stp>nse_fo|HDFCAMC26DEC244350CE</stp>
        <stp>Bid Rate</stp>
        <tr r="D122" s="1"/>
      </tp>
      <tp>
        <v>236.65</v>
        <stp/>
        <stp>nse_fo|HDFCAMC26DEC244300CE</stp>
        <stp>Bid Rate</stp>
        <tr r="D121" s="1"/>
      </tp>
      <tp>
        <v>134</v>
        <stp/>
        <stp>nse_fo|HDFCAMC26DEC244450CE</stp>
        <stp>Bid Rate</stp>
        <tr r="D124" s="1"/>
      </tp>
      <tp>
        <v>164.75</v>
        <stp/>
        <stp>nse_fo|HDFCAMC26DEC244400CE</stp>
        <stp>Bid Rate</stp>
        <tr r="D123" s="1"/>
      </tp>
      <tp>
        <v>85.35</v>
        <stp/>
        <stp>nse_fo|HDFCAMC26DEC244550CE</stp>
        <stp>Bid Rate</stp>
        <tr r="D126" s="1"/>
      </tp>
      <tp>
        <v>108.55</v>
        <stp/>
        <stp>nse_fo|HDFCAMC26DEC244500CE</stp>
        <stp>Bid Rate</stp>
        <tr r="D125" s="1"/>
      </tp>
      <tp>
        <v>20</v>
        <stp/>
        <stp>nse_cm|MUTHOOTFIN-EQ</stp>
        <stp>Ask Qty</stp>
        <tr r="F194" s="1"/>
      </tp>
      <tp>
        <v>1720</v>
        <stp/>
        <stp>nse_cm|TATAMOTORS-EQ</stp>
        <stp>Ask Qty</stp>
        <tr r="F59" s="1"/>
        <tr r="F214" s="1"/>
      </tp>
      <tp>
        <v>1217.55</v>
        <stp/>
        <stp>nse_fo|ADANIGREEN26DEC24FUT</stp>
        <stp>Bid Rate</stp>
        <tr r="D39" s="1"/>
      </tp>
      <tp>
        <v>-0.84</v>
        <stp/>
        <stp>nse_cm|UPL-EQ</stp>
        <stp>% Change</stp>
        <tr r="J253" s="1"/>
      </tp>
      <tp>
        <v>2.1</v>
        <stp/>
        <stp>nse_fo|JUBLFOOD26DEC24640PE</stp>
        <stp>Ask Rate</stp>
        <tr r="E151" s="1"/>
      </tp>
      <tp>
        <v>1.05</v>
        <stp/>
        <stp>nse_fo|JUBLFOOD26DEC24620PE</stp>
        <stp>Ask Rate</stp>
        <tr r="E149" s="1"/>
      </tp>
      <tp>
        <v>1.45</v>
        <stp/>
        <stp>nse_fo|JUBLFOOD26DEC24630PE</stp>
        <stp>Ask Rate</stp>
        <tr r="E150" s="1"/>
      </tp>
      <tp>
        <v>0.65</v>
        <stp/>
        <stp>nse_fo|JUBLFOOD26DEC24600PE</stp>
        <stp>Ask Rate</stp>
        <tr r="E147" s="1"/>
      </tp>
      <tp>
        <v>0.85</v>
        <stp/>
        <stp>nse_fo|JUBLFOOD26DEC24610PE</stp>
        <stp>Ask Rate</stp>
        <tr r="E148" s="1"/>
      </tp>
      <tp t="s">
        <v>LAURUSLABS</v>
        <stp/>
        <stp>nse_fo|LAURUSLABS26DEC24530CE</stp>
        <stp>Symbol</stp>
        <tr r="A162" s="1"/>
      </tp>
      <tp>
        <v>214.33</v>
        <stp/>
        <stp>nse_fo|FEDERALBNK26DEC24FUT</stp>
        <stp>Ask Rate</stp>
        <tr r="E98" s="1"/>
      </tp>
      <tp>
        <v>608.29999999999995</v>
        <stp/>
        <stp>nse_fo|BSOFT26DEC24FUT</stp>
        <stp xml:space="preserve">Low </stp>
        <tr r="B6" s="1"/>
      </tp>
      <tp>
        <v>3.15</v>
        <stp/>
        <stp>nse_fo|MOTHERSON26DEC24162.5PE</stp>
        <stp>Ask Rate</stp>
        <tr r="E187" s="1"/>
      </tp>
      <tp>
        <v>5.5</v>
        <stp/>
        <stp>nse_fo|MOTHERSON26DEC24167.5PE</stp>
        <stp>Ask Rate</stp>
        <tr r="E189" s="1"/>
      </tp>
      <tp>
        <v>19.71</v>
        <stp/>
        <stp>nse_fo|ADANIGREEN26DEC241060PE</stp>
        <stp>ATP</stp>
        <tr r="H52" s="1"/>
      </tp>
      <tp>
        <v>17.25</v>
        <stp/>
        <stp>nse_fo|ADANIGREEN26DEC241040PE</stp>
        <stp>ATP</stp>
        <tr r="H51" s="1"/>
      </tp>
      <tp>
        <v>24.18</v>
        <stp/>
        <stp>nse_fo|ADANIGREEN26DEC241080PE</stp>
        <stp>ATP</stp>
        <tr r="H53" s="1"/>
      </tp>
      <tp>
        <v>36.49</v>
        <stp/>
        <stp>nse_fo|ADANIGREEN26DEC241120PE</stp>
        <stp>ATP</stp>
        <tr r="H55" s="1"/>
      </tp>
      <tp>
        <v>30.52</v>
        <stp/>
        <stp>nse_fo|ADANIGREEN26DEC241100PE</stp>
        <stp>ATP</stp>
        <tr r="H54" s="1"/>
      </tp>
      <tp>
        <v>59.33</v>
        <stp/>
        <stp>nse_fo|ADANIGREEN26DEC241220CE</stp>
        <stp>ATP</stp>
        <tr r="H44" s="1"/>
      </tp>
      <tp>
        <v>66.03</v>
        <stp/>
        <stp>nse_fo|ADANIGREEN26DEC241200CE</stp>
        <stp>ATP</stp>
        <tr r="H43" s="1"/>
      </tp>
      <tp>
        <v>44.37</v>
        <stp/>
        <stp>nse_fo|ADANIGREEN26DEC241260CE</stp>
        <stp>ATP</stp>
        <tr r="H46" s="1"/>
      </tp>
      <tp>
        <v>52.23</v>
        <stp/>
        <stp>nse_fo|ADANIGREEN26DEC241240CE</stp>
        <stp>ATP</stp>
        <tr r="H45" s="1"/>
      </tp>
      <tp>
        <v>39.75</v>
        <stp/>
        <stp>nse_fo|ADANIGREEN26DEC241280CE</stp>
        <stp>ATP</stp>
        <tr r="H47" s="1"/>
      </tp>
      <tp>
        <v>29.17</v>
        <stp/>
        <stp>nse_fo|ADANIGREEN26DEC241320CE</stp>
        <stp>ATP</stp>
        <tr r="H49" s="1"/>
      </tp>
      <tp>
        <v>33.64</v>
        <stp/>
        <stp>nse_fo|ADANIGREEN26DEC241300CE</stp>
        <stp>ATP</stp>
        <tr r="H48" s="1"/>
      </tp>
      <tp>
        <v>25.39</v>
        <stp/>
        <stp>nse_fo|ADANIGREEN26DEC241340CE</stp>
        <stp>ATP</stp>
        <tr r="H50" s="1"/>
      </tp>
      <tp>
        <v>87.86</v>
        <stp/>
        <stp>nse_fo|ADANIGREEN26DEC241160CE</stp>
        <stp>ATP</stp>
        <tr r="H41" s="1"/>
      </tp>
      <tp>
        <v>78.819999999999993</v>
        <stp/>
        <stp>nse_fo|ADANIGREEN26DEC241180CE</stp>
        <stp>ATP</stp>
        <tr r="H42" s="1"/>
      </tp>
      <tp t="s">
        <v>LAURUSLABS</v>
        <stp/>
        <stp>nse_fo|LAURUSLABS26DEC24520CE</stp>
        <stp>Symbol</stp>
        <tr r="A161" s="1"/>
      </tp>
      <tp t="s">
        <v>26Dec2024</v>
        <stp/>
        <stp>nse_fo|ADANIGREEN26DEC241220CE</stp>
        <stp>Series/Expiry</stp>
        <tr r="B44" s="1"/>
      </tp>
      <tp t="s">
        <v>26Dec2024</v>
        <stp/>
        <stp>nse_fo|ADANIGREEN26DEC241200CE</stp>
        <stp>Series/Expiry</stp>
        <tr r="B43" s="1"/>
      </tp>
      <tp t="s">
        <v>26Dec2024</v>
        <stp/>
        <stp>nse_fo|ADANIGREEN26DEC241260CE</stp>
        <stp>Series/Expiry</stp>
        <tr r="B46" s="1"/>
      </tp>
      <tp t="s">
        <v>26Dec2024</v>
        <stp/>
        <stp>nse_fo|ADANIGREEN26DEC241240CE</stp>
        <stp>Series/Expiry</stp>
        <tr r="B45" s="1"/>
      </tp>
      <tp t="s">
        <v>26Dec2024</v>
        <stp/>
        <stp>nse_fo|ADANIGREEN26DEC241280CE</stp>
        <stp>Series/Expiry</stp>
        <tr r="B47" s="1"/>
      </tp>
      <tp>
        <v>2219250</v>
        <stp/>
        <stp>nse_fo|ADANIGREEN26DEC24FUT</stp>
        <stp>Volume Traded Today</stp>
        <tr r="I39" s="1"/>
      </tp>
      <tp>
        <v>-8.1999999999999993</v>
        <stp/>
        <stp>nse_fo|VEDL26DEC24490CE</stp>
        <stp>Net Change</stp>
        <tr r="K239" s="1"/>
      </tp>
      <tp t="s">
        <v>TATAMOTORS</v>
        <stp/>
        <stp>nse_fo|TATAMOTORS26DEC24740CE</stp>
        <stp>Symbol</stp>
        <tr r="A75" s="1"/>
      </tp>
      <tp t="s">
        <v>TATAMOTORS</v>
        <stp/>
        <stp>nse_fo|TATAMOTORS26DEC24840CE</stp>
        <stp>Symbol</stp>
        <tr r="A221" s="1"/>
        <tr r="A66" s="1"/>
      </tp>
      <tp>
        <v>493.76</v>
        <stp/>
        <stp>nse_fo|VEDL26DEC24FUT</stp>
        <stp>ATP</stp>
        <tr r="H230" s="1"/>
      </tp>
      <tp t="s">
        <v>26Dec2024</v>
        <stp/>
        <stp>nse_fo|ADANIGREEN26DEC241320CE</stp>
        <stp>Series/Expiry</stp>
        <tr r="B49" s="1"/>
      </tp>
      <tp t="s">
        <v>26Dec2024</v>
        <stp/>
        <stp>nse_fo|ADANIGREEN26DEC241300CE</stp>
        <stp>Series/Expiry</stp>
        <tr r="B48" s="1"/>
      </tp>
      <tp t="s">
        <v>26Dec2024</v>
        <stp/>
        <stp>nse_fo|ADANIGREEN26DEC241340CE</stp>
        <stp>Series/Expiry</stp>
        <tr r="B50" s="1"/>
      </tp>
      <tp>
        <v>4522.95</v>
        <stp/>
        <stp>nse_fo|HDFCAMC26DEC24FUT</stp>
        <stp>High</stp>
        <tr r="A8" s="1"/>
      </tp>
      <tp>
        <v>92300</v>
        <stp/>
        <stp>nse_fo|MOTHERSON26DEC24160PE</stp>
        <stp>Bid Qty</stp>
        <tr r="C186" s="1"/>
      </tp>
      <tp>
        <v>10650</v>
        <stp/>
        <stp>nse_fo|MOTHERSON26DEC24170PE</stp>
        <stp>Bid Qty</stp>
        <tr r="C190" s="1"/>
      </tp>
      <tp>
        <v>14200</v>
        <stp/>
        <stp>nse_fo|MOTHERSON26DEC24FUT</stp>
        <stp>Bid Qty</stp>
        <tr r="C174" s="1"/>
      </tp>
      <tp>
        <v>173950</v>
        <stp/>
        <stp>nse_fo|MOTHERSON26DEC24180CE</stp>
        <stp>Bid Qty</stp>
        <tr r="C182" s="1"/>
      </tp>
      <tp>
        <v>106500</v>
        <stp/>
        <stp>nse_fo|MOTHERSON26DEC24170CE</stp>
        <stp>Bid Qty</stp>
        <tr r="C178" s="1"/>
      </tp>
      <tp t="s">
        <v>PE</v>
        <stp/>
        <stp>nse_fo|MUTHOOTFIN26DEC241820PE</stp>
        <stp>Option Type</stp>
        <tr r="M207" s="1"/>
      </tp>
      <tp t="s">
        <v>PE</v>
        <stp/>
        <stp>nse_fo|MUTHOOTFIN26DEC241800PE</stp>
        <stp>Option Type</stp>
        <tr r="M206" s="1"/>
      </tp>
      <tp t="s">
        <v>PE</v>
        <stp/>
        <stp>nse_fo|MUTHOOTFIN26DEC241860PE</stp>
        <stp>Option Type</stp>
        <tr r="M209" s="1"/>
      </tp>
      <tp t="s">
        <v>PE</v>
        <stp/>
        <stp>nse_fo|MUTHOOTFIN26DEC241840PE</stp>
        <stp>Option Type</stp>
        <tr r="M208" s="1"/>
      </tp>
      <tp t="s">
        <v>PE</v>
        <stp/>
        <stp>nse_fo|MUTHOOTFIN26DEC241880PE</stp>
        <stp>Option Type</stp>
        <tr r="M210" s="1"/>
      </tp>
      <tp>
        <v>-9.9499999999999993</v>
        <stp/>
        <stp>nse_fo|VEDL26DEC24480CE</stp>
        <stp>Net Change</stp>
        <tr r="K238" s="1"/>
      </tp>
      <tp>
        <v>2.8</v>
        <stp/>
        <stp>nse_fo|VEDL26DEC24480PE</stp>
        <stp>Net Change</stp>
        <tr r="K248" s="1"/>
      </tp>
      <tp t="s">
        <v>TATAMOTORS</v>
        <stp/>
        <stp>nse_fo|TATAMOTORS26DEC24750CE</stp>
        <stp>Symbol</stp>
        <tr r="A223" s="1"/>
      </tp>
      <tp t="s">
        <v>TATAMOTORS</v>
        <stp/>
        <stp>nse_fo|TATAMOTORS26DEC24850CE</stp>
        <stp>Symbol</stp>
        <tr r="A222" s="1"/>
        <tr r="A67" s="1"/>
      </tp>
      <tp t="s">
        <v>CE</v>
        <stp/>
        <stp>nse_fo|MUTHOOTFIN26DEC242020CE</stp>
        <stp>Option Type</stp>
        <tr r="M203" s="1"/>
      </tp>
      <tp t="s">
        <v>CE</v>
        <stp/>
        <stp>nse_fo|MUTHOOTFIN26DEC242000CE</stp>
        <stp>Option Type</stp>
        <tr r="M202" s="1"/>
      </tp>
      <tp t="s">
        <v>CE</v>
        <stp/>
        <stp>nse_fo|MUTHOOTFIN26DEC242060CE</stp>
        <stp>Option Type</stp>
        <tr r="M205" s="1"/>
      </tp>
      <tp t="s">
        <v>CE</v>
        <stp/>
        <stp>nse_fo|MUTHOOTFIN26DEC242040CE</stp>
        <stp>Option Type</stp>
        <tr r="M204" s="1"/>
      </tp>
      <tp t="s">
        <v>CE</v>
        <stp/>
        <stp>nse_fo|MUTHOOTFIN26DEC241860CE</stp>
        <stp>Option Type</stp>
        <tr r="M195" s="1"/>
      </tp>
      <tp t="s">
        <v>CE</v>
        <stp/>
        <stp>nse_fo|MUTHOOTFIN26DEC241880CE</stp>
        <stp>Option Type</stp>
        <tr r="M196" s="1"/>
      </tp>
      <tp t="s">
        <v>CE</v>
        <stp/>
        <stp>nse_fo|MUTHOOTFIN26DEC241920CE</stp>
        <stp>Option Type</stp>
        <tr r="M198" s="1"/>
      </tp>
      <tp t="s">
        <v>CE</v>
        <stp/>
        <stp>nse_fo|MUTHOOTFIN26DEC241900CE</stp>
        <stp>Option Type</stp>
        <tr r="M197" s="1"/>
      </tp>
      <tp t="s">
        <v>CE</v>
        <stp/>
        <stp>nse_fo|MUTHOOTFIN26DEC241960CE</stp>
        <stp>Option Type</stp>
        <tr r="M200" s="1"/>
      </tp>
      <tp t="s">
        <v>CE</v>
        <stp/>
        <stp>nse_fo|MUTHOOTFIN26DEC241940CE</stp>
        <stp>Option Type</stp>
        <tr r="M199" s="1"/>
      </tp>
      <tp t="s">
        <v>CE</v>
        <stp/>
        <stp>nse_fo|MUTHOOTFIN26DEC241980CE</stp>
        <stp>Option Type</stp>
        <tr r="M201" s="1"/>
      </tp>
      <tp t="s">
        <v>26Dec2024</v>
        <stp/>
        <stp>nse_fo|ADANIGREEN26DEC241060PE</stp>
        <stp>Series/Expiry</stp>
        <tr r="B52" s="1"/>
      </tp>
      <tp t="s">
        <v>26Dec2024</v>
        <stp/>
        <stp>nse_fo|ADANIGREEN26DEC241040PE</stp>
        <stp>Series/Expiry</stp>
        <tr r="B51" s="1"/>
      </tp>
      <tp t="s">
        <v>26Dec2024</v>
        <stp/>
        <stp>nse_fo|ADANIGREEN26DEC241080PE</stp>
        <stp>Series/Expiry</stp>
        <tr r="B53" s="1"/>
      </tp>
      <tp>
        <v>-1.6</v>
        <stp/>
        <stp>nse_fo|UPL26DEC24580CE</stp>
        <stp>Net Change</stp>
        <tr r="K254" s="1"/>
      </tp>
      <tp>
        <v>0</v>
        <stp/>
        <stp>nse_fo|UPL26DEC24680CE</stp>
        <stp>Net Change</stp>
        <tr r="K264" s="1"/>
      </tp>
      <tp>
        <v>5.8</v>
        <stp/>
        <stp>nse_fo|HDFCAMC26DEC244000PE</stp>
        <stp>LTP</stp>
        <tr r="G127" s="1"/>
      </tp>
      <tp>
        <v>7.25</v>
        <stp/>
        <stp>nse_fo|HDFCAMC26DEC244050PE</stp>
        <stp>LTP</stp>
        <tr r="G128" s="1"/>
      </tp>
      <tp>
        <v>9.25</v>
        <stp/>
        <stp>nse_fo|HDFCAMC26DEC244100PE</stp>
        <stp>LTP</stp>
        <tr r="G129" s="1"/>
      </tp>
      <tp>
        <v>13.6</v>
        <stp/>
        <stp>nse_fo|HDFCAMC26DEC244150PE</stp>
        <stp>LTP</stp>
        <tr r="G130" s="1"/>
      </tp>
      <tp>
        <v>16.350000000000001</v>
        <stp/>
        <stp>nse_fo|HDFCAMC26DEC244200PE</stp>
        <stp>LTP</stp>
        <tr r="G131" s="1"/>
      </tp>
      <tp>
        <v>100.75</v>
        <stp/>
        <stp>nse_fo|HDFCAMC26DEC244500PE</stp>
        <stp>LTP</stp>
        <tr r="E27" s="2"/>
      </tp>
      <tp>
        <v>0</v>
        <stp/>
        <stp>nse_fo|HDFCAMC26DEC244550PE</stp>
        <stp>LTP</stp>
        <tr r="E26" s="2"/>
      </tp>
      <tp>
        <v>334.15</v>
        <stp/>
        <stp>nse_fo|HDFCAMC26DEC244200CE</stp>
        <stp>LTP</stp>
        <tr r="G119" s="1"/>
      </tp>
      <tp>
        <v>253</v>
        <stp/>
        <stp>nse_fo|HDFCAMC26DEC244250CE</stp>
        <stp>LTP</stp>
        <tr r="G120" s="1"/>
      </tp>
      <tp>
        <v>245.8</v>
        <stp/>
        <stp>nse_fo|HDFCAMC26DEC244300CE</stp>
        <stp>LTP</stp>
        <tr r="G121" s="1"/>
      </tp>
      <tp>
        <v>200</v>
        <stp/>
        <stp>nse_fo|HDFCAMC26DEC244350CE</stp>
        <stp>LTP</stp>
        <tr r="G122" s="1"/>
      </tp>
      <tp>
        <v>165.45</v>
        <stp/>
        <stp>nse_fo|HDFCAMC26DEC244400CE</stp>
        <stp>LTP</stp>
        <tr r="G123" s="1"/>
      </tp>
      <tp>
        <v>134.9</v>
        <stp/>
        <stp>nse_fo|HDFCAMC26DEC244450CE</stp>
        <stp>LTP</stp>
        <tr r="G124" s="1"/>
      </tp>
      <tp>
        <v>109</v>
        <stp/>
        <stp>nse_fo|HDFCAMC26DEC244500CE</stp>
        <stp>LTP</stp>
        <tr r="G125" s="1"/>
        <tr r="D27" s="2"/>
      </tp>
      <tp>
        <v>85.1</v>
        <stp/>
        <stp>nse_fo|HDFCAMC26DEC244550CE</stp>
        <stp>LTP</stp>
        <tr r="G126" s="1"/>
        <tr r="D26" s="2"/>
      </tp>
      <tp>
        <v>4496.3999999999996</v>
        <stp/>
        <stp>nse_cm|HDFCAMC-EQ</stp>
        <stp>Ask Rate</stp>
        <tr r="E118" s="1"/>
      </tp>
      <tp>
        <v>0.95</v>
        <stp/>
        <stp>nse_fo|MOTHERSON26DEC24182.5CE</stp>
        <stp>Ask Rate</stp>
        <tr r="E183" s="1"/>
      </tp>
      <tp>
        <v>0.6</v>
        <stp/>
        <stp>nse_fo|MOTHERSON26DEC24187.5CE</stp>
        <stp>Ask Rate</stp>
        <tr r="E185" s="1"/>
      </tp>
      <tp>
        <v>10650</v>
        <stp/>
        <stp>nse_fo|MOTHERSON26DEC24FUT</stp>
        <stp>Ask Qty</stp>
        <tr r="F174" s="1"/>
      </tp>
      <tp>
        <v>142000</v>
        <stp/>
        <stp>nse_fo|MOTHERSON26DEC24180CE</stp>
        <stp>Ask Qty</stp>
        <tr r="F182" s="1"/>
      </tp>
      <tp>
        <v>95850</v>
        <stp/>
        <stp>nse_fo|MOTHERSON26DEC24170CE</stp>
        <stp>Ask Qty</stp>
        <tr r="F178" s="1"/>
      </tp>
      <tp>
        <v>609.45000000000005</v>
        <stp/>
        <stp>nse_fo|BSOFT26DEC24FUT</stp>
        <stp>LTP</stp>
        <tr r="D6" s="1"/>
        <tr r="B16" s="2"/>
        <tr r="G78" s="1"/>
      </tp>
      <tp>
        <v>11720000</v>
        <stp/>
        <stp>nse_fo|FEDERALBNK26DEC24FUT</stp>
        <stp>Volume Traded Today</stp>
        <tr r="I98" s="1"/>
      </tp>
      <tp>
        <v>63900</v>
        <stp/>
        <stp>nse_fo|MOTHERSON26DEC24160PE</stp>
        <stp>Ask Qty</stp>
        <tr r="F186" s="1"/>
      </tp>
      <tp>
        <v>35500</v>
        <stp/>
        <stp>nse_fo|MOTHERSON26DEC24170PE</stp>
        <stp>Ask Qty</stp>
        <tr r="F190" s="1"/>
      </tp>
      <tp t="s">
        <v>EQ</v>
        <stp/>
        <stp>nse_cm|VEDL-EQ</stp>
        <stp>Series/Expiry</stp>
        <tr r="B231" s="1"/>
      </tp>
      <tp t="s">
        <v>TATAMOTORS</v>
        <stp/>
        <stp>nse_fo|TATAMOTORS26DEC24760CE</stp>
        <stp>Symbol</stp>
        <tr r="A224" s="1"/>
      </tp>
      <tp t="s">
        <v>TATAMOTORS</v>
        <stp/>
        <stp>nse_fo|TATAMOTORS26DEC24860CE</stp>
        <stp>Symbol</stp>
        <tr r="A68" s="1"/>
      </tp>
      <tp>
        <v>0.31</v>
        <stp/>
        <stp>nse_cm|FEDERALBNK-EQ</stp>
        <stp>% Change</stp>
        <tr r="J99" s="1"/>
      </tp>
      <tp t="s">
        <v>26Dec2024</v>
        <stp/>
        <stp>nse_fo|ADANIGREEN26DEC241120PE</stp>
        <stp>Series/Expiry</stp>
        <tr r="B55" s="1"/>
      </tp>
      <tp t="s">
        <v>26Dec2024</v>
        <stp/>
        <stp>nse_fo|ADANIGREEN26DEC241100PE</stp>
        <stp>Series/Expiry</stp>
        <tr r="B54" s="1"/>
      </tp>
      <tp t="s">
        <v>26Dec2024</v>
        <stp/>
        <stp>nse_fo|ADANIGREEN26DEC241160CE</stp>
        <stp>Series/Expiry</stp>
        <tr r="B41" s="1"/>
      </tp>
      <tp t="s">
        <v>26Dec2024</v>
        <stp/>
        <stp>nse_fo|ADANIGREEN26DEC241180CE</stp>
        <stp>Series/Expiry</stp>
        <tr r="B42" s="1"/>
      </tp>
      <tp>
        <v>7.2</v>
        <stp/>
        <stp>nse_fo|UPL26DEC24590PE</stp>
        <stp>Net Change</stp>
        <tr r="K265" s="1"/>
      </tp>
      <tp>
        <v>-1.2</v>
        <stp/>
        <stp>nse_fo|UPL26DEC24590CE</stp>
        <stp>Net Change</stp>
        <tr r="K255" s="1"/>
      </tp>
      <tp>
        <v>24726.9</v>
        <stp/>
        <stp>nse_fo|NIFTY26DEC24FUT</stp>
        <stp>LTP</stp>
        <tr r="B42" s="2"/>
        <tr r="B38" s="2"/>
      </tp>
      <tp t="s">
        <v>CE</v>
        <stp/>
        <stp>nse_fo|BSOFT26DEC24630CE</stp>
        <stp>Option Type</stp>
        <tr r="M89" s="1"/>
      </tp>
      <tp t="s">
        <v>CE</v>
        <stp/>
        <stp>nse_fo|BSOFT26DEC24620CE</stp>
        <stp>Option Type</stp>
        <tr r="M88" s="1"/>
      </tp>
      <tp t="s">
        <v>CE</v>
        <stp/>
        <stp>nse_fo|BSOFT26DEC24610CE</stp>
        <stp>Option Type</stp>
        <tr r="M87" s="1"/>
      </tp>
      <tp t="s">
        <v>CE</v>
        <stp/>
        <stp>nse_fo|BSOFT26DEC24600CE</stp>
        <stp>Option Type</stp>
        <tr r="M86" s="1"/>
      </tp>
      <tp t="s">
        <v>CE</v>
        <stp/>
        <stp>nse_fo|BSOFT26DEC24640CE</stp>
        <stp>Option Type</stp>
        <tr r="M90" s="1"/>
      </tp>
      <tp t="s">
        <v>CE</v>
        <stp/>
        <stp>nse_fo|BSOFT26DEC24570CE</stp>
        <stp>Option Type</stp>
        <tr r="M83" s="1"/>
      </tp>
      <tp t="s">
        <v>CE</v>
        <stp/>
        <stp>nse_fo|BSOFT26DEC24560CE</stp>
        <stp>Option Type</stp>
        <tr r="M82" s="1"/>
      </tp>
      <tp t="s">
        <v>CE</v>
        <stp/>
        <stp>nse_fo|BSOFT26DEC24550CE</stp>
        <stp>Option Type</stp>
        <tr r="M81" s="1"/>
      </tp>
      <tp t="s">
        <v>CE</v>
        <stp/>
        <stp>nse_fo|BSOFT26DEC24540CE</stp>
        <stp>Option Type</stp>
        <tr r="M80" s="1"/>
      </tp>
      <tp t="s">
        <v>CE</v>
        <stp/>
        <stp>nse_fo|BSOFT26DEC24590CE</stp>
        <stp>Option Type</stp>
        <tr r="M85" s="1"/>
      </tp>
      <tp t="s">
        <v>CE</v>
        <stp/>
        <stp>nse_fo|BSOFT26DEC24580CE</stp>
        <stp>Option Type</stp>
        <tr r="M84" s="1"/>
      </tp>
      <tp t="s">
        <v>PE</v>
        <stp/>
        <stp>nse_fo|BSOFT26DEC24530PE</stp>
        <stp>Option Type</stp>
        <tr r="M92" s="1"/>
      </tp>
      <tp t="s">
        <v>PE</v>
        <stp/>
        <stp>nse_fo|BSOFT26DEC24520PE</stp>
        <stp>Option Type</stp>
        <tr r="M91" s="1"/>
      </tp>
      <tp t="s">
        <v>PE</v>
        <stp/>
        <stp>nse_fo|BSOFT26DEC24560PE</stp>
        <stp>Option Type</stp>
        <tr r="M95" s="1"/>
      </tp>
      <tp t="s">
        <v>PE</v>
        <stp/>
        <stp>nse_fo|BSOFT26DEC24550PE</stp>
        <stp>Option Type</stp>
        <tr r="M94" s="1"/>
      </tp>
      <tp t="s">
        <v>PE</v>
        <stp/>
        <stp>nse_fo|BSOFT26DEC24540PE</stp>
        <stp>Option Type</stp>
        <tr r="M93" s="1"/>
      </tp>
      <tp t="s">
        <v>TATAMOTORS</v>
        <stp/>
        <stp>nse_fo|TATAMOTORS26DEC24770CE</stp>
        <stp>Symbol</stp>
        <tr r="A225" s="1"/>
      </tp>
      <tp t="s">
        <v>TATAMOTORS</v>
        <stp/>
        <stp>nse_fo|TATAMOTORS26DEC24870CE</stp>
        <stp>Symbol</stp>
        <tr r="A69" s="1"/>
      </tp>
      <tp>
        <v>0</v>
        <stp/>
        <stp>nse_fo|JUBLFOOD26DEC24FUT</stp>
        <stp>Strike Price</stp>
        <tr r="L134" s="1"/>
      </tp>
      <tp>
        <v>86.6</v>
        <stp/>
        <stp>nse_fo|HDFCAMC26DEC244550CE</stp>
        <stp>Ask Rate</stp>
        <tr r="E126" s="1"/>
      </tp>
      <tp>
        <v>109.6</v>
        <stp/>
        <stp>nse_fo|HDFCAMC26DEC244500CE</stp>
        <stp>Ask Rate</stp>
        <tr r="E125" s="1"/>
      </tp>
      <tp>
        <v>135.85</v>
        <stp/>
        <stp>nse_fo|HDFCAMC26DEC244450CE</stp>
        <stp>Ask Rate</stp>
        <tr r="E124" s="1"/>
      </tp>
      <tp>
        <v>165.95</v>
        <stp/>
        <stp>nse_fo|HDFCAMC26DEC244400CE</stp>
        <stp>Ask Rate</stp>
        <tr r="E123" s="1"/>
      </tp>
      <tp>
        <v>201.85</v>
        <stp/>
        <stp>nse_fo|HDFCAMC26DEC244350CE</stp>
        <stp>Ask Rate</stp>
        <tr r="E122" s="1"/>
      </tp>
      <tp>
        <v>241.2</v>
        <stp/>
        <stp>nse_fo|HDFCAMC26DEC244300CE</stp>
        <stp>Ask Rate</stp>
        <tr r="E121" s="1"/>
      </tp>
      <tp>
        <v>285.85000000000002</v>
        <stp/>
        <stp>nse_fo|HDFCAMC26DEC244250CE</stp>
        <stp>Ask Rate</stp>
        <tr r="E120" s="1"/>
      </tp>
      <tp>
        <v>326.8</v>
        <stp/>
        <stp>nse_fo|HDFCAMC26DEC244200CE</stp>
        <stp>Ask Rate</stp>
        <tr r="E119" s="1"/>
      </tp>
      <tp>
        <v>1304</v>
        <stp/>
        <stp>nse_cm|LAURUSLABS-EQ</stp>
        <stp>Bid Qty</stp>
        <tr r="C155" s="1"/>
      </tp>
      <tp>
        <v>568.67999999999995</v>
        <stp/>
        <stp>nse_fo|LAURUSLABS26DEC24FUT</stp>
        <stp>ATP</stp>
        <tr r="H154" s="1"/>
      </tp>
      <tp t="s">
        <v>26Dec2024</v>
        <stp/>
        <stp>nse_fo|JUBLFOOD26DEC24700CE</stp>
        <stp>Series/Expiry</stp>
        <tr r="B146" s="1"/>
      </tp>
      <tp>
        <v>1218</v>
        <stp/>
        <stp>nse_fo|ADANIGREEN26DEC24FUT</stp>
        <stp>Ask Rate</stp>
        <tr r="E39" s="1"/>
      </tp>
      <tp>
        <v>31950</v>
        <stp/>
        <stp>nse_fo|MOTHERSON26DEC24165PE</stp>
        <stp>Bid Qty</stp>
        <tr r="C188" s="1"/>
      </tp>
      <tp>
        <v>2</v>
        <stp/>
        <stp>nse_fo|JUBLFOOD26DEC24640PE</stp>
        <stp>Bid Rate</stp>
        <tr r="D151" s="1"/>
      </tp>
      <tp>
        <v>0.95</v>
        <stp/>
        <stp>nse_fo|JUBLFOOD26DEC24620PE</stp>
        <stp>Bid Rate</stp>
        <tr r="D149" s="1"/>
      </tp>
      <tp>
        <v>1.35</v>
        <stp/>
        <stp>nse_fo|JUBLFOOD26DEC24630PE</stp>
        <stp>Bid Rate</stp>
        <tr r="D150" s="1"/>
      </tp>
      <tp>
        <v>0.6</v>
        <stp/>
        <stp>nse_fo|JUBLFOOD26DEC24600PE</stp>
        <stp>Bid Rate</stp>
        <tr r="D147" s="1"/>
      </tp>
      <tp>
        <v>0.75</v>
        <stp/>
        <stp>nse_fo|JUBLFOOD26DEC24610PE</stp>
        <stp>Bid Rate</stp>
        <tr r="D148" s="1"/>
      </tp>
      <tp>
        <v>191700</v>
        <stp/>
        <stp>nse_fo|MOTHERSON26DEC24185CE</stp>
        <stp>Bid Qty</stp>
        <tr r="C184" s="1"/>
      </tp>
      <tp>
        <v>35500</v>
        <stp/>
        <stp>nse_fo|MOTHERSON26DEC24165CE</stp>
        <stp>Bid Qty</stp>
        <tr r="C176" s="1"/>
      </tp>
      <tp>
        <v>63900</v>
        <stp/>
        <stp>nse_fo|MOTHERSON26DEC24175CE</stp>
        <stp>Bid Qty</stp>
        <tr r="C180" s="1"/>
      </tp>
      <tp t="s">
        <v>TATAMOTORS</v>
        <stp/>
        <stp>nse_fo|TATAMOTORS26DEC24700CE</stp>
        <stp>Symbol</stp>
        <tr r="A71" s="1"/>
      </tp>
      <tp t="s">
        <v>TATAMOTORS</v>
        <stp/>
        <stp>nse_fo|TATAMOTORS26DEC24800CE</stp>
        <stp>Symbol</stp>
        <tr r="A62" s="1"/>
        <tr r="A217" s="1"/>
      </tp>
      <tp>
        <v>5.4</v>
        <stp/>
        <stp>nse_fo|MOTHERSON26DEC24167.5PE</stp>
        <stp>Bid Rate</stp>
        <tr r="D189" s="1"/>
      </tp>
      <tp t="s">
        <v>26Dec2024</v>
        <stp/>
        <stp>nse_fo|JUBLFOOD26DEC24680CE</stp>
        <stp>Series/Expiry</stp>
        <tr r="B144" s="1"/>
      </tp>
      <tp t="s">
        <v>26Dec2024</v>
        <stp/>
        <stp>nse_fo|JUBLFOOD26DEC24690CE</stp>
        <stp>Series/Expiry</stp>
        <tr r="B145" s="1"/>
      </tp>
      <tp>
        <v>1218.4000000000001</v>
        <stp/>
        <stp>nse_fo|ADANIGREEN26DEC24FUT</stp>
        <stp>LTP</stp>
        <tr r="D4" s="1"/>
        <tr r="B7" s="2"/>
        <tr r="G39" s="1"/>
      </tp>
      <tp>
        <v>3.1</v>
        <stp/>
        <stp>nse_fo|MOTHERSON26DEC24162.5PE</stp>
        <stp>Bid Rate</stp>
        <tr r="D187" s="1"/>
      </tp>
      <tp>
        <v>214.2</v>
        <stp/>
        <stp>nse_fo|FEDERALBNK26DEC24FUT</stp>
        <stp>Bid Rate</stp>
        <tr r="D98" s="1"/>
      </tp>
      <tp t="s">
        <v>26Dec2024</v>
        <stp/>
        <stp>nse_fo|JUBLFOOD26DEC24600CE</stp>
        <stp>Series/Expiry</stp>
        <tr r="B136" s="1"/>
      </tp>
      <tp t="s">
        <v>26Dec2024</v>
        <stp/>
        <stp>nse_fo|JUBLFOOD26DEC24600PE</stp>
        <stp>Series/Expiry</stp>
        <tr r="B147" s="1"/>
      </tp>
      <tp t="s">
        <v>26Dec2024</v>
        <stp/>
        <stp>nse_fo|JUBLFOOD26DEC24610CE</stp>
        <stp>Series/Expiry</stp>
        <tr r="B137" s="1"/>
      </tp>
      <tp t="s">
        <v>26Dec2024</v>
        <stp/>
        <stp>nse_fo|JUBLFOOD26DEC24610PE</stp>
        <stp>Series/Expiry</stp>
        <tr r="B148" s="1"/>
      </tp>
      <tp t="s">
        <v>26Dec2024</v>
        <stp/>
        <stp>nse_fo|JUBLFOOD26DEC24620CE</stp>
        <stp>Series/Expiry</stp>
        <tr r="B138" s="1"/>
      </tp>
      <tp t="s">
        <v>26Dec2024</v>
        <stp/>
        <stp>nse_fo|JUBLFOOD26DEC24620PE</stp>
        <stp>Series/Expiry</stp>
        <tr r="B149" s="1"/>
      </tp>
      <tp t="s">
        <v>26Dec2024</v>
        <stp/>
        <stp>nse_fo|JUBLFOOD26DEC24630CE</stp>
        <stp>Series/Expiry</stp>
        <tr r="B139" s="1"/>
      </tp>
      <tp t="s">
        <v>26Dec2024</v>
        <stp/>
        <stp>nse_fo|JUBLFOOD26DEC24630PE</stp>
        <stp>Series/Expiry</stp>
        <tr r="B150" s="1"/>
      </tp>
      <tp t="s">
        <v>26Dec2024</v>
        <stp/>
        <stp>nse_fo|JUBLFOOD26DEC24640CE</stp>
        <stp>Series/Expiry</stp>
        <tr r="B140" s="1"/>
      </tp>
      <tp t="s">
        <v>26Dec2024</v>
        <stp/>
        <stp>nse_fo|JUBLFOOD26DEC24640PE</stp>
        <stp>Series/Expiry</stp>
        <tr r="B151" s="1"/>
      </tp>
      <tp t="s">
        <v>26Dec2024</v>
        <stp/>
        <stp>nse_fo|JUBLFOOD26DEC24650CE</stp>
        <stp>Series/Expiry</stp>
        <tr r="B141" s="1"/>
      </tp>
      <tp t="s">
        <v>26Dec2024</v>
        <stp/>
        <stp>nse_fo|JUBLFOOD26DEC24660CE</stp>
        <stp>Series/Expiry</stp>
        <tr r="B142" s="1"/>
      </tp>
      <tp t="s">
        <v>26Dec2024</v>
        <stp/>
        <stp>nse_fo|JUBLFOOD26DEC24670CE</stp>
        <stp>Series/Expiry</stp>
        <tr r="B143" s="1"/>
      </tp>
      <tp t="s">
        <v>ABB</v>
        <stp/>
        <stp>nse_cm|ABB-EQ</stp>
        <stp>Symbol</stp>
        <tr r="A20" s="1"/>
      </tp>
      <tp t="s">
        <v>TATAMOTORS</v>
        <stp/>
        <stp>nse_fo|TATAMOTORS26DEC24710CE</stp>
        <stp>Symbol</stp>
        <tr r="A72" s="1"/>
      </tp>
      <tp t="s">
        <v>TATAMOTORS</v>
        <stp/>
        <stp>nse_fo|TATAMOTORS26DEC24810CE</stp>
        <stp>Symbol</stp>
        <tr r="A63" s="1"/>
        <tr r="A218" s="1"/>
      </tp>
      <tp t="s">
        <v>TATAMOTORS</v>
        <stp/>
        <stp>nse_fo|TATAMOTORS26DEC24720CE</stp>
        <stp>Symbol</stp>
        <tr r="A73" s="1"/>
      </tp>
      <tp t="s">
        <v>TATAMOTORS</v>
        <stp/>
        <stp>nse_fo|TATAMOTORS26DEC24820CE</stp>
        <stp>Symbol</stp>
        <tr r="A64" s="1"/>
        <tr r="A219" s="1"/>
      </tp>
      <tp>
        <v>4353.75</v>
        <stp/>
        <stp>nse_fo|HDFCAMC26DEC24FUT</stp>
        <stp xml:space="preserve">Low </stp>
        <tr r="B8" s="1"/>
      </tp>
      <tp>
        <v>-15.75</v>
        <stp/>
        <stp>nse_cm|LAURUSLABS-EQ</stp>
        <stp>Net Change</stp>
        <tr r="K155" s="1"/>
      </tp>
      <tp>
        <v>-11.5</v>
        <stp/>
        <stp>nse_cm|VEDL-EQ</stp>
        <stp>Net Change</stp>
        <tr r="K231" s="1"/>
      </tp>
      <tp>
        <v>214.25</v>
        <stp/>
        <stp>nse_fo|FEDERALBNK26DEC24FUT</stp>
        <stp>LTP</stp>
        <tr r="D7" s="1"/>
        <tr r="B21" s="2"/>
        <tr r="G98" s="1"/>
      </tp>
      <tp>
        <v>1038000</v>
        <stp/>
        <stp>nse_fo|BSOFT26DEC24FUT</stp>
        <stp>Volume Traded Today</stp>
        <tr r="I78" s="1"/>
      </tp>
      <tp>
        <v>208</v>
        <stp/>
        <stp>nse_cm|LAURUSLABS-EQ</stp>
        <stp>Ask Qty</stp>
        <tr r="F155" s="1"/>
      </tp>
      <tp>
        <v>892650</v>
        <stp/>
        <stp>nse_fo|HDFCAMC26DEC244500CE</stp>
        <stp>Volume Traded Today</stp>
        <tr r="I125" s="1"/>
      </tp>
      <tp>
        <v>82050</v>
        <stp/>
        <stp>nse_fo|HDFCAMC26DEC244550CE</stp>
        <stp>Volume Traded Today</stp>
        <tr r="I126" s="1"/>
      </tp>
      <tp>
        <v>593700</v>
        <stp/>
        <stp>nse_fo|HDFCAMC26DEC244400CE</stp>
        <stp>Volume Traded Today</stp>
        <tr r="I123" s="1"/>
      </tp>
      <tp>
        <v>234750</v>
        <stp/>
        <stp>nse_fo|HDFCAMC26DEC244450CE</stp>
        <stp>Volume Traded Today</stp>
        <tr r="I124" s="1"/>
      </tp>
      <tp>
        <v>45600</v>
        <stp/>
        <stp>nse_fo|HDFCAMC26DEC244300CE</stp>
        <stp>Volume Traded Today</stp>
        <tr r="I121" s="1"/>
      </tp>
      <tp>
        <v>70350</v>
        <stp/>
        <stp>nse_fo|HDFCAMC26DEC244350CE</stp>
        <stp>Volume Traded Today</stp>
        <tr r="I122" s="1"/>
      </tp>
      <tp>
        <v>6000</v>
        <stp/>
        <stp>nse_fo|HDFCAMC26DEC244200CE</stp>
        <stp>Volume Traded Today</stp>
        <tr r="I119" s="1"/>
      </tp>
      <tp>
        <v>1500</v>
        <stp/>
        <stp>nse_fo|HDFCAMC26DEC244250CE</stp>
        <stp>Volume Traded Today</stp>
        <tr r="I120" s="1"/>
      </tp>
      <tp>
        <v>127800</v>
        <stp/>
        <stp>nse_fo|MOTHERSON26DEC24185CE</stp>
        <stp>Ask Qty</stp>
        <tr r="F184" s="1"/>
      </tp>
      <tp>
        <v>28400</v>
        <stp/>
        <stp>nse_fo|MOTHERSON26DEC24165CE</stp>
        <stp>Ask Qty</stp>
        <tr r="F176" s="1"/>
      </tp>
      <tp>
        <v>53250</v>
        <stp/>
        <stp>nse_fo|MOTHERSON26DEC24175CE</stp>
        <stp>Ask Qty</stp>
        <tr r="F180" s="1"/>
      </tp>
      <tp>
        <v>33000</v>
        <stp/>
        <stp>nse_fo|HDFCAMC26DEC244100PE</stp>
        <stp>Volume Traded Today</stp>
        <tr r="I129" s="1"/>
      </tp>
      <tp>
        <v>10950</v>
        <stp/>
        <stp>nse_fo|HDFCAMC26DEC244150PE</stp>
        <stp>Volume Traded Today</stp>
        <tr r="I130" s="1"/>
      </tp>
      <tp>
        <v>33600</v>
        <stp/>
        <stp>nse_fo|HDFCAMC26DEC244000PE</stp>
        <stp>Volume Traded Today</stp>
        <tr r="I127" s="1"/>
      </tp>
      <tp>
        <v>14550</v>
        <stp/>
        <stp>nse_fo|HDFCAMC26DEC244050PE</stp>
        <stp>Volume Traded Today</stp>
        <tr r="I128" s="1"/>
      </tp>
      <tp>
        <v>136350</v>
        <stp/>
        <stp>nse_fo|HDFCAMC26DEC244200PE</stp>
        <stp>Volume Traded Today</stp>
        <tr r="I131" s="1"/>
      </tp>
      <tp>
        <v>60350</v>
        <stp/>
        <stp>nse_fo|MOTHERSON26DEC24165PE</stp>
        <stp>Ask Qty</stp>
        <tr r="F188" s="1"/>
      </tp>
      <tp t="s">
        <v>CE</v>
        <stp/>
        <stp>nse_fo|ADANIGREEN26DEC241340CE</stp>
        <stp>Option Type</stp>
        <tr r="M50" s="1"/>
      </tp>
      <tp t="s">
        <v>CE</v>
        <stp/>
        <stp>nse_fo|ADANIGREEN26DEC241320CE</stp>
        <stp>Option Type</stp>
        <tr r="M49" s="1"/>
      </tp>
      <tp t="s">
        <v>CE</v>
        <stp/>
        <stp>nse_fo|ADANIGREEN26DEC241300CE</stp>
        <stp>Option Type</stp>
        <tr r="M48" s="1"/>
      </tp>
      <tp t="s">
        <v>CE</v>
        <stp/>
        <stp>nse_fo|ADANIGREEN26DEC241260CE</stp>
        <stp>Option Type</stp>
        <tr r="M46" s="1"/>
      </tp>
      <tp t="s">
        <v>CE</v>
        <stp/>
        <stp>nse_fo|ADANIGREEN26DEC241240CE</stp>
        <stp>Option Type</stp>
        <tr r="M45" s="1"/>
      </tp>
      <tp t="s">
        <v>CE</v>
        <stp/>
        <stp>nse_fo|ADANIGREEN26DEC241220CE</stp>
        <stp>Option Type</stp>
        <tr r="M44" s="1"/>
      </tp>
      <tp t="s">
        <v>CE</v>
        <stp/>
        <stp>nse_fo|ADANIGREEN26DEC241200CE</stp>
        <stp>Option Type</stp>
        <tr r="M43" s="1"/>
      </tp>
      <tp t="s">
        <v>CE</v>
        <stp/>
        <stp>nse_fo|ADANIGREEN26DEC241280CE</stp>
        <stp>Option Type</stp>
        <tr r="M47" s="1"/>
      </tp>
      <tp t="s">
        <v>CE</v>
        <stp/>
        <stp>nse_fo|ADANIGREEN26DEC241160CE</stp>
        <stp>Option Type</stp>
        <tr r="M41" s="1"/>
      </tp>
      <tp t="s">
        <v>CE</v>
        <stp/>
        <stp>nse_fo|ADANIGREEN26DEC241180CE</stp>
        <stp>Option Type</stp>
        <tr r="M42" s="1"/>
      </tp>
      <tp t="s">
        <v>PE</v>
        <stp/>
        <stp>nse_fo|ADANIGREEN26DEC241120PE</stp>
        <stp>Option Type</stp>
        <tr r="M55" s="1"/>
      </tp>
      <tp t="s">
        <v>PE</v>
        <stp/>
        <stp>nse_fo|ADANIGREEN26DEC241100PE</stp>
        <stp>Option Type</stp>
        <tr r="M54" s="1"/>
      </tp>
      <tp t="s">
        <v>PE</v>
        <stp/>
        <stp>nse_fo|ADANIGREEN26DEC241060PE</stp>
        <stp>Option Type</stp>
        <tr r="M52" s="1"/>
      </tp>
      <tp t="s">
        <v>PE</v>
        <stp/>
        <stp>nse_fo|ADANIGREEN26DEC241040PE</stp>
        <stp>Option Type</stp>
        <tr r="M51" s="1"/>
      </tp>
      <tp t="s">
        <v>PE</v>
        <stp/>
        <stp>nse_fo|ADANIGREEN26DEC241080PE</stp>
        <stp>Option Type</stp>
        <tr r="M53" s="1"/>
      </tp>
      <tp t="s">
        <v>TATAMOTORS</v>
        <stp/>
        <stp>nse_fo|TATAMOTORS26DEC24730CE</stp>
        <stp>Symbol</stp>
        <tr r="A74" s="1"/>
      </tp>
      <tp t="s">
        <v>TATAMOTORS</v>
        <stp/>
        <stp>nse_fo|TATAMOTORS26DEC24830CE</stp>
        <stp>Symbol</stp>
        <tr r="A65" s="1"/>
        <tr r="A220" s="1"/>
      </tp>
      <tp>
        <v>0</v>
        <stp/>
        <stp>nse_fo|UPL26DEC24620PE</stp>
        <stp>Net Change</stp>
        <tr r="K268" s="1"/>
      </tp>
      <tp>
        <v>-0.25</v>
        <stp/>
        <stp>nse_fo|UPL26DEC24620CE</stp>
        <stp>Net Change</stp>
        <tr r="K258" s="1"/>
      </tp>
      <tp>
        <v>1196.75</v>
        <stp/>
        <stp>nse_fo|ADANIGREEN26DEC24FUT</stp>
        <stp>ATP</stp>
        <tr r="H39" s="1"/>
      </tp>
      <tp>
        <v>0.05</v>
        <stp/>
        <stp>nse_fo|VEDL26DEC24410PE</stp>
        <stp>Net Change</stp>
        <tr r="K241" s="1"/>
      </tp>
      <tp>
        <v>0</v>
        <stp/>
        <stp>nse_fo|BSOFT26DEC24FUT</stp>
        <stp>Strike Price</stp>
        <tr r="L78" s="1"/>
      </tp>
      <tp t="s">
        <v>TATAMOTORS</v>
        <stp/>
        <stp>nse_fo|TATAMOTORS26DEC24FUT</stp>
        <stp>Symbol</stp>
        <tr r="A213" s="1"/>
        <tr r="A58" s="1"/>
      </tp>
      <tp>
        <v>0.66</v>
        <stp/>
        <stp>nse_cm|FEDERALBNK-EQ</stp>
        <stp>Net Change</stp>
        <tr r="K99" s="1"/>
      </tp>
      <tp t="s">
        <v>MUTHOOTFIN</v>
        <stp/>
        <stp>nse_fo|MUTHOOTFIN26DEC24FUT</stp>
        <stp>Symbol</stp>
        <tr r="A193" s="1"/>
      </tp>
      <tp>
        <v>0</v>
        <stp/>
        <stp>nse_fo|UPL26DEC24630PE</stp>
        <stp>Net Change</stp>
        <tr r="K269" s="1"/>
      </tp>
      <tp>
        <v>0</v>
        <stp/>
        <stp>nse_fo|UPL26DEC24630CE</stp>
        <stp>Net Change</stp>
        <tr r="K259" s="1"/>
      </tp>
      <tp>
        <v>574.4</v>
        <stp/>
        <stp>nse_fo|LAURUSLABS26DEC24FUT</stp>
        <stp>LTP</stp>
        <tr r="D10" s="1"/>
        <tr r="J3" s="2"/>
        <tr r="G154" s="1"/>
      </tp>
      <tp t="e">
        <v>#N/A</v>
        <stp/>
        <stp>nse_fo|NIFTY28NOV24FUT</stp>
        <stp>LTP</stp>
        <tr r="D2" s="1"/>
      </tp>
      <tp>
        <v>-6.55</v>
        <stp/>
        <stp>nse_fo|VEDL26DEC24500CE</stp>
        <stp>Net Change</stp>
        <tr r="K240" s="1"/>
      </tp>
      <tp>
        <v>12434950</v>
        <stp/>
        <stp>nse_fo|VEDL26DEC24FUT</stp>
        <stp>Volume Traded Today</stp>
        <tr r="I230" s="1"/>
      </tp>
      <tp t="s">
        <v>HDFCAMC</v>
        <stp/>
        <stp>nse_fo|HDFCAMC26DEC244550CE</stp>
        <stp>Symbol</stp>
        <tr r="A126" s="1"/>
      </tp>
      <tp t="s">
        <v>HDFCAMC</v>
        <stp/>
        <stp>nse_fo|HDFCAMC26DEC244450CE</stp>
        <stp>Symbol</stp>
        <tr r="A124" s="1"/>
      </tp>
      <tp t="s">
        <v>HDFCAMC</v>
        <stp/>
        <stp>nse_fo|HDFCAMC26DEC244150CE</stp>
        <stp>Symbol</stp>
        <tr r="A130" s="1"/>
      </tp>
      <tp t="s">
        <v>HDFCAMC</v>
        <stp/>
        <stp>nse_fo|HDFCAMC26DEC244050CE</stp>
        <stp>Symbol</stp>
        <tr r="A128" s="1"/>
      </tp>
      <tp t="s">
        <v>HDFCAMC</v>
        <stp/>
        <stp>nse_fo|HDFCAMC26DEC244350CE</stp>
        <stp>Symbol</stp>
        <tr r="A122" s="1"/>
      </tp>
      <tp t="s">
        <v>HDFCAMC</v>
        <stp/>
        <stp>nse_fo|HDFCAMC26DEC244250CE</stp>
        <stp>Symbol</stp>
        <tr r="A120" s="1"/>
      </tp>
      <tp>
        <v>1.43</v>
        <stp/>
        <stp>nse_cm|MUTHOOTFIN-EQ</stp>
        <stp>% Change</stp>
        <tr r="J194" s="1"/>
      </tp>
      <tp>
        <v>-1.48</v>
        <stp/>
        <stp>nse_cm|TATAMOTORS-EQ</stp>
        <stp>% Change</stp>
        <tr r="J59" s="1"/>
        <tr r="J214" s="1"/>
      </tp>
      <tp t="s">
        <v>26Dec2024</v>
        <stp/>
        <stp>nse_fo|BSOFT26DEC24FUT</stp>
        <stp>Series/Expiry</stp>
        <tr r="B78" s="1"/>
      </tp>
      <tp>
        <v>5.75</v>
        <stp/>
        <stp>nse_fo|UPL26DEC24600PE</stp>
        <stp>Net Change</stp>
        <tr r="K266" s="1"/>
      </tp>
      <tp>
        <v>-0.7</v>
        <stp/>
        <stp>nse_fo|UPL26DEC24600CE</stp>
        <stp>Net Change</stp>
        <tr r="K256" s="1"/>
      </tp>
      <tp>
        <v>213.98</v>
        <stp/>
        <stp>nse_fo|FEDERALBNK26DEC24FUT</stp>
        <stp>ATP</stp>
        <tr r="H98" s="1"/>
      </tp>
      <tp>
        <v>0.43</v>
        <stp/>
        <stp>nse_cm|ABB-EQ</stp>
        <stp>% Change</stp>
        <tr r="J20" s="1"/>
      </tp>
      <tp>
        <v>489.75</v>
        <stp/>
        <stp>nse_cm|VEDL-EQ</stp>
        <stp>Bid Rate</stp>
        <tr r="D231" s="1"/>
      </tp>
      <tp>
        <v>-11.85</v>
        <stp/>
        <stp>nse_fo|VEDL26DEC24430CE</stp>
        <stp>Net Change</stp>
        <tr r="K233" s="1"/>
      </tp>
      <tp>
        <v>0.1</v>
        <stp/>
        <stp>nse_fo|VEDL26DEC24430PE</stp>
        <stp>Net Change</stp>
        <tr r="K243" s="1"/>
      </tp>
      <tp>
        <v>7.55</v>
        <stp/>
        <stp>nse_cm|ADANIGREEN-EQ</stp>
        <stp>Net Change</stp>
        <tr r="K40" s="1"/>
      </tp>
      <tp>
        <v>0</v>
        <stp/>
        <stp>nse_fo|UPL26DEC24610PE</stp>
        <stp>Net Change</stp>
        <tr r="K267" s="1"/>
      </tp>
      <tp>
        <v>-0.3</v>
        <stp/>
        <stp>nse_fo|UPL26DEC24610CE</stp>
        <stp>Net Change</stp>
        <tr r="K257" s="1"/>
      </tp>
      <tp>
        <v>51.38</v>
        <stp/>
        <stp>nse_fo|VEDL26DEC24480PE</stp>
        <stp>% Change</stp>
        <tr r="J248" s="1"/>
      </tp>
      <tp>
        <v>9.09</v>
        <stp/>
        <stp>nse_fo|VEDL26DEC24410PE</stp>
        <stp>% Change</stp>
        <tr r="J241" s="1"/>
      </tp>
      <tp>
        <v>6.67</v>
        <stp/>
        <stp>nse_fo|VEDL26DEC24420PE</stp>
        <stp>% Change</stp>
        <tr r="J242" s="1"/>
      </tp>
      <tp>
        <v>10.53</v>
        <stp/>
        <stp>nse_fo|VEDL26DEC24430PE</stp>
        <stp>% Change</stp>
        <tr r="J243" s="1"/>
      </tp>
      <tp>
        <v>11.54</v>
        <stp/>
        <stp>nse_fo|VEDL26DEC24440PE</stp>
        <stp>% Change</stp>
        <tr r="J244" s="1"/>
      </tp>
      <tp>
        <v>22.22</v>
        <stp/>
        <stp>nse_fo|VEDL26DEC24450PE</stp>
        <stp>% Change</stp>
        <tr r="J245" s="1"/>
      </tp>
      <tp>
        <v>30</v>
        <stp/>
        <stp>nse_fo|VEDL26DEC24460PE</stp>
        <stp>% Change</stp>
        <tr r="J246" s="1"/>
      </tp>
      <tp>
        <v>38.36</v>
        <stp/>
        <stp>nse_fo|VEDL26DEC24470PE</stp>
        <stp>% Change</stp>
        <tr r="J247" s="1"/>
      </tp>
      <tp>
        <v>0</v>
        <stp/>
        <stp>nse_fo|VEDL26DEC24420CE</stp>
        <stp>Net Change</stp>
        <tr r="K232" s="1"/>
      </tp>
      <tp>
        <v>0.05</v>
        <stp/>
        <stp>nse_fo|VEDL26DEC24420PE</stp>
        <stp>Net Change</stp>
        <tr r="K242" s="1"/>
      </tp>
      <tp t="s">
        <v>UPL</v>
        <stp/>
        <stp>nse_cm|UPL-EQ</stp>
        <stp>Symbol</stp>
        <tr r="A253" s="1"/>
      </tp>
      <tp>
        <v>490.45</v>
        <stp/>
        <stp>nse_fo|VEDL26DEC24FUT</stp>
        <stp>LTP</stp>
        <tr r="D14" s="1"/>
        <tr r="G230" s="1"/>
        <tr r="J22" s="2"/>
      </tp>
      <tp>
        <v>0</v>
        <stp/>
        <stp>nse_fo|UPL26DEC24660CE</stp>
        <stp>Net Change</stp>
        <tr r="K262" s="1"/>
      </tp>
      <tp>
        <v>4.5999999999999996</v>
        <stp/>
        <stp>nse_fo|MOTHERSON26DEC24167.5CE</stp>
        <stp>Ask Rate</stp>
        <tr r="E177" s="1"/>
      </tp>
      <tp>
        <v>15233700</v>
        <stp/>
        <stp>nse_fo|LAURUSLABS26DEC24FUT</stp>
        <stp>Volume Traded Today</stp>
        <tr r="I154" s="1"/>
      </tp>
      <tp>
        <v>-12.4</v>
        <stp/>
        <stp>nse_fo|VEDL26DEC24450CE</stp>
        <stp>Net Change</stp>
        <tr r="K235" s="1"/>
      </tp>
      <tp>
        <v>0.4</v>
        <stp/>
        <stp>nse_fo|VEDL26DEC24450PE</stp>
        <stp>Net Change</stp>
        <tr r="K245" s="1"/>
      </tp>
      <tp t="s">
        <v>FEDERALBNK</v>
        <stp/>
        <stp>nse_fo|FEDERALBNK26DEC24200CE</stp>
        <stp>Symbol</stp>
        <tr r="A100" s="1"/>
        <tr r="A110" s="1"/>
      </tp>
      <tp t="s">
        <v>FEDERALBNK</v>
        <stp/>
        <stp>nse_fo|FEDERALBNK26DEC24205CE</stp>
        <stp>Symbol</stp>
        <tr r="A102" s="1"/>
        <tr r="A112" s="1"/>
      </tp>
      <tp t="s">
        <v>TATAMOTORS</v>
        <stp/>
        <stp>nse_fo|TATAMOTORS26DEC24780CE</stp>
        <stp>Symbol</stp>
        <tr r="A226" s="1"/>
        <tr r="A60" s="1"/>
        <tr r="A215" s="1"/>
      </tp>
      <tp t="s">
        <v>TATAMOTORS</v>
        <stp/>
        <stp>nse_fo|TATAMOTORS26DEC24880CE</stp>
        <stp>Symbol</stp>
        <tr r="A70" s="1"/>
      </tp>
      <tp t="s">
        <v>CE</v>
        <stp/>
        <stp>nse_fo|MOTHERSON26DEC24167.5CE</stp>
        <stp>Option Type</stp>
        <tr r="M177" s="1"/>
      </tp>
      <tp t="s">
        <v>CE</v>
        <stp/>
        <stp>nse_fo|MOTHERSON26DEC24177.5CE</stp>
        <stp>Option Type</stp>
        <tr r="M181" s="1"/>
      </tp>
      <tp t="s">
        <v>CE</v>
        <stp/>
        <stp>nse_fo|MOTHERSON26DEC24172.5CE</stp>
        <stp>Option Type</stp>
        <tr r="M179" s="1"/>
      </tp>
      <tp t="s">
        <v>CE</v>
        <stp/>
        <stp>nse_fo|MOTHERSON26DEC24187.5CE</stp>
        <stp>Option Type</stp>
        <tr r="M185" s="1"/>
      </tp>
      <tp t="s">
        <v>CE</v>
        <stp/>
        <stp>nse_fo|MOTHERSON26DEC24182.5CE</stp>
        <stp>Option Type</stp>
        <tr r="M183" s="1"/>
      </tp>
      <tp t="s">
        <v>PE</v>
        <stp/>
        <stp>nse_fo|MOTHERSON26DEC24167.5PE</stp>
        <stp>Option Type</stp>
        <tr r="M189" s="1"/>
      </tp>
      <tp t="s">
        <v>PE</v>
        <stp/>
        <stp>nse_fo|MOTHERSON26DEC24162.5PE</stp>
        <stp>Option Type</stp>
        <tr r="M187" s="1"/>
      </tp>
      <tp t="e">
        <v>#N/A</v>
        <stp/>
        <stp>nse_fo|UPL26DEC24670CE</stp>
        <stp>Net Change</stp>
        <tr r="K263" s="1"/>
      </tp>
      <tp>
        <v>7.05</v>
        <stp/>
        <stp>nse_fo|HDFCAMC26DEC244050PE</stp>
        <stp>Bid Rate</stp>
        <tr r="D128" s="1"/>
      </tp>
      <tp>
        <v>5.65</v>
        <stp/>
        <stp>nse_fo|HDFCAMC26DEC244000PE</stp>
        <stp>Bid Rate</stp>
        <tr r="D127" s="1"/>
      </tp>
      <tp>
        <v>11.85</v>
        <stp/>
        <stp>nse_fo|HDFCAMC26DEC244150PE</stp>
        <stp>Bid Rate</stp>
        <tr r="D130" s="1"/>
      </tp>
      <tp>
        <v>9.1</v>
        <stp/>
        <stp>nse_fo|HDFCAMC26DEC244100PE</stp>
        <stp>Bid Rate</stp>
        <tr r="D129" s="1"/>
      </tp>
      <tp>
        <v>16.25</v>
        <stp/>
        <stp>nse_fo|HDFCAMC26DEC244200PE</stp>
        <stp>Bid Rate</stp>
        <tr r="D131" s="1"/>
      </tp>
      <tp>
        <v>1986.1</v>
        <stp/>
        <stp>nse_fo|MUTHOOTFIN26DEC24FUT</stp>
        <stp>Bid Rate</stp>
        <tr r="D193" s="1"/>
      </tp>
      <tp>
        <v>806.6</v>
        <stp/>
        <stp>nse_fo|TATAMOTORS26DEC24FUT</stp>
        <stp>Bid Rate</stp>
        <tr r="D58" s="1"/>
        <tr r="D213" s="1"/>
      </tp>
      <tp>
        <v>4</v>
        <stp/>
        <stp>nse_cm|ADANIGREEN-EQ</stp>
        <stp>Ask Qty</stp>
        <tr r="F40" s="1"/>
      </tp>
      <tp>
        <v>2.75</v>
        <stp/>
        <stp>nse_fo|MOTHERSON26DEC24172.5CE</stp>
        <stp>Ask Rate</stp>
        <tr r="E179" s="1"/>
      </tp>
      <tp>
        <v>1.6</v>
        <stp/>
        <stp>nse_fo|MOTHERSON26DEC24177.5CE</stp>
        <stp>Ask Rate</stp>
        <tr r="E181" s="1"/>
      </tp>
      <tp>
        <v>39.75</v>
        <stp/>
        <stp>nse_fo|JUBLFOOD26DEC24660CE</stp>
        <stp>Ask Rate</stp>
        <tr r="E142" s="1"/>
      </tp>
      <tp>
        <v>31.85</v>
        <stp/>
        <stp>nse_fo|JUBLFOOD26DEC24670CE</stp>
        <stp>Ask Rate</stp>
        <tr r="E143" s="1"/>
      </tp>
      <tp>
        <v>57.35</v>
        <stp/>
        <stp>nse_fo|JUBLFOOD26DEC24640CE</stp>
        <stp>Ask Rate</stp>
        <tr r="E140" s="1"/>
      </tp>
      <tp>
        <v>47.95</v>
        <stp/>
        <stp>nse_fo|JUBLFOOD26DEC24650CE</stp>
        <stp>Ask Rate</stp>
        <tr r="E141" s="1"/>
      </tp>
      <tp>
        <v>77.3</v>
        <stp/>
        <stp>nse_fo|JUBLFOOD26DEC24620CE</stp>
        <stp>Ask Rate</stp>
        <tr r="E138" s="1"/>
      </tp>
      <tp>
        <v>68.349999999999994</v>
        <stp/>
        <stp>nse_fo|JUBLFOOD26DEC24630CE</stp>
        <stp>Ask Rate</stp>
        <tr r="E139" s="1"/>
      </tp>
      <tp>
        <v>95.9</v>
        <stp/>
        <stp>nse_fo|JUBLFOOD26DEC24600CE</stp>
        <stp>Ask Rate</stp>
        <tr r="E136" s="1"/>
      </tp>
      <tp>
        <v>89.55</v>
        <stp/>
        <stp>nse_fo|JUBLFOOD26DEC24610CE</stp>
        <stp>Ask Rate</stp>
        <tr r="E137" s="1"/>
      </tp>
      <tp>
        <v>24.75</v>
        <stp/>
        <stp>nse_fo|JUBLFOOD26DEC24680CE</stp>
        <stp>Ask Rate</stp>
        <tr r="E144" s="1"/>
      </tp>
      <tp>
        <v>18.899999999999999</v>
        <stp/>
        <stp>nse_fo|JUBLFOOD26DEC24690CE</stp>
        <stp>Ask Rate</stp>
        <tr r="E145" s="1"/>
      </tp>
      <tp>
        <v>13.95</v>
        <stp/>
        <stp>nse_fo|JUBLFOOD26DEC24700CE</stp>
        <stp>Ask Rate</stp>
        <tr r="E146" s="1"/>
      </tp>
      <tp>
        <v>-11.65</v>
        <stp/>
        <stp>nse_fo|VEDL26DEC24440CE</stp>
        <stp>Net Change</stp>
        <tr r="K234" s="1"/>
      </tp>
      <tp>
        <v>0.15</v>
        <stp/>
        <stp>nse_fo|VEDL26DEC24440PE</stp>
        <stp>Net Change</stp>
        <tr r="K244" s="1"/>
      </tp>
      <tp t="s">
        <v>FEDERALBNK</v>
        <stp/>
        <stp>nse_fo|FEDERALBNK26DEC24210CE</stp>
        <stp>Symbol</stp>
        <tr r="A114" s="1"/>
        <tr r="A104" s="1"/>
      </tp>
      <tp t="s">
        <v>FEDERALBNK</v>
        <stp/>
        <stp>nse_fo|FEDERALBNK26DEC24215CE</stp>
        <stp>Symbol</stp>
        <tr r="A106" s="1"/>
      </tp>
      <tp t="s">
        <v>TATAMOTORS</v>
        <stp/>
        <stp>nse_fo|TATAMOTORS26DEC24790CE</stp>
        <stp>Symbol</stp>
        <tr r="A61" s="1"/>
        <tr r="A227" s="1"/>
        <tr r="A216" s="1"/>
      </tp>
      <tp>
        <v>0</v>
        <stp/>
        <stp>nse_fo|UPL26DEC24640CE</stp>
        <stp>Net Change</stp>
        <tr r="K260" s="1"/>
      </tp>
      <tp>
        <v>574.95000000000005</v>
        <stp/>
        <stp>nse_fo|LAURUSLABS26DEC24FUT</stp>
        <stp>Ask Rate</stp>
        <tr r="E154" s="1"/>
      </tp>
      <tp>
        <v>2</v>
        <stp/>
        <stp>nse_cm|ADANIGREEN-EQ</stp>
        <stp>Bid Qty</stp>
        <tr r="C40" s="1"/>
      </tp>
      <tp>
        <v>-28.7</v>
        <stp/>
        <stp>nse_fo|ABB26DEC246900PE</stp>
        <stp>% Change</stp>
        <tr r="J36" s="1"/>
      </tp>
      <tp>
        <v>-34.01</v>
        <stp/>
        <stp>nse_fo|ABB26DEC246800PE</stp>
        <stp>% Change</stp>
        <tr r="J35" s="1"/>
      </tp>
      <tp>
        <v>-30</v>
        <stp/>
        <stp>nse_fo|ABB26DEC246700PE</stp>
        <stp>% Change</stp>
        <tr r="J34" s="1"/>
      </tp>
      <tp>
        <v>-24.17</v>
        <stp/>
        <stp>nse_fo|ABB26DEC246600PE</stp>
        <stp>% Change</stp>
        <tr r="J33" s="1"/>
      </tp>
      <tp>
        <v>12.26</v>
        <stp/>
        <stp>nse_fo|ABB26DEC246500PE</stp>
        <stp>% Change</stp>
        <tr r="J32" s="1"/>
      </tp>
      <tp>
        <v>-11.05</v>
        <stp/>
        <stp>nse_fo|VEDL26DEC24470CE</stp>
        <stp>Net Change</stp>
        <tr r="K237" s="1"/>
      </tp>
      <tp>
        <v>1.4</v>
        <stp/>
        <stp>nse_fo|VEDL26DEC24470PE</stp>
        <stp>Net Change</stp>
        <tr r="K247" s="1"/>
      </tp>
      <tp t="s">
        <v>FEDERALBNK</v>
        <stp/>
        <stp>nse_fo|FEDERALBNK26DEC24220CE</stp>
        <stp>Symbol</stp>
        <tr r="A108" s="1"/>
      </tp>
      <tp t="s">
        <v>HDFCAMC</v>
        <stp/>
        <stp>nse_fo|HDFCAMC26DEC244500CE</stp>
        <stp>Symbol</stp>
        <tr r="A125" s="1"/>
      </tp>
      <tp t="s">
        <v>HDFCAMC</v>
        <stp/>
        <stp>nse_fo|HDFCAMC26DEC244400CE</stp>
        <stp>Symbol</stp>
        <tr r="A123" s="1"/>
      </tp>
      <tp t="s">
        <v>HDFCAMC</v>
        <stp/>
        <stp>nse_fo|HDFCAMC26DEC244100CE</stp>
        <stp>Symbol</stp>
        <tr r="A129" s="1"/>
      </tp>
      <tp t="s">
        <v>HDFCAMC</v>
        <stp/>
        <stp>nse_fo|HDFCAMC26DEC244000CE</stp>
        <stp>Symbol</stp>
        <tr r="A127" s="1"/>
      </tp>
      <tp t="s">
        <v>HDFCAMC</v>
        <stp/>
        <stp>nse_fo|HDFCAMC26DEC244300CE</stp>
        <stp>Symbol</stp>
        <tr r="A121" s="1"/>
      </tp>
      <tp t="s">
        <v>HDFCAMC</v>
        <stp/>
        <stp>nse_fo|HDFCAMC26DEC244200CE</stp>
        <stp>Symbol</stp>
        <tr r="A131" s="1"/>
        <tr r="A119" s="1"/>
      </tp>
      <tp t="s">
        <v>ADANIGREEN</v>
        <stp/>
        <stp>nse_fo|ADANIGREEN26DEC24FUT</stp>
        <stp>Symbol</stp>
        <tr r="A39" s="1"/>
      </tp>
      <tp>
        <v>0.62</v>
        <stp/>
        <stp>nse_cm|ADANIGREEN-EQ</stp>
        <stp>% Change</stp>
        <tr r="J40" s="1"/>
      </tp>
      <tp t="e">
        <v>#N/A</v>
        <stp/>
        <stp>nse_fo|UPL26DEC24650CE</stp>
        <stp>Net Change</stp>
        <tr r="K261" s="1"/>
      </tp>
      <tp>
        <v>7.44</v>
        <stp/>
        <stp>nse_fo|HDFCAMC26DEC244000PE</stp>
        <stp>ATP</stp>
        <tr r="H127" s="1"/>
      </tp>
      <tp>
        <v>7.81</v>
        <stp/>
        <stp>nse_fo|HDFCAMC26DEC244050PE</stp>
        <stp>ATP</stp>
        <tr r="H128" s="1"/>
      </tp>
      <tp>
        <v>12.12</v>
        <stp/>
        <stp>nse_fo|HDFCAMC26DEC244100PE</stp>
        <stp>ATP</stp>
        <tr r="H129" s="1"/>
      </tp>
      <tp>
        <v>13.71</v>
        <stp/>
        <stp>nse_fo|HDFCAMC26DEC244150PE</stp>
        <stp>ATP</stp>
        <tr r="H130" s="1"/>
      </tp>
      <tp>
        <v>21.55</v>
        <stp/>
        <stp>nse_fo|HDFCAMC26DEC244200PE</stp>
        <stp>ATP</stp>
        <tr r="H131" s="1"/>
      </tp>
      <tp>
        <v>293.63</v>
        <stp/>
        <stp>nse_fo|HDFCAMC26DEC244200CE</stp>
        <stp>ATP</stp>
        <tr r="H119" s="1"/>
      </tp>
      <tp>
        <v>245.34</v>
        <stp/>
        <stp>nse_fo|HDFCAMC26DEC244250CE</stp>
        <stp>ATP</stp>
        <tr r="H120" s="1"/>
      </tp>
      <tp>
        <v>172.89</v>
        <stp/>
        <stp>nse_fo|HDFCAMC26DEC244300CE</stp>
        <stp>ATP</stp>
        <tr r="H121" s="1"/>
      </tp>
      <tp>
        <v>143.78</v>
        <stp/>
        <stp>nse_fo|HDFCAMC26DEC244350CE</stp>
        <stp>ATP</stp>
        <tr r="H122" s="1"/>
      </tp>
      <tp>
        <v>129.69999999999999</v>
        <stp/>
        <stp>nse_fo|HDFCAMC26DEC244400CE</stp>
        <stp>ATP</stp>
        <tr r="H123" s="1"/>
      </tp>
      <tp>
        <v>110.17</v>
        <stp/>
        <stp>nse_fo|HDFCAMC26DEC244450CE</stp>
        <stp>ATP</stp>
        <tr r="H124" s="1"/>
      </tp>
      <tp>
        <v>92.1</v>
        <stp/>
        <stp>nse_fo|HDFCAMC26DEC244500CE</stp>
        <stp>ATP</stp>
        <tr r="H125" s="1"/>
      </tp>
      <tp>
        <v>79.430000000000007</v>
        <stp/>
        <stp>nse_fo|HDFCAMC26DEC244550CE</stp>
        <stp>ATP</stp>
        <tr r="H126" s="1"/>
      </tp>
      <tp t="e">
        <v>#N/A</v>
        <stp/>
        <stp>nse_fo|NIFTY26OCT2319450PE</stp>
        <stp>% Change</stp>
        <tr r="J302" s="4"/>
      </tp>
      <tp t="e">
        <v>#N/A</v>
        <stp/>
        <stp>nse_fo|NIFTY26OCT2319500PE</stp>
        <stp>% Change</stp>
        <tr r="J303" s="4"/>
      </tp>
      <tp>
        <v>612.33000000000004</v>
        <stp/>
        <stp>nse_fo|BSOFT26DEC24FUT</stp>
        <stp>ATP</stp>
        <tr r="H78" s="1"/>
      </tp>
      <tp>
        <v>-11.95</v>
        <stp/>
        <stp>nse_fo|VEDL26DEC24460CE</stp>
        <stp>Net Change</stp>
        <tr r="K236" s="1"/>
      </tp>
      <tp>
        <v>0.75</v>
        <stp/>
        <stp>nse_fo|VEDL26DEC24460PE</stp>
        <stp>Net Change</stp>
        <tr r="K24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0"/>
  <sheetViews>
    <sheetView tabSelected="1" zoomScale="85" zoomScaleNormal="85" workbookViewId="0">
      <pane ySplit="17" topLeftCell="A50" activePane="bottomLeft" state="frozen"/>
      <selection sqref="A1:E1"/>
      <selection pane="bottomLeft" activeCell="T63" sqref="T63"/>
    </sheetView>
  </sheetViews>
  <sheetFormatPr defaultRowHeight="15.75" x14ac:dyDescent="0.25"/>
  <cols>
    <col min="1" max="1" width="14.5703125" style="58" bestFit="1" customWidth="1"/>
    <col min="2" max="2" width="10.5703125" style="58" customWidth="1"/>
    <col min="3" max="3" width="10.140625" style="58" bestFit="1" customWidth="1"/>
    <col min="4" max="4" width="9" style="58" customWidth="1"/>
    <col min="5" max="5" width="10.5703125" style="58" bestFit="1" customWidth="1"/>
    <col min="6" max="6" width="14.7109375" style="58" customWidth="1"/>
    <col min="7" max="7" width="9.7109375" style="84" bestFit="1" customWidth="1"/>
    <col min="8" max="8" width="9.7109375" style="57" bestFit="1" customWidth="1"/>
    <col min="9" max="9" width="10.5703125" style="58" customWidth="1"/>
    <col min="10" max="10" width="12.28515625" style="58" customWidth="1"/>
    <col min="11" max="11" width="13" style="58" customWidth="1"/>
    <col min="12" max="12" width="12.85546875" style="78" customWidth="1"/>
    <col min="13" max="13" width="11.140625" style="79" customWidth="1"/>
    <col min="14" max="14" width="12.140625" style="58" customWidth="1"/>
    <col min="15" max="15" width="9.5703125" style="58" bestFit="1" customWidth="1"/>
    <col min="16" max="16" width="12.85546875" style="58" bestFit="1" customWidth="1"/>
    <col min="17" max="17" width="10.140625" style="58" customWidth="1"/>
    <col min="18" max="18" width="10.85546875" style="58" customWidth="1"/>
    <col min="19" max="19" width="9.7109375" style="58" customWidth="1"/>
    <col min="20" max="20" width="14" style="58" bestFit="1" customWidth="1"/>
    <col min="21" max="21" width="10.28515625" style="63" customWidth="1"/>
    <col min="22" max="22" width="11.5703125" style="58" customWidth="1"/>
    <col min="23" max="23" width="9.140625" style="58" customWidth="1"/>
    <col min="24" max="24" width="10.140625" style="58" customWidth="1"/>
    <col min="25" max="25" width="10.5703125" style="58" customWidth="1"/>
    <col min="26" max="27" width="9.140625" style="58"/>
    <col min="28" max="28" width="12.140625" style="58" customWidth="1"/>
    <col min="29" max="16384" width="9.140625" style="58"/>
  </cols>
  <sheetData>
    <row r="1" spans="1:35" x14ac:dyDescent="0.25">
      <c r="A1" s="88" t="s">
        <v>117</v>
      </c>
      <c r="B1" s="88" t="s">
        <v>22</v>
      </c>
      <c r="C1" s="88" t="s">
        <v>23</v>
      </c>
      <c r="D1" s="88" t="s">
        <v>6</v>
      </c>
      <c r="E1" s="88" t="s">
        <v>32</v>
      </c>
      <c r="F1" s="89" t="s">
        <v>169</v>
      </c>
      <c r="G1" s="90" t="s">
        <v>196</v>
      </c>
      <c r="J1" s="58" t="s">
        <v>168</v>
      </c>
      <c r="K1" s="59" t="s">
        <v>24</v>
      </c>
      <c r="L1" s="59" t="s">
        <v>25</v>
      </c>
      <c r="M1" s="59" t="s">
        <v>26</v>
      </c>
      <c r="N1" s="60" t="s">
        <v>28</v>
      </c>
      <c r="P1" s="58">
        <f>+Z19+Z39+Z58+Z78+Z98+Z117+Z134+Z154+Z174+Z193</f>
        <v>0</v>
      </c>
      <c r="Q1" s="61"/>
      <c r="R1" s="55" t="s">
        <v>29</v>
      </c>
      <c r="S1" s="55" t="s">
        <v>30</v>
      </c>
      <c r="T1" s="55" t="s">
        <v>31</v>
      </c>
      <c r="U1" s="56" t="s">
        <v>33</v>
      </c>
      <c r="V1" s="55"/>
      <c r="W1" s="62">
        <f>SUM(O19:O210)</f>
        <v>0</v>
      </c>
      <c r="X1" s="55" t="s">
        <v>162</v>
      </c>
      <c r="Y1" s="55" t="s">
        <v>161</v>
      </c>
      <c r="AA1" s="58" t="s">
        <v>172</v>
      </c>
      <c r="AB1" s="105">
        <f>+X4+X6+X8+X10+X12+X14</f>
        <v>-185</v>
      </c>
      <c r="AC1" s="105"/>
      <c r="AE1" s="55"/>
      <c r="AF1" s="55"/>
      <c r="AG1" s="55"/>
      <c r="AH1" s="55"/>
      <c r="AI1" s="55"/>
    </row>
    <row r="2" spans="1:35" ht="17.25" customHeight="1" x14ac:dyDescent="0.25">
      <c r="A2" s="63">
        <f>RTD("nest.scriprtd",,"nse_fo|NIFTY28NOV24FUT","High")</f>
        <v>24349</v>
      </c>
      <c r="B2" s="63">
        <f>RTD("nest.scriprtd",,"nse_fo|NIFTY28NOV24FUT","Low ")</f>
        <v>24160</v>
      </c>
      <c r="C2" s="58">
        <f>RTD("nest.scriprtd",,"Nifty 50","Index Value")</f>
        <v>24636.9</v>
      </c>
      <c r="D2" s="91">
        <f>RTD("nest.scriprtd",,"nse_fo|NIFTY28NOV24FUT","LTP")</f>
        <v>24230.15</v>
      </c>
      <c r="E2" s="63">
        <f>RTD("nest.scriprtd",,"nse_fo|NIFTY28NOV24FUT","% Change")</f>
        <v>-0.18</v>
      </c>
      <c r="F2" s="64"/>
      <c r="G2" s="63"/>
      <c r="H2" s="100"/>
      <c r="I2" s="58">
        <v>3.5</v>
      </c>
      <c r="J2" s="65"/>
      <c r="K2" s="67" t="e">
        <f>SUM(K3:K15)</f>
        <v>#N/A</v>
      </c>
      <c r="L2" s="92"/>
      <c r="M2" s="66" t="e">
        <f>SUM(M3:M14)/10</f>
        <v>#DIV/0!</v>
      </c>
      <c r="N2" s="67" t="e">
        <f>+SUM(N3:N15)</f>
        <v>#N/A</v>
      </c>
      <c r="P2" s="58">
        <f>+Z34+Z51+Z72+Z93+Z110+Z127+Z147+Z167+Z186+Z208+Z224+Z243</f>
        <v>0</v>
      </c>
      <c r="Q2" s="83">
        <v>1</v>
      </c>
      <c r="R2" s="55"/>
      <c r="S2" s="55"/>
      <c r="T2" s="55"/>
      <c r="U2" s="68"/>
      <c r="V2" s="69"/>
      <c r="W2" s="70"/>
      <c r="AB2" s="105"/>
      <c r="AC2" s="105"/>
      <c r="AH2" s="70"/>
      <c r="AI2" s="71"/>
    </row>
    <row r="3" spans="1:35" x14ac:dyDescent="0.25">
      <c r="A3" s="63">
        <f>RTD("nest.scriprtd",,"nse_fo|"&amp;$A$18&amp;""&amp;$G$1&amp;""&amp;$C$18&amp;"","High")</f>
        <v>7675</v>
      </c>
      <c r="B3" s="63">
        <f>RTD("nest.scriprtd",,"nse_fo|"&amp;$A$18&amp;""&amp;$G$1&amp;""&amp;$C$18&amp;"","Low ")</f>
        <v>7538.85</v>
      </c>
      <c r="C3" s="63">
        <f>RTD("nest.scriprtd",,"nse_cm|"&amp;$B$18&amp;"","LTP")</f>
        <v>7585</v>
      </c>
      <c r="D3" s="91">
        <f>RTD("nest.scriprtd",,"nse_fo|"&amp;$A$18&amp;""&amp;$G$1&amp;""&amp;$C$18&amp;"","LTP")</f>
        <v>7613.65</v>
      </c>
      <c r="E3" s="63">
        <f>RTD("nest.scriprtd",,"nse_fo|"&amp;$A$18&amp;""&amp;$G$1&amp;""&amp;$C$18&amp;"","% Change")</f>
        <v>0.56999999999999995</v>
      </c>
      <c r="F3" s="72"/>
      <c r="G3" s="68"/>
      <c r="H3" s="100"/>
      <c r="J3" s="65" t="s">
        <v>188</v>
      </c>
      <c r="K3" s="73">
        <f>+AA36</f>
        <v>0</v>
      </c>
      <c r="L3" s="93" t="str">
        <f>A18</f>
        <v>ABB</v>
      </c>
      <c r="M3" s="66" t="e">
        <f>+U36</f>
        <v>#DIV/0!</v>
      </c>
      <c r="N3" s="73">
        <f>+T36</f>
        <v>0</v>
      </c>
      <c r="Q3" s="69">
        <f>AVERAGE(R3:R12)</f>
        <v>5.321128509446849</v>
      </c>
      <c r="R3" s="69">
        <f t="shared" ref="R3" si="0">S3/D3*100</f>
        <v>4.7670959395296606</v>
      </c>
      <c r="S3" s="69">
        <f>+T19</f>
        <v>362.95</v>
      </c>
      <c r="T3" s="74">
        <v>186</v>
      </c>
      <c r="U3" s="68">
        <f t="shared" ref="U3" si="1">(S3-T3)/T3*100</f>
        <v>95.134408602150529</v>
      </c>
      <c r="V3" s="69">
        <f>AVERAGE(U3:U12)</f>
        <v>394.10956831045178</v>
      </c>
      <c r="W3" s="71"/>
      <c r="X3" s="102">
        <f>SUM(P19:P36)</f>
        <v>0</v>
      </c>
      <c r="Y3" s="58">
        <v>0</v>
      </c>
      <c r="AB3" s="97"/>
      <c r="AC3" s="97"/>
      <c r="AH3" s="70"/>
      <c r="AI3" s="71"/>
    </row>
    <row r="4" spans="1:35" x14ac:dyDescent="0.25">
      <c r="A4" s="63">
        <f>RTD("nest.scriprtd",,"nse_fo|"&amp;$A$38&amp;""&amp;$G$1&amp;""&amp;$C$38&amp;"","High")</f>
        <v>1229.75</v>
      </c>
      <c r="B4" s="63">
        <f>RTD("nest.scriprtd",,"nse_fo|"&amp;$A$38&amp;""&amp;$G$1&amp;""&amp;$C$38&amp;"","Low ")</f>
        <v>1175.7</v>
      </c>
      <c r="C4" s="63">
        <f>RTD("nest.scriprtd",,"nse_cm|"&amp;$B$38&amp;"","LTP")</f>
        <v>1218.2</v>
      </c>
      <c r="D4" s="91">
        <f>RTD("nest.scriprtd",,"nse_fo|"&amp;$A$38&amp;""&amp;$G$1&amp;""&amp;$C$38&amp;"","LTP")</f>
        <v>1218.4000000000001</v>
      </c>
      <c r="E4" s="63">
        <f>RTD("nest.scriprtd",,"nse_fo|"&amp;$A$38&amp;""&amp;$G$1&amp;""&amp;$C$38&amp;"","% Change")</f>
        <v>1.05</v>
      </c>
      <c r="F4" s="72"/>
      <c r="G4" s="68"/>
      <c r="J4" s="65"/>
      <c r="K4" s="73">
        <f>+AA55</f>
        <v>0</v>
      </c>
      <c r="L4" s="93" t="str">
        <f>A38</f>
        <v>ADANIGREEN</v>
      </c>
      <c r="M4" s="66">
        <f>+U55</f>
        <v>-2.0895522388059702E-2</v>
      </c>
      <c r="N4" s="73">
        <f>+T55</f>
        <v>-25125</v>
      </c>
      <c r="P4" s="98"/>
      <c r="Q4" s="69">
        <v>3.42</v>
      </c>
      <c r="R4" s="69">
        <f t="shared" ref="R4:R14" si="2">S4/D4*100</f>
        <v>11.080105055810899</v>
      </c>
      <c r="S4" s="69">
        <f>+T39</f>
        <v>135</v>
      </c>
      <c r="T4" s="74">
        <v>4.5500000000000007</v>
      </c>
      <c r="U4" s="68">
        <f t="shared" ref="U4:U14" si="3">(S4-T4)/T4*100</f>
        <v>2867.0329670329666</v>
      </c>
      <c r="V4" s="69"/>
      <c r="W4" s="71"/>
      <c r="X4" s="99">
        <f>SUM(P39:P55)</f>
        <v>-185</v>
      </c>
      <c r="AB4" s="105">
        <f>+X3+X5+X7+X9+X11+X13</f>
        <v>-850</v>
      </c>
      <c r="AC4" s="105"/>
      <c r="AH4" s="70"/>
      <c r="AI4" s="71"/>
    </row>
    <row r="5" spans="1:35" x14ac:dyDescent="0.25">
      <c r="A5" s="63">
        <f>RTD("nest.scriprtd",,"nse_fo|"&amp;$A$57&amp;""&amp;$G$1&amp;""&amp;$C$57&amp;"","High")</f>
        <v>822.3</v>
      </c>
      <c r="B5" s="63">
        <f>RTD("nest.scriprtd",,"nse_fo|"&amp;$A$57&amp;""&amp;$G$1&amp;""&amp;$C$57&amp;"","Low ")</f>
        <v>805.35</v>
      </c>
      <c r="C5" s="63">
        <f>RTD("nest.scriprtd",,"nse_cm|"&amp;$B$57&amp;"","LTP")</f>
        <v>804.75</v>
      </c>
      <c r="D5" s="91">
        <f>RTD("nest.scriprtd",,"nse_fo|"&amp;$A$57&amp;""&amp;$G$1&amp;""&amp;$C$57&amp;"","LTP")</f>
        <v>806.65</v>
      </c>
      <c r="E5" s="63">
        <f>RTD("nest.scriprtd",,"nse_fo|"&amp;$A$57&amp;""&amp;$G$1&amp;""&amp;$C$57&amp;"","% Change")</f>
        <v>-1.58</v>
      </c>
      <c r="F5" s="72"/>
      <c r="G5" s="68"/>
      <c r="J5" s="65" t="s">
        <v>188</v>
      </c>
      <c r="K5" s="73">
        <f>+AA75</f>
        <v>0</v>
      </c>
      <c r="L5" s="93" t="str">
        <f>A57</f>
        <v>TATAMOTORS</v>
      </c>
      <c r="M5" s="66">
        <f>+U75</f>
        <v>1.9003595274781716E-2</v>
      </c>
      <c r="N5" s="73">
        <f>+T75</f>
        <v>-9735</v>
      </c>
      <c r="O5" s="98"/>
      <c r="Q5" s="69"/>
      <c r="R5" s="69">
        <f t="shared" si="2"/>
        <v>4.7356350337816906</v>
      </c>
      <c r="S5" s="69">
        <f>+T58</f>
        <v>38.200000000000003</v>
      </c>
      <c r="T5" s="74">
        <v>11.55</v>
      </c>
      <c r="U5" s="68">
        <f t="shared" si="3"/>
        <v>230.73593073593074</v>
      </c>
      <c r="V5" s="69"/>
      <c r="W5" s="71"/>
      <c r="X5" s="102">
        <f>SUM(P58:P75)</f>
        <v>-850</v>
      </c>
      <c r="AA5" s="58" t="s">
        <v>173</v>
      </c>
      <c r="AB5" s="105"/>
      <c r="AC5" s="105"/>
      <c r="AH5" s="70"/>
      <c r="AI5" s="71"/>
    </row>
    <row r="6" spans="1:35" x14ac:dyDescent="0.25">
      <c r="A6" s="63">
        <f>RTD("nest.scriprtd",,"nse_fo|"&amp;$A$77&amp;""&amp;$G$1&amp;""&amp;$C$77&amp;"","High")</f>
        <v>616.70000000000005</v>
      </c>
      <c r="B6" s="63">
        <f>RTD("nest.scriprtd",,"nse_fo|"&amp;$A$77&amp;""&amp;$G$1&amp;""&amp;$C$77&amp;"","Low ")</f>
        <v>608.29999999999995</v>
      </c>
      <c r="C6" s="63">
        <f>RTD("nest.scriprtd",,"nse_cm|"&amp;$B$77&amp;"","LTP")</f>
        <v>608.45000000000005</v>
      </c>
      <c r="D6" s="91">
        <f>RTD("nest.scriprtd",,"nse_fo|"&amp;$A$77&amp;""&amp;$G$1&amp;""&amp;$C$77&amp;"","LTP")</f>
        <v>609.45000000000005</v>
      </c>
      <c r="E6" s="63">
        <f>RTD("nest.scriprtd",,"nse_fo|"&amp;$A$77&amp;""&amp;$G$1&amp;""&amp;$C$77&amp;"","% Change")</f>
        <v>-0.3</v>
      </c>
      <c r="F6" s="72"/>
      <c r="G6" s="68"/>
      <c r="H6" s="100"/>
      <c r="I6" s="100"/>
      <c r="J6" s="65"/>
      <c r="K6" s="73">
        <f>+AA95</f>
        <v>0</v>
      </c>
      <c r="L6" s="93" t="str">
        <f>A77</f>
        <v>BSOFT</v>
      </c>
      <c r="M6" s="66" t="e">
        <f>+U95</f>
        <v>#DIV/0!</v>
      </c>
      <c r="N6" s="73">
        <f>+T95</f>
        <v>0</v>
      </c>
      <c r="O6" s="98"/>
      <c r="Q6" s="69"/>
      <c r="R6" s="69">
        <f t="shared" si="2"/>
        <v>4.9224710804824019</v>
      </c>
      <c r="S6" s="69">
        <f>+T78</f>
        <v>30</v>
      </c>
      <c r="T6" s="74">
        <v>13.35</v>
      </c>
      <c r="U6" s="68">
        <f t="shared" si="3"/>
        <v>124.71910112359549</v>
      </c>
      <c r="V6" s="69"/>
      <c r="W6" s="71"/>
      <c r="X6" s="99">
        <f>SUM(P78:P95)</f>
        <v>0</v>
      </c>
      <c r="AB6" s="105"/>
      <c r="AC6" s="105"/>
      <c r="AH6" s="70"/>
      <c r="AI6" s="71"/>
    </row>
    <row r="7" spans="1:35" x14ac:dyDescent="0.25">
      <c r="A7" s="63">
        <f>RTD("nest.scriprtd",,"nse_fo|"&amp;$A$97&amp;""&amp;$G$1&amp;""&amp;$C$97&amp;"","High")</f>
        <v>215.41</v>
      </c>
      <c r="B7" s="63">
        <f>RTD("nest.scriprtd",,"nse_fo|"&amp;$A$97&amp;""&amp;$G$1&amp;""&amp;$C$97&amp;"","Low ")</f>
        <v>212.48</v>
      </c>
      <c r="C7" s="63">
        <f>RTD("nest.scriprtd",,"nse_cm|"&amp;$B$97&amp;"","LTP")</f>
        <v>214.06</v>
      </c>
      <c r="D7" s="91">
        <f>RTD("nest.scriprtd",,"nse_fo|"&amp;$A$97&amp;""&amp;$G$1&amp;""&amp;$C$97&amp;"","LTP")</f>
        <v>214.25</v>
      </c>
      <c r="E7" s="63">
        <f>RTD("nest.scriprtd",,"nse_fo|"&amp;$A$97&amp;""&amp;$G$1&amp;""&amp;$C$97&amp;"","% Change")</f>
        <v>0.22</v>
      </c>
      <c r="F7" s="72"/>
      <c r="G7" s="68"/>
      <c r="J7" s="65" t="s">
        <v>188</v>
      </c>
      <c r="K7" s="73">
        <f>+AA114</f>
        <v>0</v>
      </c>
      <c r="L7" s="93" t="str">
        <f>A97</f>
        <v>FEDERALBNK</v>
      </c>
      <c r="M7" s="66" t="e">
        <f>+U114</f>
        <v>#DIV/0!</v>
      </c>
      <c r="N7" s="73">
        <f>+T114</f>
        <v>0</v>
      </c>
      <c r="Q7" s="69"/>
      <c r="R7" s="69">
        <f t="shared" si="2"/>
        <v>4.4574095682613768</v>
      </c>
      <c r="S7" s="69">
        <f>+T98</f>
        <v>9.5500000000000007</v>
      </c>
      <c r="T7" s="74">
        <v>4.3000000000000007</v>
      </c>
      <c r="U7" s="68">
        <f t="shared" si="3"/>
        <v>122.09302325581393</v>
      </c>
      <c r="V7" s="69"/>
      <c r="W7" s="71"/>
      <c r="X7" s="102">
        <f>SUM(P98:P114)</f>
        <v>0</v>
      </c>
      <c r="AH7" s="70"/>
      <c r="AI7" s="71"/>
    </row>
    <row r="8" spans="1:35" x14ac:dyDescent="0.25">
      <c r="A8" s="63">
        <f>RTD("nest.scriprtd",,"nse_fo|"&amp;$A$116&amp;""&amp;$G$1&amp;""&amp;$C$116&amp;"","High")</f>
        <v>4522.95</v>
      </c>
      <c r="B8" s="63">
        <f>RTD("nest.scriprtd",,"nse_fo|"&amp;$A$116&amp;""&amp;$G$1&amp;""&amp;$C$116&amp;"","Low ")</f>
        <v>4353.75</v>
      </c>
      <c r="C8" s="63">
        <f>RTD("nest.scriprtd",,"nse_cm|"&amp;$B$116&amp;"","LTP")</f>
        <v>4495.8</v>
      </c>
      <c r="D8" s="91">
        <f>RTD("nest.scriprtd",,"nse_fo|"&amp;$A$116&amp;""&amp;$G$1&amp;""&amp;$C$116&amp;"","LTP")</f>
        <v>4507.25</v>
      </c>
      <c r="E8" s="63">
        <f>RTD("nest.scriprtd",,"nse_fo|"&amp;$A$116&amp;""&amp;$G$1&amp;""&amp;$C$116&amp;"","% Change")</f>
        <v>2.73</v>
      </c>
      <c r="F8" s="72"/>
      <c r="G8" s="68"/>
      <c r="J8" s="65"/>
      <c r="K8" s="73">
        <f>+AA131</f>
        <v>0</v>
      </c>
      <c r="L8" s="93" t="str">
        <f>A116</f>
        <v>HDFCAMC</v>
      </c>
      <c r="M8" s="66" t="e">
        <f>+U131</f>
        <v>#DIV/0!</v>
      </c>
      <c r="N8" s="73">
        <f>+T131</f>
        <v>0</v>
      </c>
      <c r="O8" s="98"/>
      <c r="Q8" s="69"/>
      <c r="R8" s="69">
        <f t="shared" si="2"/>
        <v>1.8880692218093071</v>
      </c>
      <c r="S8" s="69">
        <f>+T117</f>
        <v>85.1</v>
      </c>
      <c r="T8" s="74">
        <v>92.25</v>
      </c>
      <c r="U8" s="68">
        <f t="shared" si="3"/>
        <v>-7.7506775067750739</v>
      </c>
      <c r="V8" s="69"/>
      <c r="W8" s="71"/>
      <c r="X8" s="99">
        <f>SUM(P117:P131)</f>
        <v>0</v>
      </c>
      <c r="AH8" s="70"/>
      <c r="AI8" s="71"/>
    </row>
    <row r="9" spans="1:35" x14ac:dyDescent="0.25">
      <c r="A9" s="63">
        <f>RTD("nest.scriprtd",,"nse_fo|"&amp;$A$133&amp;""&amp;$G$1&amp;""&amp;$C$133&amp;"","High")</f>
        <v>698.45</v>
      </c>
      <c r="B9" s="63">
        <f>RTD("nest.scriprtd",,"nse_fo|"&amp;$A$133&amp;""&amp;$G$1&amp;""&amp;$C$133&amp;"","Low ")</f>
        <v>684.05</v>
      </c>
      <c r="C9" s="63">
        <f>RTD("nest.scriprtd",,"nse_cm|"&amp;$B$133&amp;"","LTP")</f>
        <v>694.3</v>
      </c>
      <c r="D9" s="91">
        <f>RTD("nest.scriprtd",,"nse_fo|"&amp;$A$133&amp;""&amp;$G$1&amp;""&amp;$C$133&amp;"","LTP")</f>
        <v>694.65</v>
      </c>
      <c r="E9" s="63">
        <f>RTD("nest.scriprtd",,"nse_fo|"&amp;$A$133&amp;""&amp;$G$1&amp;""&amp;$C$133&amp;"","% Change")</f>
        <v>-0.39</v>
      </c>
      <c r="F9" s="72"/>
      <c r="G9" s="68"/>
      <c r="J9" s="65" t="s">
        <v>188</v>
      </c>
      <c r="K9" s="73">
        <f>+AA151</f>
        <v>0</v>
      </c>
      <c r="L9" s="93" t="str">
        <f>A133</f>
        <v>JUBLFOOD</v>
      </c>
      <c r="M9" s="66" t="e">
        <f>+U151</f>
        <v>#DIV/0!</v>
      </c>
      <c r="N9" s="73">
        <f>+T151</f>
        <v>0</v>
      </c>
      <c r="Q9" s="69"/>
      <c r="R9" s="69">
        <f t="shared" si="2"/>
        <v>4.7577916936586764</v>
      </c>
      <c r="S9" s="69">
        <f>+T134</f>
        <v>33.049999999999997</v>
      </c>
      <c r="T9" s="74">
        <v>14.25</v>
      </c>
      <c r="U9" s="68">
        <f t="shared" si="3"/>
        <v>131.92982456140351</v>
      </c>
      <c r="V9" s="69"/>
      <c r="W9" s="71"/>
      <c r="X9" s="102">
        <f>SUM(P134:P151)</f>
        <v>0</v>
      </c>
      <c r="AH9" s="70"/>
      <c r="AI9" s="71"/>
    </row>
    <row r="10" spans="1:35" x14ac:dyDescent="0.25">
      <c r="A10" s="63">
        <f>RTD("nest.scriprtd",,"nse_fo|"&amp;$A$153&amp;""&amp;$G$1&amp;""&amp;$C$153&amp;"","High")</f>
        <v>590.15</v>
      </c>
      <c r="B10" s="63">
        <f>RTD("nest.scriprtd",,"nse_fo|"&amp;$A$153&amp;""&amp;$G$1&amp;""&amp;$C$153&amp;"","Low ")</f>
        <v>555.65</v>
      </c>
      <c r="C10" s="63">
        <f>RTD("nest.scriprtd",,"nse_cm|"&amp;$B$153&amp;"","LTP")</f>
        <v>574</v>
      </c>
      <c r="D10" s="91">
        <f>RTD("nest.scriprtd",,"nse_fo|"&amp;$A$153&amp;""&amp;$G$1&amp;""&amp;$C$153&amp;"","LTP")</f>
        <v>574.4</v>
      </c>
      <c r="E10" s="63">
        <f>RTD("nest.scriprtd",,"nse_fo|"&amp;$A$153&amp;""&amp;$G$1&amp;""&amp;$C$153&amp;"","% Change")</f>
        <v>-3.03</v>
      </c>
      <c r="F10" s="72"/>
      <c r="G10" s="68"/>
      <c r="J10" s="65"/>
      <c r="K10" s="73">
        <f>+AA171</f>
        <v>0</v>
      </c>
      <c r="L10" s="93" t="str">
        <f>A153</f>
        <v>LAURUSLABS</v>
      </c>
      <c r="M10" s="66" t="e">
        <f>+U171</f>
        <v>#DIV/0!</v>
      </c>
      <c r="N10" s="73">
        <f>+T171</f>
        <v>0</v>
      </c>
      <c r="Q10" s="69"/>
      <c r="R10" s="69">
        <f t="shared" si="2"/>
        <v>5.7103064066852367</v>
      </c>
      <c r="S10" s="69">
        <f>+T154</f>
        <v>32.799999999999997</v>
      </c>
      <c r="T10" s="74">
        <v>14.8</v>
      </c>
      <c r="U10" s="68">
        <f t="shared" si="3"/>
        <v>121.6216216216216</v>
      </c>
      <c r="V10" s="69"/>
      <c r="W10" s="71"/>
      <c r="X10" s="99">
        <f>SUM(P154:P171)</f>
        <v>0</v>
      </c>
      <c r="AH10" s="70"/>
      <c r="AI10" s="71"/>
    </row>
    <row r="11" spans="1:35" x14ac:dyDescent="0.25">
      <c r="A11" s="63">
        <f>RTD("nest.scriprtd",,"nse_fo|"&amp;$A$173&amp;""&amp;$G$1&amp;""&amp;$C$173&amp;"","High")</f>
        <v>170.89</v>
      </c>
      <c r="B11" s="63">
        <f>RTD("nest.scriprtd",,"nse_fo|"&amp;$A$173&amp;""&amp;$G$1&amp;""&amp;$C$173&amp;"","Low ")</f>
        <v>166.12</v>
      </c>
      <c r="C11" s="63">
        <f>RTD("nest.scriprtd",,"nse_cm|"&amp;$B$173&amp;"","LTP")</f>
        <v>166.25</v>
      </c>
      <c r="D11" s="91">
        <f>RTD("nest.scriprtd",,"nse_fo|"&amp;$A$173&amp;""&amp;$G$1&amp;""&amp;$C$173&amp;"","LTP")</f>
        <v>166.5</v>
      </c>
      <c r="E11" s="63">
        <f>RTD("nest.scriprtd",,"nse_fo|"&amp;$A$173&amp;""&amp;$G$1&amp;""&amp;$C$173&amp;"","% Change")</f>
        <v>-2.56</v>
      </c>
      <c r="F11" s="72"/>
      <c r="G11" s="68"/>
      <c r="J11" s="65" t="s">
        <v>188</v>
      </c>
      <c r="K11" s="73">
        <f>+AA190</f>
        <v>0</v>
      </c>
      <c r="L11" s="93" t="str">
        <f>A173</f>
        <v>MOTHERSON</v>
      </c>
      <c r="M11" s="66" t="e">
        <f>+U190</f>
        <v>#DIV/0!</v>
      </c>
      <c r="N11" s="73">
        <f>+T190</f>
        <v>0</v>
      </c>
      <c r="P11" s="75"/>
      <c r="Q11" s="69"/>
      <c r="R11" s="69">
        <f t="shared" si="2"/>
        <v>6.0060060060060056</v>
      </c>
      <c r="S11" s="69">
        <f>+T174</f>
        <v>10</v>
      </c>
      <c r="T11" s="74">
        <v>5.05</v>
      </c>
      <c r="U11" s="68">
        <f t="shared" si="3"/>
        <v>98.019801980198025</v>
      </c>
      <c r="V11" s="69"/>
      <c r="W11" s="71"/>
      <c r="X11" s="102">
        <f>SUM(P174:P190)</f>
        <v>0</v>
      </c>
      <c r="AH11" s="70"/>
      <c r="AI11" s="71"/>
    </row>
    <row r="12" spans="1:35" x14ac:dyDescent="0.25">
      <c r="A12" s="63">
        <f>RTD("nest.scriprtd",,"nse_fo|"&amp;$A$192&amp;""&amp;$G$1&amp;""&amp;$C$192&amp;"","High")</f>
        <v>2002.6</v>
      </c>
      <c r="B12" s="63">
        <f>RTD("nest.scriprtd",,"nse_fo|"&amp;$A$192&amp;""&amp;$G$1&amp;""&amp;$C$192&amp;"","Low ")</f>
        <v>1950.35</v>
      </c>
      <c r="C12" s="63">
        <f>RTD("nest.scriprtd",,"nse_cm|"&amp;$B$192&amp;"","LTP")</f>
        <v>1979.45</v>
      </c>
      <c r="D12" s="91">
        <f>RTD("nest.scriprtd",,"nse_fo|"&amp;$A$192&amp;""&amp;$G$1&amp;""&amp;$C$192&amp;"","LTP")</f>
        <v>1987.15</v>
      </c>
      <c r="E12" s="63">
        <f>RTD("nest.scriprtd",,"nse_fo|"&amp;$A$192&amp;""&amp;$G$1&amp;""&amp;$C$192&amp;"","% Change")</f>
        <v>1.3</v>
      </c>
      <c r="F12" s="72"/>
      <c r="G12" s="68"/>
      <c r="J12" s="65"/>
      <c r="K12" s="73">
        <f>+AA210</f>
        <v>0</v>
      </c>
      <c r="L12" s="93" t="str">
        <f>A192</f>
        <v>MUTHOOTFIN</v>
      </c>
      <c r="M12" s="66" t="e">
        <f>+U210</f>
        <v>#DIV/0!</v>
      </c>
      <c r="N12" s="73">
        <f>+T210</f>
        <v>0</v>
      </c>
      <c r="O12" s="98"/>
      <c r="P12" s="98"/>
      <c r="Q12" s="69"/>
      <c r="R12" s="69">
        <f t="shared" si="2"/>
        <v>4.8863950884432477</v>
      </c>
      <c r="S12" s="69">
        <f>+T193</f>
        <v>97.1</v>
      </c>
      <c r="T12" s="74">
        <v>37.700000000000003</v>
      </c>
      <c r="U12" s="68">
        <f t="shared" si="3"/>
        <v>157.55968169761269</v>
      </c>
      <c r="V12" s="69"/>
      <c r="W12" s="71"/>
      <c r="X12" s="99">
        <f>SUM(P193:P210)</f>
        <v>0</v>
      </c>
      <c r="AH12" s="70"/>
      <c r="AI12" s="71"/>
    </row>
    <row r="13" spans="1:35" x14ac:dyDescent="0.25">
      <c r="A13" s="63">
        <f>RTD("nest.scriprtd",,"nse_fo|"&amp;$A$212&amp;""&amp;$G$1&amp;""&amp;$C$212&amp;"","High")</f>
        <v>822.3</v>
      </c>
      <c r="B13" s="63">
        <f>RTD("nest.scriprtd",,"nse_fo|"&amp;$A$212&amp;""&amp;$G$1&amp;""&amp;$C$212&amp;"","Low ")</f>
        <v>805.35</v>
      </c>
      <c r="C13" s="63">
        <f>RTD("nest.scriprtd",,"nse_cm|"&amp;$B$212&amp;"","LTP")</f>
        <v>804.75</v>
      </c>
      <c r="D13" s="91">
        <f>RTD("nest.scriprtd",,"nse_fo|"&amp;$A$212&amp;""&amp;$G$1&amp;""&amp;$C$212&amp;"","LTP")</f>
        <v>806.65</v>
      </c>
      <c r="E13" s="63">
        <f>RTD("nest.scriprtd",,"nse_fo|"&amp;$A$212&amp;""&amp;$G$1&amp;""&amp;$C$212&amp;"","% Change")</f>
        <v>-1.58</v>
      </c>
      <c r="G13" s="58"/>
      <c r="J13" s="65" t="s">
        <v>188</v>
      </c>
      <c r="K13" s="73">
        <f>+AA227</f>
        <v>0</v>
      </c>
      <c r="L13" s="93" t="str">
        <f>A212</f>
        <v>TATAMOTORS</v>
      </c>
      <c r="M13" s="73" t="e">
        <f>+U227</f>
        <v>#DIV/0!</v>
      </c>
      <c r="N13" s="73">
        <f>+T227</f>
        <v>0</v>
      </c>
      <c r="Q13" s="69"/>
      <c r="R13" s="69">
        <f t="shared" si="2"/>
        <v>4.7356350337816906</v>
      </c>
      <c r="S13" s="69">
        <f>+T213</f>
        <v>38.200000000000003</v>
      </c>
      <c r="T13" s="74">
        <v>18.350000000000001</v>
      </c>
      <c r="U13" s="68">
        <f t="shared" si="3"/>
        <v>108.17438692098094</v>
      </c>
      <c r="V13" s="69"/>
      <c r="W13" s="71"/>
      <c r="X13" s="102">
        <f>SUM(P213:P227)</f>
        <v>0</v>
      </c>
      <c r="AH13" s="70"/>
      <c r="AI13" s="71"/>
    </row>
    <row r="14" spans="1:35" x14ac:dyDescent="0.25">
      <c r="A14" s="63">
        <f>RTD("nest.scriprtd",,"nse_fo|"&amp;$A$229&amp;""&amp;$G$1&amp;""&amp;$C$229&amp;"","High")</f>
        <v>503.5</v>
      </c>
      <c r="B14" s="63">
        <f>RTD("nest.scriprtd",,"nse_fo|"&amp;$A$229&amp;""&amp;$G$1&amp;""&amp;$C$229&amp;"","Low ")</f>
        <v>489.15</v>
      </c>
      <c r="C14" s="63">
        <f>RTD("nest.scriprtd",,"nse_cm|"&amp;$B$229&amp;"","LTP")</f>
        <v>489.9</v>
      </c>
      <c r="D14" s="91">
        <f>RTD("nest.scriprtd",,"nse_fo|"&amp;$A$229&amp;""&amp;$G$1&amp;""&amp;$C$229&amp;"","LTP")</f>
        <v>490.45</v>
      </c>
      <c r="E14" s="63">
        <f>RTD("nest.scriprtd",,"nse_fo|"&amp;$A$229&amp;""&amp;$G$1&amp;""&amp;$C$229&amp;"","% Change")</f>
        <v>-2.4900000000000002</v>
      </c>
      <c r="G14" s="58"/>
      <c r="J14" s="65"/>
      <c r="K14" s="73">
        <f>+AA248</f>
        <v>0</v>
      </c>
      <c r="L14" s="93" t="str">
        <f>A229</f>
        <v>VEDL</v>
      </c>
      <c r="M14" s="73" t="e">
        <f>+U248</f>
        <v>#DIV/0!</v>
      </c>
      <c r="N14" s="73">
        <f>+T248</f>
        <v>0</v>
      </c>
      <c r="Q14" s="69"/>
      <c r="R14" s="69">
        <f t="shared" si="2"/>
        <v>5.2298909165052505</v>
      </c>
      <c r="S14" s="69">
        <f>+T230</f>
        <v>25.65</v>
      </c>
      <c r="T14" s="74">
        <v>12.5</v>
      </c>
      <c r="U14" s="68">
        <f t="shared" si="3"/>
        <v>105.19999999999999</v>
      </c>
      <c r="V14" s="69"/>
      <c r="W14" s="71"/>
      <c r="X14" s="99">
        <f>SUM(P230:P248)</f>
        <v>0</v>
      </c>
      <c r="AH14" s="70"/>
      <c r="AI14" s="71"/>
    </row>
    <row r="15" spans="1:35" hidden="1" x14ac:dyDescent="0.25">
      <c r="A15" s="63">
        <f>RTD("nest.scriprtd",,"nse_fo|"&amp;$A$251&amp;""&amp;$G$1&amp;""&amp;$C$229&amp;"","High")</f>
        <v>562.65</v>
      </c>
      <c r="B15" s="63">
        <f>RTD("nest.scriprtd",,"nse_fo|"&amp;$A$251&amp;""&amp;$G$1&amp;""&amp;$C$229&amp;"","Low ")</f>
        <v>551.54999999999995</v>
      </c>
      <c r="C15" s="63">
        <f>RTD("nest.scriprtd",,"nse_cm|"&amp;$B$251&amp;"","LTP")</f>
        <v>557.95000000000005</v>
      </c>
      <c r="D15" s="91">
        <f>RTD("nest.scriprtd",,"nse_fo|"&amp;$A$251&amp;""&amp;$G$1&amp;""&amp;$C$229&amp;"","LTP")</f>
        <v>558.04999999999995</v>
      </c>
      <c r="E15" s="63">
        <f>RTD("nest.scriprtd",,"nse_fo|"&amp;$A$251&amp;""&amp;$G$1&amp;""&amp;$C$229&amp;"","% Change")</f>
        <v>-0.99</v>
      </c>
      <c r="G15" s="58"/>
      <c r="J15" s="65"/>
      <c r="K15" s="73" t="e">
        <f>+AA269</f>
        <v>#N/A</v>
      </c>
      <c r="L15" s="93" t="str">
        <f>+A251</f>
        <v>UPL</v>
      </c>
      <c r="M15" s="73">
        <v>0</v>
      </c>
      <c r="N15" s="73" t="e">
        <f>+T269</f>
        <v>#N/A</v>
      </c>
      <c r="Q15" s="69"/>
      <c r="R15" s="69">
        <f t="shared" ref="R15" si="4">S15/D15*100</f>
        <v>4.551563479974913</v>
      </c>
      <c r="S15" s="69">
        <f>+T252</f>
        <v>25.4</v>
      </c>
      <c r="T15" s="74">
        <v>19.95</v>
      </c>
      <c r="U15" s="68">
        <f t="shared" ref="U15" si="5">(S15-T15)/T15*100</f>
        <v>27.318295739348368</v>
      </c>
      <c r="V15" s="69"/>
      <c r="W15" s="71"/>
      <c r="X15" s="99">
        <f>SUM(P251:P269)</f>
        <v>0</v>
      </c>
      <c r="AH15" s="70"/>
      <c r="AI15" s="71"/>
    </row>
    <row r="16" spans="1:35" x14ac:dyDescent="0.25">
      <c r="A16" s="63"/>
      <c r="B16" s="63"/>
      <c r="C16" s="63"/>
      <c r="D16" s="91"/>
      <c r="E16" s="63"/>
      <c r="G16" s="58"/>
      <c r="J16" s="65"/>
      <c r="K16" s="81"/>
      <c r="L16" s="96"/>
      <c r="M16" s="81"/>
      <c r="N16" s="81"/>
      <c r="Q16" s="69"/>
      <c r="R16" s="69"/>
      <c r="S16" s="69"/>
      <c r="T16" s="74"/>
      <c r="U16" s="68"/>
      <c r="V16" s="69"/>
      <c r="W16" s="71"/>
      <c r="X16" s="75"/>
      <c r="AH16" s="70"/>
      <c r="AI16" s="71"/>
    </row>
    <row r="17" spans="1:26" s="55" customFormat="1" ht="14.25" customHeight="1" x14ac:dyDescent="0.25">
      <c r="A17" s="55" t="s">
        <v>0</v>
      </c>
      <c r="B17" s="55" t="s">
        <v>1</v>
      </c>
      <c r="C17" s="55" t="s">
        <v>2</v>
      </c>
      <c r="D17" s="55" t="s">
        <v>3</v>
      </c>
      <c r="E17" s="55" t="s">
        <v>4</v>
      </c>
      <c r="F17" s="55" t="s">
        <v>5</v>
      </c>
      <c r="G17" s="76" t="s">
        <v>6</v>
      </c>
      <c r="H17" s="77" t="s">
        <v>8</v>
      </c>
      <c r="I17" s="55" t="s">
        <v>9</v>
      </c>
      <c r="J17" s="55" t="s">
        <v>7</v>
      </c>
      <c r="K17" s="55" t="s">
        <v>10</v>
      </c>
      <c r="L17" s="56" t="s">
        <v>11</v>
      </c>
      <c r="M17" s="74" t="s">
        <v>12</v>
      </c>
      <c r="O17" s="55" t="s">
        <v>122</v>
      </c>
      <c r="P17" s="55" t="s">
        <v>123</v>
      </c>
      <c r="Q17" s="55" t="s">
        <v>124</v>
      </c>
      <c r="R17" s="55" t="s">
        <v>125</v>
      </c>
      <c r="U17" s="56"/>
      <c r="Z17" s="55" t="s">
        <v>114</v>
      </c>
    </row>
    <row r="18" spans="1:26" ht="15" x14ac:dyDescent="0.25">
      <c r="A18" s="58" t="s">
        <v>19</v>
      </c>
      <c r="B18" s="58" t="str">
        <f>$A$18&amp;"-EQ"</f>
        <v>ABB-EQ</v>
      </c>
      <c r="C18" s="58" t="s">
        <v>168</v>
      </c>
      <c r="D18" s="63">
        <v>100</v>
      </c>
      <c r="E18" s="57">
        <v>125</v>
      </c>
      <c r="F18" s="63"/>
      <c r="G18" s="85"/>
      <c r="K18" s="63"/>
      <c r="L18" s="63"/>
      <c r="M18" s="63"/>
    </row>
    <row r="19" spans="1:26" ht="15" x14ac:dyDescent="0.25">
      <c r="A19" s="63" t="str">
        <f>RTD("nest.scriprtd",,"nse_fo|"&amp;$A$18&amp;""&amp;$G$1&amp;""&amp;C18&amp;"","Symbol")</f>
        <v>ABB</v>
      </c>
      <c r="B19" s="63" t="str">
        <f>RTD("nest.scriprtd",,"nse_fo|"&amp;$A$18&amp;""&amp;$G$1&amp;""&amp;C18&amp;"","Series/Expiry")</f>
        <v>26Dec2024</v>
      </c>
      <c r="C19" s="63">
        <f>RTD("nest.scriprtd",,"nse_fo|"&amp;$A$18&amp;""&amp;$G$1&amp;""&amp;C18&amp;"","Bid Qty")</f>
        <v>125</v>
      </c>
      <c r="D19" s="63">
        <f>RTD("nest.scriprtd",,"nse_fo|"&amp;$A$18&amp;""&amp;$G$1&amp;""&amp;C18&amp;"","Bid Rate")</f>
        <v>7618.05</v>
      </c>
      <c r="E19" s="63">
        <f>RTD("nest.scriprtd",,"nse_fo|"&amp;$A$18&amp;""&amp;$G$1&amp;""&amp;C18&amp;"","Ask Rate")</f>
        <v>7623.7</v>
      </c>
      <c r="F19" s="63">
        <f>RTD("nest.scriprtd",,"nse_fo|"&amp;$A$18&amp;""&amp;$G$1&amp;""&amp;C18&amp;"","Ask Qty")</f>
        <v>125</v>
      </c>
      <c r="G19" s="84">
        <f>RTD("nest.scriprtd",,"nse_fo|"&amp;$A$18&amp;""&amp;$G$1&amp;""&amp;C18&amp;"","LTP")</f>
        <v>7613.65</v>
      </c>
      <c r="H19" s="63">
        <f>RTD("nest.scriprtd",,"nse_fo|"&amp;$A$18&amp;""&amp;$G$1&amp;""&amp;C18&amp;"","ATP")</f>
        <v>7621.45</v>
      </c>
      <c r="I19" s="63">
        <f>RTD("nest.scriprtd",,"nse_fo|"&amp;$A$18&amp;""&amp;$G$1&amp;""&amp;C18&amp;"","Volume Traded Today")</f>
        <v>163875</v>
      </c>
      <c r="J19" s="63">
        <f>RTD("nest.scriprtd",,"nse_fo|"&amp;$A$18&amp;""&amp;$G$1&amp;""&amp;C18&amp;"","% Change")</f>
        <v>0.56999999999999995</v>
      </c>
      <c r="K19" s="63">
        <f>RTD("nest.scriprtd",,"nse_fo|"&amp;$A$18&amp;""&amp;$G$1&amp;""&amp;C18&amp;"","Net Change")</f>
        <v>43.3</v>
      </c>
      <c r="L19" s="63">
        <f>RTD("nest.scriprtd",,"nse_fo|"&amp;$A$18&amp;""&amp;$G$1&amp;""&amp;C18&amp;"","Strike Price")</f>
        <v>0</v>
      </c>
      <c r="M19" s="63"/>
      <c r="N19" s="58">
        <f>MIN($S$19,G19)</f>
        <v>362.95</v>
      </c>
      <c r="O19" s="58">
        <v>0</v>
      </c>
      <c r="Q19" s="58">
        <f t="shared" ref="Q19:Q36" si="6">+P19+O19</f>
        <v>0</v>
      </c>
      <c r="R19" s="58">
        <f t="shared" ref="R19:R36" si="7">+Q19*N19</f>
        <v>0</v>
      </c>
      <c r="S19" s="58">
        <f>+$Q$2*T19</f>
        <v>362.95</v>
      </c>
      <c r="T19" s="80">
        <f>+FACTOR!G4</f>
        <v>362.95</v>
      </c>
      <c r="Z19" s="58">
        <f t="shared" ref="Z19:Z36" si="8">+O19*K19</f>
        <v>0</v>
      </c>
    </row>
    <row r="20" spans="1:26" ht="15" x14ac:dyDescent="0.25">
      <c r="A20" s="63" t="str">
        <f>RTD("nest.scriprtd",,"nse_cm|"&amp;B18&amp;"","Symbol")</f>
        <v>ABB</v>
      </c>
      <c r="B20" s="63" t="str">
        <f>RTD("nest.scriprtd",,"nse_cm|"&amp;B18&amp;"","Series/Expiry")</f>
        <v>EQ</v>
      </c>
      <c r="C20" s="63">
        <f>RTD("nest.scriprtd",,"nse_cm|"&amp;B18&amp;"","Bid Qty")</f>
        <v>4</v>
      </c>
      <c r="D20" s="63">
        <f>RTD("nest.scriprtd",,"nse_cm|"&amp;B18&amp;"","Bid Rate")</f>
        <v>7584.55</v>
      </c>
      <c r="E20" s="63">
        <f>RTD("nest.scriprtd",,"nse_cm|"&amp;B18&amp;"","Ask Rate")</f>
        <v>7585</v>
      </c>
      <c r="F20" s="63">
        <f>RTD("nest.scriprtd",,"nse_cm|"&amp;B18&amp;"","Ask Qty")</f>
        <v>17</v>
      </c>
      <c r="G20" s="84">
        <f>RTD("nest.scriprtd",,"nse_cm|"&amp;B18&amp;"","LTP")</f>
        <v>7585</v>
      </c>
      <c r="H20" s="63">
        <f>RTD("nest.scriprtd",,"nse_cm|"&amp;B18&amp;"","ATP")</f>
        <v>7589.08</v>
      </c>
      <c r="I20" s="63">
        <f>RTD("nest.scriprtd",,"nse_cm|"&amp;B18&amp;"","Volume Traded Today")</f>
        <v>123162</v>
      </c>
      <c r="J20" s="63">
        <f>RTD("nest.scriprtd",,"nse_cm|"&amp;B18&amp;"","% Change")</f>
        <v>0.43</v>
      </c>
      <c r="K20" s="63">
        <f>RTD("nest.scriprtd",,"nse_cm|"&amp;B18&amp;"","Net Change")</f>
        <v>32.6</v>
      </c>
      <c r="L20" s="63">
        <f>RTD("nest.scriprtd",,"nse_cm|"&amp;B18&amp;"","Strike Price")</f>
        <v>0</v>
      </c>
      <c r="M20" s="63"/>
      <c r="N20" s="58">
        <f t="shared" ref="N20:N36" si="9">MIN($S$19,G20)</f>
        <v>362.95</v>
      </c>
      <c r="O20" s="58">
        <v>0</v>
      </c>
      <c r="Q20" s="58">
        <f t="shared" si="6"/>
        <v>0</v>
      </c>
      <c r="R20" s="58">
        <f t="shared" si="7"/>
        <v>0</v>
      </c>
      <c r="Z20" s="58">
        <f t="shared" si="8"/>
        <v>0</v>
      </c>
    </row>
    <row r="21" spans="1:26" ht="15" x14ac:dyDescent="0.25">
      <c r="A21" s="63" t="str">
        <f>RTD("nest.scriprtd",,"nse_fo|"&amp;$A$18&amp;""&amp;$G$1&amp;""&amp;L21&amp;"CE","Symbol")</f>
        <v>ABB</v>
      </c>
      <c r="B21" s="63" t="str">
        <f>RTD("nest.scriprtd",,"nse_fo|"&amp;$A$18&amp;""&amp;$G$1&amp;""&amp;L21&amp;"CE","Series/Expiry")</f>
        <v>26Dec2024</v>
      </c>
      <c r="C21" s="63">
        <f>RTD("nest.scriprtd",,"nse_fo|"&amp;$A$18&amp;""&amp;$G$1&amp;""&amp;L21&amp;"CE","Bid Qty")</f>
        <v>0</v>
      </c>
      <c r="D21" s="63">
        <f>RTD("nest.scriprtd",,"nse_fo|"&amp;$A$18&amp;""&amp;$G$1&amp;""&amp;L21&amp;"CE","Bid Rate")</f>
        <v>0</v>
      </c>
      <c r="E21" s="63">
        <f>RTD("nest.scriprtd",,"nse_fo|"&amp;$A$18&amp;""&amp;$G$1&amp;""&amp;L21&amp;"CE","Ask Rate")</f>
        <v>0</v>
      </c>
      <c r="F21" s="63">
        <f>RTD("nest.scriprtd",,"nse_fo|"&amp;$A$18&amp;""&amp;$G$1&amp;""&amp;L21&amp;"CE","Ask Qty")</f>
        <v>0</v>
      </c>
      <c r="G21" s="84">
        <f>RTD("nest.scriprtd",,"nse_fo|"&amp;$A$18&amp;""&amp;$G$1&amp;""&amp;L21&amp;"CE","LTP")</f>
        <v>1127.6500000000001</v>
      </c>
      <c r="H21" s="63">
        <f>RTD("nest.scriprtd",,"nse_fo|"&amp;$A$18&amp;""&amp;$G$1&amp;""&amp;L21&amp;"CE","ATP")</f>
        <v>0</v>
      </c>
      <c r="I21" s="63">
        <f>RTD("nest.scriprtd",,"nse_fo|"&amp;$A$18&amp;""&amp;$G$1&amp;""&amp;L21&amp;"CE","Volume Traded Today")</f>
        <v>0</v>
      </c>
      <c r="J21" s="63">
        <f>RTD("nest.scriprtd",,"nse_fo|"&amp;$A$18&amp;""&amp;$G$1&amp;""&amp;L21&amp;"CE","% Change")</f>
        <v>0</v>
      </c>
      <c r="K21" s="63">
        <f>RTD("nest.scriprtd",,"nse_fo|"&amp;$A$18&amp;""&amp;$G$1&amp;""&amp;L21&amp;"CE","Net Change")</f>
        <v>0</v>
      </c>
      <c r="L21" s="63">
        <v>6500</v>
      </c>
      <c r="M21" s="82" t="str">
        <f>RTD("nest.scriprtd",,"nse_fo|"&amp;$A$18&amp;""&amp;$G$1&amp;""&amp;L21&amp;"CE","Option Type")</f>
        <v>CE</v>
      </c>
      <c r="N21" s="58">
        <f t="shared" si="9"/>
        <v>362.95</v>
      </c>
      <c r="O21" s="58">
        <v>0</v>
      </c>
      <c r="Q21" s="58">
        <f t="shared" si="6"/>
        <v>0</v>
      </c>
      <c r="R21" s="58">
        <f t="shared" si="7"/>
        <v>0</v>
      </c>
      <c r="U21" s="58"/>
      <c r="Z21" s="58">
        <f t="shared" si="8"/>
        <v>0</v>
      </c>
    </row>
    <row r="22" spans="1:26" ht="15" x14ac:dyDescent="0.25">
      <c r="A22" s="63" t="str">
        <f>RTD("nest.scriprtd",,"nse_fo|"&amp;$A$18&amp;""&amp;$G$1&amp;""&amp;L22&amp;"CE","Symbol")</f>
        <v>ABB</v>
      </c>
      <c r="B22" s="63" t="str">
        <f>RTD("nest.scriprtd",,"nse_fo|"&amp;$A$18&amp;""&amp;$G$1&amp;""&amp;L22&amp;"CE","Series/Expiry")</f>
        <v>26Dec2024</v>
      </c>
      <c r="C22" s="63">
        <f>RTD("nest.scriprtd",,"nse_fo|"&amp;$A$18&amp;""&amp;$G$1&amp;""&amp;L22&amp;"CE","Bid Qty")</f>
        <v>375</v>
      </c>
      <c r="D22" s="63">
        <f>RTD("nest.scriprtd",,"nse_fo|"&amp;$A$18&amp;""&amp;$G$1&amp;""&amp;L22&amp;"CE","Bid Rate")</f>
        <v>984.1</v>
      </c>
      <c r="E22" s="63">
        <f>RTD("nest.scriprtd",,"nse_fo|"&amp;$A$18&amp;""&amp;$G$1&amp;""&amp;L22&amp;"CE","Ask Rate")</f>
        <v>1056.5999999999999</v>
      </c>
      <c r="F22" s="63">
        <f>RTD("nest.scriprtd",,"nse_fo|"&amp;$A$18&amp;""&amp;$G$1&amp;""&amp;L22&amp;"CE","Ask Qty")</f>
        <v>375</v>
      </c>
      <c r="G22" s="84">
        <f>RTD("nest.scriprtd",,"nse_fo|"&amp;$A$18&amp;""&amp;$G$1&amp;""&amp;L22&amp;"CE","LTP")</f>
        <v>455</v>
      </c>
      <c r="H22" s="63">
        <f>RTD("nest.scriprtd",,"nse_fo|"&amp;$A$18&amp;""&amp;$G$1&amp;""&amp;L22&amp;"CE","ATP")</f>
        <v>0</v>
      </c>
      <c r="I22" s="63">
        <f>RTD("nest.scriprtd",,"nse_fo|"&amp;$A$18&amp;""&amp;$G$1&amp;""&amp;L22&amp;"CE","Volume Traded Today")</f>
        <v>0</v>
      </c>
      <c r="J22" s="63">
        <f>RTD("nest.scriprtd",,"nse_fo|"&amp;$A$18&amp;""&amp;$G$1&amp;""&amp;L22&amp;"CE","% Change")</f>
        <v>0</v>
      </c>
      <c r="K22" s="63">
        <f>RTD("nest.scriprtd",,"nse_fo|"&amp;$A$18&amp;""&amp;$G$1&amp;""&amp;L22&amp;"CE","Net Change")</f>
        <v>0</v>
      </c>
      <c r="L22" s="63">
        <f>+L21+$D$18</f>
        <v>6600</v>
      </c>
      <c r="M22" s="63" t="str">
        <f>RTD("nest.scriprtd",,"nse_fo|"&amp;$A$18&amp;""&amp;$G$1&amp;""&amp;L22&amp;"CE","Option Type")</f>
        <v>CE</v>
      </c>
      <c r="N22" s="58">
        <f t="shared" si="9"/>
        <v>362.95</v>
      </c>
      <c r="O22" s="58">
        <v>0</v>
      </c>
      <c r="Q22" s="58">
        <f t="shared" si="6"/>
        <v>0</v>
      </c>
      <c r="R22" s="58">
        <f t="shared" si="7"/>
        <v>0</v>
      </c>
      <c r="U22" s="58"/>
      <c r="Z22" s="58">
        <f t="shared" si="8"/>
        <v>0</v>
      </c>
    </row>
    <row r="23" spans="1:26" ht="15" x14ac:dyDescent="0.25">
      <c r="A23" s="63" t="str">
        <f>RTD("nest.scriprtd",,"nse_fo|"&amp;$A$18&amp;""&amp;$G$1&amp;""&amp;L23&amp;"CE","Symbol")</f>
        <v>ABB</v>
      </c>
      <c r="B23" s="63" t="str">
        <f>RTD("nest.scriprtd",,"nse_fo|"&amp;$A$18&amp;""&amp;$G$1&amp;""&amp;L23&amp;"CE","Series/Expiry")</f>
        <v>26Dec2024</v>
      </c>
      <c r="C23" s="63">
        <f>RTD("nest.scriprtd",,"nse_fo|"&amp;$A$18&amp;""&amp;$G$1&amp;""&amp;L23&amp;"CE","Bid Qty")</f>
        <v>125</v>
      </c>
      <c r="D23" s="63">
        <f>RTD("nest.scriprtd",,"nse_fo|"&amp;$A$18&amp;""&amp;$G$1&amp;""&amp;L23&amp;"CE","Bid Rate")</f>
        <v>898.7</v>
      </c>
      <c r="E23" s="63">
        <f>RTD("nest.scriprtd",,"nse_fo|"&amp;$A$18&amp;""&amp;$G$1&amp;""&amp;L23&amp;"CE","Ask Rate")</f>
        <v>962.85</v>
      </c>
      <c r="F23" s="63">
        <f>RTD("nest.scriprtd",,"nse_fo|"&amp;$A$18&amp;""&amp;$G$1&amp;""&amp;L23&amp;"CE","Ask Qty")</f>
        <v>375</v>
      </c>
      <c r="G23" s="84">
        <f>RTD("nest.scriprtd",,"nse_fo|"&amp;$A$18&amp;""&amp;$G$1&amp;""&amp;L23&amp;"CE","LTP")</f>
        <v>920</v>
      </c>
      <c r="H23" s="63">
        <f>RTD("nest.scriprtd",,"nse_fo|"&amp;$A$18&amp;""&amp;$G$1&amp;""&amp;L23&amp;"CE","ATP")</f>
        <v>920</v>
      </c>
      <c r="I23" s="63">
        <f>RTD("nest.scriprtd",,"nse_fo|"&amp;$A$18&amp;""&amp;$G$1&amp;""&amp;L23&amp;"CE","Volume Traded Today")</f>
        <v>125</v>
      </c>
      <c r="J23" s="63">
        <f>RTD("nest.scriprtd",,"nse_fo|"&amp;$A$18&amp;""&amp;$G$1&amp;""&amp;L23&amp;"CE","% Change")</f>
        <v>19.64</v>
      </c>
      <c r="K23" s="63">
        <f>RTD("nest.scriprtd",,"nse_fo|"&amp;$A$18&amp;""&amp;$G$1&amp;""&amp;L23&amp;"CE","Net Change")</f>
        <v>151.05000000000001</v>
      </c>
      <c r="L23" s="63">
        <f t="shared" ref="L23:L31" si="10">+L22+$D$18</f>
        <v>6700</v>
      </c>
      <c r="M23" s="63" t="str">
        <f>RTD("nest.scriprtd",,"nse_fo|"&amp;$A$18&amp;""&amp;$G$1&amp;""&amp;L23&amp;"CE","Option Type")</f>
        <v>CE</v>
      </c>
      <c r="N23" s="58">
        <f t="shared" si="9"/>
        <v>362.95</v>
      </c>
      <c r="O23" s="58">
        <v>0</v>
      </c>
      <c r="Q23" s="58">
        <f t="shared" si="6"/>
        <v>0</v>
      </c>
      <c r="R23" s="58">
        <f t="shared" si="7"/>
        <v>0</v>
      </c>
      <c r="U23" s="58"/>
      <c r="Z23" s="58">
        <f t="shared" si="8"/>
        <v>0</v>
      </c>
    </row>
    <row r="24" spans="1:26" ht="15" x14ac:dyDescent="0.25">
      <c r="A24" s="63" t="str">
        <f>RTD("nest.scriprtd",,"nse_fo|"&amp;$A$18&amp;""&amp;$G$1&amp;""&amp;L24&amp;"CE","Symbol")</f>
        <v>ABB</v>
      </c>
      <c r="B24" s="63" t="str">
        <f>RTD("nest.scriprtd",,"nse_fo|"&amp;$A$18&amp;""&amp;$G$1&amp;""&amp;L24&amp;"CE","Series/Expiry")</f>
        <v>26Dec2024</v>
      </c>
      <c r="C24" s="63">
        <f>RTD("nest.scriprtd",,"nse_fo|"&amp;$A$18&amp;""&amp;$G$1&amp;""&amp;L24&amp;"CE","Bid Qty")</f>
        <v>125</v>
      </c>
      <c r="D24" s="63">
        <f>RTD("nest.scriprtd",,"nse_fo|"&amp;$A$18&amp;""&amp;$G$1&amp;""&amp;L24&amp;"CE","Bid Rate")</f>
        <v>813.45</v>
      </c>
      <c r="E24" s="63">
        <f>RTD("nest.scriprtd",,"nse_fo|"&amp;$A$18&amp;""&amp;$G$1&amp;""&amp;L24&amp;"CE","Ask Rate")</f>
        <v>865.75</v>
      </c>
      <c r="F24" s="63">
        <f>RTD("nest.scriprtd",,"nse_fo|"&amp;$A$18&amp;""&amp;$G$1&amp;""&amp;L24&amp;"CE","Ask Qty")</f>
        <v>375</v>
      </c>
      <c r="G24" s="84">
        <f>RTD("nest.scriprtd",,"nse_fo|"&amp;$A$18&amp;""&amp;$G$1&amp;""&amp;L24&amp;"CE","LTP")</f>
        <v>765.1</v>
      </c>
      <c r="H24" s="63">
        <f>RTD("nest.scriprtd",,"nse_fo|"&amp;$A$18&amp;""&amp;$G$1&amp;""&amp;L24&amp;"CE","ATP")</f>
        <v>0</v>
      </c>
      <c r="I24" s="63">
        <f>RTD("nest.scriprtd",,"nse_fo|"&amp;$A$18&amp;""&amp;$G$1&amp;""&amp;L24&amp;"CE","Volume Traded Today")</f>
        <v>0</v>
      </c>
      <c r="J24" s="63">
        <f>RTD("nest.scriprtd",,"nse_fo|"&amp;$A$18&amp;""&amp;$G$1&amp;""&amp;L24&amp;"CE","% Change")</f>
        <v>0</v>
      </c>
      <c r="K24" s="63">
        <f>RTD("nest.scriprtd",,"nse_fo|"&amp;$A$18&amp;""&amp;$G$1&amp;""&amp;L24&amp;"CE","Net Change")</f>
        <v>0</v>
      </c>
      <c r="L24" s="63">
        <f t="shared" si="10"/>
        <v>6800</v>
      </c>
      <c r="M24" s="63" t="str">
        <f>RTD("nest.scriprtd",,"nse_fo|"&amp;$A$18&amp;""&amp;$G$1&amp;""&amp;L24&amp;"CE","Option Type")</f>
        <v>CE</v>
      </c>
      <c r="N24" s="58">
        <f t="shared" si="9"/>
        <v>362.95</v>
      </c>
      <c r="O24" s="58">
        <v>0</v>
      </c>
      <c r="Q24" s="58">
        <f t="shared" si="6"/>
        <v>0</v>
      </c>
      <c r="R24" s="58">
        <f t="shared" si="7"/>
        <v>0</v>
      </c>
      <c r="U24" s="58"/>
      <c r="Z24" s="58">
        <f t="shared" si="8"/>
        <v>0</v>
      </c>
    </row>
    <row r="25" spans="1:26" ht="15" x14ac:dyDescent="0.25">
      <c r="A25" s="63" t="str">
        <f>RTD("nest.scriprtd",,"nse_fo|"&amp;$A$18&amp;""&amp;$G$1&amp;""&amp;L25&amp;"CE","Symbol")</f>
        <v>ABB</v>
      </c>
      <c r="B25" s="63" t="str">
        <f>RTD("nest.scriprtd",,"nse_fo|"&amp;$A$18&amp;""&amp;$G$1&amp;""&amp;L25&amp;"CE","Series/Expiry")</f>
        <v>26Dec2024</v>
      </c>
      <c r="C25" s="63">
        <f>RTD("nest.scriprtd",,"nse_fo|"&amp;$A$18&amp;""&amp;$G$1&amp;""&amp;L25&amp;"CE","Bid Qty")</f>
        <v>375</v>
      </c>
      <c r="D25" s="63">
        <f>RTD("nest.scriprtd",,"nse_fo|"&amp;$A$18&amp;""&amp;$G$1&amp;""&amp;L25&amp;"CE","Bid Rate")</f>
        <v>706.3</v>
      </c>
      <c r="E25" s="63">
        <f>RTD("nest.scriprtd",,"nse_fo|"&amp;$A$18&amp;""&amp;$G$1&amp;""&amp;L25&amp;"CE","Ask Rate")</f>
        <v>774</v>
      </c>
      <c r="F25" s="63">
        <f>RTD("nest.scriprtd",,"nse_fo|"&amp;$A$18&amp;""&amp;$G$1&amp;""&amp;L25&amp;"CE","Ask Qty")</f>
        <v>125</v>
      </c>
      <c r="G25" s="84">
        <f>RTD("nest.scriprtd",,"nse_fo|"&amp;$A$18&amp;""&amp;$G$1&amp;""&amp;L25&amp;"CE","LTP")</f>
        <v>635.45000000000005</v>
      </c>
      <c r="H25" s="63">
        <f>RTD("nest.scriprtd",,"nse_fo|"&amp;$A$18&amp;""&amp;$G$1&amp;""&amp;L25&amp;"CE","ATP")</f>
        <v>0</v>
      </c>
      <c r="I25" s="63">
        <f>RTD("nest.scriprtd",,"nse_fo|"&amp;$A$18&amp;""&amp;$G$1&amp;""&amp;L25&amp;"CE","Volume Traded Today")</f>
        <v>0</v>
      </c>
      <c r="J25" s="63">
        <f>RTD("nest.scriprtd",,"nse_fo|"&amp;$A$18&amp;""&amp;$G$1&amp;""&amp;L25&amp;"CE","% Change")</f>
        <v>0</v>
      </c>
      <c r="K25" s="63">
        <f>RTD("nest.scriprtd",,"nse_fo|"&amp;$A$18&amp;""&amp;$G$1&amp;""&amp;L25&amp;"CE","Net Change")</f>
        <v>0</v>
      </c>
      <c r="L25" s="63">
        <f t="shared" si="10"/>
        <v>6900</v>
      </c>
      <c r="M25" s="63" t="str">
        <f>RTD("nest.scriprtd",,"nse_fo|"&amp;$A$18&amp;""&amp;$G$1&amp;""&amp;L25&amp;"CE","Option Type")</f>
        <v>CE</v>
      </c>
      <c r="N25" s="58">
        <f t="shared" si="9"/>
        <v>362.95</v>
      </c>
      <c r="O25" s="58">
        <v>0</v>
      </c>
      <c r="Q25" s="58">
        <f t="shared" si="6"/>
        <v>0</v>
      </c>
      <c r="R25" s="58">
        <f t="shared" si="7"/>
        <v>0</v>
      </c>
      <c r="U25" s="58"/>
      <c r="Z25" s="58">
        <f t="shared" si="8"/>
        <v>0</v>
      </c>
    </row>
    <row r="26" spans="1:26" ht="15" x14ac:dyDescent="0.25">
      <c r="A26" s="63" t="str">
        <f>RTD("nest.scriprtd",,"nse_fo|"&amp;$A$18&amp;""&amp;$G$1&amp;""&amp;L26&amp;"CE","Symbol")</f>
        <v>ABB</v>
      </c>
      <c r="B26" s="63" t="str">
        <f>RTD("nest.scriprtd",,"nse_fo|"&amp;$A$18&amp;""&amp;$G$1&amp;""&amp;L26&amp;"CE","Series/Expiry")</f>
        <v>26Dec2024</v>
      </c>
      <c r="C26" s="63">
        <f>RTD("nest.scriprtd",,"nse_fo|"&amp;$A$18&amp;""&amp;$G$1&amp;""&amp;L26&amp;"CE","Bid Qty")</f>
        <v>250</v>
      </c>
      <c r="D26" s="63">
        <f>RTD("nest.scriprtd",,"nse_fo|"&amp;$A$18&amp;""&amp;$G$1&amp;""&amp;L26&amp;"CE","Bid Rate")</f>
        <v>618.85</v>
      </c>
      <c r="E26" s="63">
        <f>RTD("nest.scriprtd",,"nse_fo|"&amp;$A$18&amp;""&amp;$G$1&amp;""&amp;L26&amp;"CE","Ask Rate")</f>
        <v>677.45</v>
      </c>
      <c r="F26" s="63">
        <f>RTD("nest.scriprtd",,"nse_fo|"&amp;$A$18&amp;""&amp;$G$1&amp;""&amp;L26&amp;"CE","Ask Qty")</f>
        <v>375</v>
      </c>
      <c r="G26" s="84">
        <f>RTD("nest.scriprtd",,"nse_fo|"&amp;$A$18&amp;""&amp;$G$1&amp;""&amp;L26&amp;"CE","LTP")</f>
        <v>604.6</v>
      </c>
      <c r="H26" s="63">
        <f>RTD("nest.scriprtd",,"nse_fo|"&amp;$A$18&amp;""&amp;$G$1&amp;""&amp;L26&amp;"CE","ATP")</f>
        <v>0</v>
      </c>
      <c r="I26" s="63">
        <f>RTD("nest.scriprtd",,"nse_fo|"&amp;$A$18&amp;""&amp;$G$1&amp;""&amp;L26&amp;"CE","Volume Traded Today")</f>
        <v>0</v>
      </c>
      <c r="J26" s="63">
        <f>RTD("nest.scriprtd",,"nse_fo|"&amp;$A$18&amp;""&amp;$G$1&amp;""&amp;L26&amp;"CE","% Change")</f>
        <v>0</v>
      </c>
      <c r="K26" s="63">
        <f>RTD("nest.scriprtd",,"nse_fo|"&amp;$A$18&amp;""&amp;$G$1&amp;""&amp;L26&amp;"CE","Net Change")</f>
        <v>0</v>
      </c>
      <c r="L26" s="63">
        <f t="shared" si="10"/>
        <v>7000</v>
      </c>
      <c r="M26" s="63" t="str">
        <f>RTD("nest.scriprtd",,"nse_fo|"&amp;$A$18&amp;""&amp;$G$1&amp;""&amp;L26&amp;"CE","Option Type")</f>
        <v>CE</v>
      </c>
      <c r="N26" s="58">
        <f t="shared" si="9"/>
        <v>362.95</v>
      </c>
      <c r="O26" s="58">
        <v>0</v>
      </c>
      <c r="Q26" s="58">
        <f t="shared" si="6"/>
        <v>0</v>
      </c>
      <c r="R26" s="58">
        <f t="shared" si="7"/>
        <v>0</v>
      </c>
      <c r="U26" s="58"/>
      <c r="Z26" s="58">
        <f t="shared" si="8"/>
        <v>0</v>
      </c>
    </row>
    <row r="27" spans="1:26" ht="15" x14ac:dyDescent="0.25">
      <c r="A27" s="63" t="str">
        <f>RTD("nest.scriprtd",,"nse_fo|"&amp;$A$18&amp;""&amp;$G$1&amp;""&amp;L27&amp;"CE","Symbol")</f>
        <v>ABB</v>
      </c>
      <c r="B27" s="63" t="str">
        <f>RTD("nest.scriprtd",,"nse_fo|"&amp;$A$18&amp;""&amp;$G$1&amp;""&amp;L27&amp;"CE","Series/Expiry")</f>
        <v>26Dec2024</v>
      </c>
      <c r="C27" s="63">
        <f>RTD("nest.scriprtd",,"nse_fo|"&amp;$A$18&amp;""&amp;$G$1&amp;""&amp;L27&amp;"CE","Bid Qty")</f>
        <v>250</v>
      </c>
      <c r="D27" s="63">
        <f>RTD("nest.scriprtd",,"nse_fo|"&amp;$A$18&amp;""&amp;$G$1&amp;""&amp;L27&amp;"CE","Bid Rate")</f>
        <v>541.65</v>
      </c>
      <c r="E27" s="63">
        <f>RTD("nest.scriprtd",,"nse_fo|"&amp;$A$18&amp;""&amp;$G$1&amp;""&amp;L27&amp;"CE","Ask Rate")</f>
        <v>562.35</v>
      </c>
      <c r="F27" s="63">
        <f>RTD("nest.scriprtd",,"nse_fo|"&amp;$A$18&amp;""&amp;$G$1&amp;""&amp;L27&amp;"CE","Ask Qty")</f>
        <v>125</v>
      </c>
      <c r="G27" s="84">
        <f>RTD("nest.scriprtd",,"nse_fo|"&amp;$A$18&amp;""&amp;$G$1&amp;""&amp;L27&amp;"CE","LTP")</f>
        <v>542</v>
      </c>
      <c r="H27" s="63">
        <f>RTD("nest.scriprtd",,"nse_fo|"&amp;$A$18&amp;""&amp;$G$1&amp;""&amp;L27&amp;"CE","ATP")</f>
        <v>564.65</v>
      </c>
      <c r="I27" s="63">
        <f>RTD("nest.scriprtd",,"nse_fo|"&amp;$A$18&amp;""&amp;$G$1&amp;""&amp;L27&amp;"CE","Volume Traded Today")</f>
        <v>375</v>
      </c>
      <c r="J27" s="63">
        <f>RTD("nest.scriprtd",,"nse_fo|"&amp;$A$18&amp;""&amp;$G$1&amp;""&amp;L27&amp;"CE","% Change")</f>
        <v>2.59</v>
      </c>
      <c r="K27" s="63">
        <f>RTD("nest.scriprtd",,"nse_fo|"&amp;$A$18&amp;""&amp;$G$1&amp;""&amp;L27&amp;"CE","Net Change")</f>
        <v>13.7</v>
      </c>
      <c r="L27" s="63">
        <f t="shared" si="10"/>
        <v>7100</v>
      </c>
      <c r="M27" s="63" t="str">
        <f>RTD("nest.scriprtd",,"nse_fo|"&amp;$A$18&amp;""&amp;$G$1&amp;""&amp;L27&amp;"CE","Option Type")</f>
        <v>CE</v>
      </c>
      <c r="N27" s="58">
        <f t="shared" ref="N27:N29" si="11">MIN($S$19,G27)</f>
        <v>362.95</v>
      </c>
      <c r="O27" s="58">
        <v>0</v>
      </c>
      <c r="Q27" s="58">
        <f t="shared" ref="Q27:Q29" si="12">+P27+O27</f>
        <v>0</v>
      </c>
      <c r="R27" s="58">
        <f t="shared" ref="R27:R29" si="13">+Q27*N27</f>
        <v>0</v>
      </c>
      <c r="Z27" s="58">
        <f t="shared" ref="Z27:Z29" si="14">+O27*K27</f>
        <v>0</v>
      </c>
    </row>
    <row r="28" spans="1:26" ht="15" x14ac:dyDescent="0.25">
      <c r="A28" s="63" t="str">
        <f>RTD("nest.scriprtd",,"nse_fo|"&amp;$A$18&amp;""&amp;$G$1&amp;""&amp;L28&amp;"CE","Symbol")</f>
        <v>ABB</v>
      </c>
      <c r="B28" s="63" t="str">
        <f>RTD("nest.scriprtd",,"nse_fo|"&amp;$A$18&amp;""&amp;$G$1&amp;""&amp;L28&amp;"CE","Series/Expiry")</f>
        <v>26Dec2024</v>
      </c>
      <c r="C28" s="63">
        <f>RTD("nest.scriprtd",,"nse_fo|"&amp;$A$18&amp;""&amp;$G$1&amp;""&amp;L28&amp;"CE","Bid Qty")</f>
        <v>125</v>
      </c>
      <c r="D28" s="63">
        <f>RTD("nest.scriprtd",,"nse_fo|"&amp;$A$18&amp;""&amp;$G$1&amp;""&amp;L28&amp;"CE","Bid Rate")</f>
        <v>455.25</v>
      </c>
      <c r="E28" s="63">
        <f>RTD("nest.scriprtd",,"nse_fo|"&amp;$A$18&amp;""&amp;$G$1&amp;""&amp;L28&amp;"CE","Ask Rate")</f>
        <v>476.1</v>
      </c>
      <c r="F28" s="63">
        <f>RTD("nest.scriprtd",,"nse_fo|"&amp;$A$18&amp;""&amp;$G$1&amp;""&amp;L28&amp;"CE","Ask Qty")</f>
        <v>125</v>
      </c>
      <c r="G28" s="84">
        <f>RTD("nest.scriprtd",,"nse_fo|"&amp;$A$18&amp;""&amp;$G$1&amp;""&amp;L28&amp;"CE","LTP")</f>
        <v>485.65</v>
      </c>
      <c r="H28" s="63">
        <f>RTD("nest.scriprtd",,"nse_fo|"&amp;$A$18&amp;""&amp;$G$1&amp;""&amp;L28&amp;"CE","ATP")</f>
        <v>485.57</v>
      </c>
      <c r="I28" s="63">
        <f>RTD("nest.scriprtd",,"nse_fo|"&amp;$A$18&amp;""&amp;$G$1&amp;""&amp;L28&amp;"CE","Volume Traded Today")</f>
        <v>500</v>
      </c>
      <c r="J28" s="63">
        <f>RTD("nest.scriprtd",,"nse_fo|"&amp;$A$18&amp;""&amp;$G$1&amp;""&amp;L28&amp;"CE","% Change")</f>
        <v>11.69</v>
      </c>
      <c r="K28" s="63">
        <f>RTD("nest.scriprtd",,"nse_fo|"&amp;$A$18&amp;""&amp;$G$1&amp;""&amp;L28&amp;"CE","Net Change")</f>
        <v>50.85</v>
      </c>
      <c r="L28" s="63">
        <f t="shared" si="10"/>
        <v>7200</v>
      </c>
      <c r="M28" s="63" t="str">
        <f>RTD("nest.scriprtd",,"nse_fo|"&amp;$A$18&amp;""&amp;$G$1&amp;""&amp;L28&amp;"CE","Option Type")</f>
        <v>CE</v>
      </c>
      <c r="N28" s="58">
        <f t="shared" si="11"/>
        <v>362.95</v>
      </c>
      <c r="O28" s="58">
        <v>0</v>
      </c>
      <c r="Q28" s="58">
        <f t="shared" si="12"/>
        <v>0</v>
      </c>
      <c r="R28" s="58">
        <f t="shared" si="13"/>
        <v>0</v>
      </c>
      <c r="Z28" s="58">
        <f t="shared" si="14"/>
        <v>0</v>
      </c>
    </row>
    <row r="29" spans="1:26" ht="15" x14ac:dyDescent="0.25">
      <c r="A29" s="63" t="str">
        <f>RTD("nest.scriprtd",,"nse_fo|"&amp;$A$18&amp;""&amp;$G$1&amp;""&amp;L29&amp;"CE","Symbol")</f>
        <v>ABB</v>
      </c>
      <c r="B29" s="63" t="str">
        <f>RTD("nest.scriprtd",,"nse_fo|"&amp;$A$18&amp;""&amp;$G$1&amp;""&amp;L29&amp;"CE","Series/Expiry")</f>
        <v>26Dec2024</v>
      </c>
      <c r="C29" s="63">
        <f>RTD("nest.scriprtd",,"nse_fo|"&amp;$A$18&amp;""&amp;$G$1&amp;""&amp;L29&amp;"CE","Bid Qty")</f>
        <v>250</v>
      </c>
      <c r="D29" s="63">
        <f>RTD("nest.scriprtd",,"nse_fo|"&amp;$A$18&amp;""&amp;$G$1&amp;""&amp;L29&amp;"CE","Bid Rate")</f>
        <v>373.9</v>
      </c>
      <c r="E29" s="63">
        <f>RTD("nest.scriprtd",,"nse_fo|"&amp;$A$18&amp;""&amp;$G$1&amp;""&amp;L29&amp;"CE","Ask Rate")</f>
        <v>394.8</v>
      </c>
      <c r="F29" s="63">
        <f>RTD("nest.scriprtd",,"nse_fo|"&amp;$A$18&amp;""&amp;$G$1&amp;""&amp;L29&amp;"CE","Ask Qty")</f>
        <v>250</v>
      </c>
      <c r="G29" s="84">
        <f>RTD("nest.scriprtd",,"nse_fo|"&amp;$A$18&amp;""&amp;$G$1&amp;""&amp;L29&amp;"CE","LTP")</f>
        <v>393.3</v>
      </c>
      <c r="H29" s="63">
        <f>RTD("nest.scriprtd",,"nse_fo|"&amp;$A$18&amp;""&amp;$G$1&amp;""&amp;L29&amp;"CE","ATP")</f>
        <v>393.3</v>
      </c>
      <c r="I29" s="63">
        <f>RTD("nest.scriprtd",,"nse_fo|"&amp;$A$18&amp;""&amp;$G$1&amp;""&amp;L29&amp;"CE","Volume Traded Today")</f>
        <v>125</v>
      </c>
      <c r="J29" s="63">
        <f>RTD("nest.scriprtd",,"nse_fo|"&amp;$A$18&amp;""&amp;$G$1&amp;""&amp;L29&amp;"CE","% Change")</f>
        <v>9.52</v>
      </c>
      <c r="K29" s="63">
        <f>RTD("nest.scriprtd",,"nse_fo|"&amp;$A$18&amp;""&amp;$G$1&amp;""&amp;L29&amp;"CE","Net Change")</f>
        <v>34.200000000000003</v>
      </c>
      <c r="L29" s="63">
        <f t="shared" si="10"/>
        <v>7300</v>
      </c>
      <c r="M29" s="63" t="str">
        <f>RTD("nest.scriprtd",,"nse_fo|"&amp;$A$18&amp;""&amp;$G$1&amp;""&amp;L29&amp;"CE","Option Type")</f>
        <v>CE</v>
      </c>
      <c r="N29" s="58">
        <f t="shared" si="11"/>
        <v>362.95</v>
      </c>
      <c r="O29" s="58">
        <v>0</v>
      </c>
      <c r="Q29" s="58">
        <f t="shared" si="12"/>
        <v>0</v>
      </c>
      <c r="R29" s="58">
        <f t="shared" si="13"/>
        <v>0</v>
      </c>
      <c r="Z29" s="58">
        <f t="shared" si="14"/>
        <v>0</v>
      </c>
    </row>
    <row r="30" spans="1:26" ht="15" x14ac:dyDescent="0.25">
      <c r="A30" s="63" t="str">
        <f>RTD("nest.scriprtd",,"nse_fo|"&amp;$A$18&amp;""&amp;$G$1&amp;""&amp;L30&amp;"CE","Symbol")</f>
        <v>ABB</v>
      </c>
      <c r="B30" s="63" t="str">
        <f>RTD("nest.scriprtd",,"nse_fo|"&amp;$A$18&amp;""&amp;$G$1&amp;""&amp;L30&amp;"CE","Series/Expiry")</f>
        <v>26Dec2024</v>
      </c>
      <c r="C30" s="63">
        <f>RTD("nest.scriprtd",,"nse_fo|"&amp;$A$18&amp;""&amp;$G$1&amp;""&amp;L30&amp;"CE","Bid Qty")</f>
        <v>125</v>
      </c>
      <c r="D30" s="63">
        <f>RTD("nest.scriprtd",,"nse_fo|"&amp;$A$18&amp;""&amp;$G$1&amp;""&amp;L30&amp;"CE","Bid Rate")</f>
        <v>304.8</v>
      </c>
      <c r="E30" s="63">
        <f>RTD("nest.scriprtd",,"nse_fo|"&amp;$A$18&amp;""&amp;$G$1&amp;""&amp;L30&amp;"CE","Ask Rate")</f>
        <v>316.85000000000002</v>
      </c>
      <c r="F30" s="63">
        <f>RTD("nest.scriprtd",,"nse_fo|"&amp;$A$18&amp;""&amp;$G$1&amp;""&amp;L30&amp;"CE","Ask Qty")</f>
        <v>125</v>
      </c>
      <c r="G30" s="84">
        <f>RTD("nest.scriprtd",,"nse_fo|"&amp;$A$18&amp;""&amp;$G$1&amp;""&amp;L30&amp;"CE","LTP")</f>
        <v>303.89999999999998</v>
      </c>
      <c r="H30" s="63">
        <f>RTD("nest.scriprtd",,"nse_fo|"&amp;$A$18&amp;""&amp;$G$1&amp;""&amp;L30&amp;"CE","ATP")</f>
        <v>310.08999999999997</v>
      </c>
      <c r="I30" s="63">
        <f>RTD("nest.scriprtd",,"nse_fo|"&amp;$A$18&amp;""&amp;$G$1&amp;""&amp;L30&amp;"CE","Volume Traded Today")</f>
        <v>7250</v>
      </c>
      <c r="J30" s="63">
        <f>RTD("nest.scriprtd",,"nse_fo|"&amp;$A$18&amp;""&amp;$G$1&amp;""&amp;L30&amp;"CE","% Change")</f>
        <v>5.47</v>
      </c>
      <c r="K30" s="63">
        <f>RTD("nest.scriprtd",,"nse_fo|"&amp;$A$18&amp;""&amp;$G$1&amp;""&amp;L30&amp;"CE","Net Change")</f>
        <v>15.75</v>
      </c>
      <c r="L30" s="63">
        <f t="shared" si="10"/>
        <v>7400</v>
      </c>
      <c r="M30" s="63" t="str">
        <f>RTD("nest.scriprtd",,"nse_fo|"&amp;$A$18&amp;""&amp;$G$1&amp;""&amp;L30&amp;"CE","Option Type")</f>
        <v>CE</v>
      </c>
      <c r="N30" s="58">
        <f t="shared" si="9"/>
        <v>303.89999999999998</v>
      </c>
      <c r="O30" s="58">
        <v>0</v>
      </c>
      <c r="Q30" s="58">
        <f t="shared" si="6"/>
        <v>0</v>
      </c>
      <c r="R30" s="58">
        <f t="shared" si="7"/>
        <v>0</v>
      </c>
      <c r="Z30" s="58">
        <f t="shared" si="8"/>
        <v>0</v>
      </c>
    </row>
    <row r="31" spans="1:26" ht="15" x14ac:dyDescent="0.25">
      <c r="A31" s="63" t="str">
        <f>RTD("nest.scriprtd",,"nse_fo|"&amp;$A$18&amp;""&amp;$G$1&amp;""&amp;L31&amp;"CE","Symbol")</f>
        <v>ABB</v>
      </c>
      <c r="B31" s="63" t="str">
        <f>RTD("nest.scriprtd",,"nse_fo|"&amp;$A$18&amp;""&amp;$G$1&amp;""&amp;L31&amp;"CE","Series/Expiry")</f>
        <v>26Dec2024</v>
      </c>
      <c r="C31" s="63">
        <f>RTD("nest.scriprtd",,"nse_fo|"&amp;$A$18&amp;""&amp;$G$1&amp;""&amp;L31&amp;"CE","Bid Qty")</f>
        <v>125</v>
      </c>
      <c r="D31" s="63">
        <f>RTD("nest.scriprtd",,"nse_fo|"&amp;$A$18&amp;""&amp;$G$1&amp;""&amp;L31&amp;"CE","Bid Rate")</f>
        <v>245.45</v>
      </c>
      <c r="E31" s="63">
        <f>RTD("nest.scriprtd",,"nse_fo|"&amp;$A$18&amp;""&amp;$G$1&amp;""&amp;L31&amp;"CE","Ask Rate")</f>
        <v>248</v>
      </c>
      <c r="F31" s="63">
        <f>RTD("nest.scriprtd",,"nse_fo|"&amp;$A$18&amp;""&amp;$G$1&amp;""&amp;L31&amp;"CE","Ask Qty")</f>
        <v>125</v>
      </c>
      <c r="G31" s="84">
        <f>RTD("nest.scriprtd",,"nse_fo|"&amp;$A$18&amp;""&amp;$G$1&amp;""&amp;L31&amp;"CE","LTP")</f>
        <v>241.1</v>
      </c>
      <c r="H31" s="63">
        <f>RTD("nest.scriprtd",,"nse_fo|"&amp;$A$18&amp;""&amp;$G$1&amp;""&amp;L31&amp;"CE","ATP")</f>
        <v>249.43</v>
      </c>
      <c r="I31" s="63">
        <f>RTD("nest.scriprtd",,"nse_fo|"&amp;$A$18&amp;""&amp;$G$1&amp;""&amp;L31&amp;"CE","Volume Traded Today")</f>
        <v>83875</v>
      </c>
      <c r="J31" s="63">
        <f>RTD("nest.scriprtd",,"nse_fo|"&amp;$A$18&amp;""&amp;$G$1&amp;""&amp;L31&amp;"CE","% Change")</f>
        <v>7.87</v>
      </c>
      <c r="K31" s="63">
        <f>RTD("nest.scriprtd",,"nse_fo|"&amp;$A$18&amp;""&amp;$G$1&amp;""&amp;L31&amp;"CE","Net Change")</f>
        <v>17.600000000000001</v>
      </c>
      <c r="L31" s="63">
        <f t="shared" si="10"/>
        <v>7500</v>
      </c>
      <c r="M31" s="63" t="str">
        <f>RTD("nest.scriprtd",,"nse_fo|"&amp;$A$18&amp;""&amp;$G$1&amp;""&amp;L31&amp;"CE","Option Type")</f>
        <v>CE</v>
      </c>
      <c r="N31" s="58">
        <f t="shared" si="9"/>
        <v>241.1</v>
      </c>
      <c r="O31" s="58">
        <v>0</v>
      </c>
      <c r="Q31" s="58">
        <f t="shared" si="6"/>
        <v>0</v>
      </c>
      <c r="R31" s="58">
        <f t="shared" si="7"/>
        <v>0</v>
      </c>
      <c r="Z31" s="58">
        <f t="shared" si="8"/>
        <v>0</v>
      </c>
    </row>
    <row r="32" spans="1:26" ht="15" x14ac:dyDescent="0.25">
      <c r="A32" s="63" t="str">
        <f>RTD("nest.scriprtd",,"nse_fo|"&amp;$A$18&amp;""&amp;$G$1&amp;""&amp;L32&amp;"CE","Symbol")</f>
        <v>ABB</v>
      </c>
      <c r="B32" s="63" t="str">
        <f>RTD("nest.scriprtd",,"nse_fo|"&amp;$A$18&amp;""&amp;$G$1&amp;""&amp;L32&amp;"PE","Series/Expiry")</f>
        <v>26Dec2024</v>
      </c>
      <c r="C32" s="63">
        <f>RTD("nest.scriprtd",,"nse_fo|"&amp;$A$18&amp;""&amp;$G$1&amp;""&amp;L32&amp;"PE","Bid Qty")</f>
        <v>500</v>
      </c>
      <c r="D32" s="63">
        <f>RTD("nest.scriprtd",,"nse_fo|"&amp;$A$18&amp;""&amp;$G$1&amp;""&amp;L32&amp;"PE","Bid Rate")</f>
        <v>6.5</v>
      </c>
      <c r="E32" s="63">
        <f>RTD("nest.scriprtd",,"nse_fo|"&amp;$A$18&amp;""&amp;$G$1&amp;""&amp;L32&amp;"PE","Ask Rate")</f>
        <v>8.9</v>
      </c>
      <c r="F32" s="63">
        <f>RTD("nest.scriprtd",,"nse_fo|"&amp;$A$18&amp;""&amp;$G$1&amp;""&amp;L32&amp;"PE","Ask Qty")</f>
        <v>125</v>
      </c>
      <c r="G32" s="84">
        <f>RTD("nest.scriprtd",,"nse_fo|"&amp;$A$18&amp;""&amp;$G$1&amp;""&amp;L32&amp;"PE","LTP")</f>
        <v>8.6999999999999993</v>
      </c>
      <c r="H32" s="63">
        <f>RTD("nest.scriprtd",,"nse_fo|"&amp;$A$18&amp;""&amp;$G$1&amp;""&amp;L32&amp;"PE","ATP")</f>
        <v>6.93</v>
      </c>
      <c r="I32" s="63">
        <f>RTD("nest.scriprtd",,"nse_fo|"&amp;$A$18&amp;""&amp;$G$1&amp;""&amp;L32&amp;"PE","Volume Traded Today")</f>
        <v>6375</v>
      </c>
      <c r="J32" s="63">
        <f>RTD("nest.scriprtd",,"nse_fo|"&amp;$A$18&amp;""&amp;$G$1&amp;""&amp;L32&amp;"PE","% Change")</f>
        <v>12.26</v>
      </c>
      <c r="K32" s="63">
        <f>RTD("nest.scriprtd",,"nse_fo|"&amp;$A$18&amp;""&amp;$G$1&amp;""&amp;L32&amp;"PE","Net Change")</f>
        <v>0.95</v>
      </c>
      <c r="L32" s="63">
        <v>6500</v>
      </c>
      <c r="M32" s="82" t="str">
        <f>RTD("nest.scriprtd",,"nse_fo|"&amp;$A$18&amp;""&amp;$G$1&amp;""&amp;L32&amp;"PE","Option Type")</f>
        <v>PE</v>
      </c>
      <c r="N32" s="58">
        <f t="shared" si="9"/>
        <v>8.6999999999999993</v>
      </c>
      <c r="O32" s="58">
        <v>0</v>
      </c>
      <c r="Q32" s="58">
        <f t="shared" si="6"/>
        <v>0</v>
      </c>
      <c r="R32" s="58">
        <f t="shared" si="7"/>
        <v>0</v>
      </c>
      <c r="T32" s="94"/>
      <c r="Z32" s="58">
        <f t="shared" si="8"/>
        <v>0</v>
      </c>
    </row>
    <row r="33" spans="1:27" ht="15" x14ac:dyDescent="0.25">
      <c r="A33" s="63" t="str">
        <f>RTD("nest.scriprtd",,"nse_fo|"&amp;$A$18&amp;""&amp;$G$1&amp;""&amp;L33&amp;"CE","Symbol")</f>
        <v>ABB</v>
      </c>
      <c r="B33" s="63" t="str">
        <f>RTD("nest.scriprtd",,"nse_fo|"&amp;$A$18&amp;""&amp;$G$1&amp;""&amp;L33&amp;"PE","Series/Expiry")</f>
        <v>26Dec2024</v>
      </c>
      <c r="C33" s="63">
        <f>RTD("nest.scriprtd",,"nse_fo|"&amp;$A$18&amp;""&amp;$G$1&amp;""&amp;L33&amp;"PE","Bid Qty")</f>
        <v>125</v>
      </c>
      <c r="D33" s="63">
        <f>RTD("nest.scriprtd",,"nse_fo|"&amp;$A$18&amp;""&amp;$G$1&amp;""&amp;L33&amp;"PE","Bid Rate")</f>
        <v>7.5</v>
      </c>
      <c r="E33" s="63">
        <f>RTD("nest.scriprtd",,"nse_fo|"&amp;$A$18&amp;""&amp;$G$1&amp;""&amp;L33&amp;"PE","Ask Rate")</f>
        <v>9.4499999999999993</v>
      </c>
      <c r="F33" s="63">
        <f>RTD("nest.scriprtd",,"nse_fo|"&amp;$A$18&amp;""&amp;$G$1&amp;""&amp;L33&amp;"PE","Ask Qty")</f>
        <v>125</v>
      </c>
      <c r="G33" s="84">
        <f>RTD("nest.scriprtd",,"nse_fo|"&amp;$A$18&amp;""&amp;$G$1&amp;""&amp;L33&amp;"PE","LTP")</f>
        <v>8</v>
      </c>
      <c r="H33" s="63">
        <f>RTD("nest.scriprtd",,"nse_fo|"&amp;$A$18&amp;""&amp;$G$1&amp;""&amp;L33&amp;"PE","ATP")</f>
        <v>7.94</v>
      </c>
      <c r="I33" s="63">
        <f>RTD("nest.scriprtd",,"nse_fo|"&amp;$A$18&amp;""&amp;$G$1&amp;""&amp;L33&amp;"PE","Volume Traded Today")</f>
        <v>1750</v>
      </c>
      <c r="J33" s="63">
        <f>RTD("nest.scriprtd",,"nse_fo|"&amp;$A$18&amp;""&amp;$G$1&amp;""&amp;L33&amp;"PE","% Change")</f>
        <v>-24.17</v>
      </c>
      <c r="K33" s="63">
        <f>RTD("nest.scriprtd",,"nse_fo|"&amp;$A$18&amp;""&amp;$G$1&amp;""&amp;L33&amp;"PE","Net Change")</f>
        <v>-2.5499999999999998</v>
      </c>
      <c r="L33" s="63">
        <f>+L32+$D$18</f>
        <v>6600</v>
      </c>
      <c r="M33" s="63" t="str">
        <f>RTD("nest.scriprtd",,"nse_fo|"&amp;$A$18&amp;""&amp;$G$1&amp;""&amp;L33&amp;"PE","Option Type")</f>
        <v>PE</v>
      </c>
      <c r="N33" s="58">
        <f t="shared" si="9"/>
        <v>8</v>
      </c>
      <c r="O33" s="58">
        <v>0</v>
      </c>
      <c r="Q33" s="58">
        <f t="shared" si="6"/>
        <v>0</v>
      </c>
      <c r="R33" s="58">
        <f t="shared" si="7"/>
        <v>0</v>
      </c>
      <c r="Z33" s="58">
        <f t="shared" si="8"/>
        <v>0</v>
      </c>
    </row>
    <row r="34" spans="1:27" ht="15" x14ac:dyDescent="0.25">
      <c r="A34" s="63" t="str">
        <f>RTD("nest.scriprtd",,"nse_fo|"&amp;$A$18&amp;""&amp;$G$1&amp;""&amp;L34&amp;"CE","Symbol")</f>
        <v>ABB</v>
      </c>
      <c r="B34" s="63" t="str">
        <f>RTD("nest.scriprtd",,"nse_fo|"&amp;$A$18&amp;""&amp;$G$1&amp;""&amp;L34&amp;"PE","Series/Expiry")</f>
        <v>26Dec2024</v>
      </c>
      <c r="C34" s="63">
        <f>RTD("nest.scriprtd",,"nse_fo|"&amp;$A$18&amp;""&amp;$G$1&amp;""&amp;L34&amp;"PE","Bid Qty")</f>
        <v>500</v>
      </c>
      <c r="D34" s="63">
        <f>RTD("nest.scriprtd",,"nse_fo|"&amp;$A$18&amp;""&amp;$G$1&amp;""&amp;L34&amp;"PE","Bid Rate")</f>
        <v>8.0500000000000007</v>
      </c>
      <c r="E34" s="63">
        <f>RTD("nest.scriprtd",,"nse_fo|"&amp;$A$18&amp;""&amp;$G$1&amp;""&amp;L34&amp;"PE","Ask Rate")</f>
        <v>17.899999999999999</v>
      </c>
      <c r="F34" s="63">
        <f>RTD("nest.scriprtd",,"nse_fo|"&amp;$A$18&amp;""&amp;$G$1&amp;""&amp;L34&amp;"PE","Ask Qty")</f>
        <v>125</v>
      </c>
      <c r="G34" s="84">
        <f>RTD("nest.scriprtd",,"nse_fo|"&amp;$A$18&amp;""&amp;$G$1&amp;""&amp;L34&amp;"PE","LTP")</f>
        <v>9.1</v>
      </c>
      <c r="H34" s="63">
        <f>RTD("nest.scriprtd",,"nse_fo|"&amp;$A$18&amp;""&amp;$G$1&amp;""&amp;L34&amp;"PE","ATP")</f>
        <v>9.44</v>
      </c>
      <c r="I34" s="63">
        <f>RTD("nest.scriprtd",,"nse_fo|"&amp;$A$18&amp;""&amp;$G$1&amp;""&amp;L34&amp;"PE","Volume Traded Today")</f>
        <v>2000</v>
      </c>
      <c r="J34" s="63">
        <f>RTD("nest.scriprtd",,"nse_fo|"&amp;$A$18&amp;""&amp;$G$1&amp;""&amp;L34&amp;"PE","% Change")</f>
        <v>-30</v>
      </c>
      <c r="K34" s="63">
        <f>RTD("nest.scriprtd",,"nse_fo|"&amp;$A$18&amp;""&amp;$G$1&amp;""&amp;L34&amp;"PE","Net Change")</f>
        <v>-3.9</v>
      </c>
      <c r="L34" s="63">
        <f t="shared" ref="L34:L36" si="15">+L33+$D$18</f>
        <v>6700</v>
      </c>
      <c r="M34" s="63" t="str">
        <f>RTD("nest.scriprtd",,"nse_fo|"&amp;$A$18&amp;""&amp;$G$1&amp;""&amp;L34&amp;"PE","Option Type")</f>
        <v>PE</v>
      </c>
      <c r="N34" s="58">
        <f t="shared" si="9"/>
        <v>9.1</v>
      </c>
      <c r="O34" s="58">
        <v>0</v>
      </c>
      <c r="Q34" s="58">
        <f t="shared" si="6"/>
        <v>0</v>
      </c>
      <c r="R34" s="58">
        <f t="shared" si="7"/>
        <v>0</v>
      </c>
      <c r="Z34" s="58">
        <f t="shared" si="8"/>
        <v>0</v>
      </c>
    </row>
    <row r="35" spans="1:27" ht="15" x14ac:dyDescent="0.25">
      <c r="A35" s="63" t="str">
        <f>RTD("nest.scriprtd",,"nse_fo|"&amp;$A$18&amp;""&amp;$G$1&amp;""&amp;L35&amp;"CE","Symbol")</f>
        <v>ABB</v>
      </c>
      <c r="B35" s="63" t="str">
        <f>RTD("nest.scriprtd",,"nse_fo|"&amp;$A$18&amp;""&amp;$G$1&amp;""&amp;L35&amp;"PE","Series/Expiry")</f>
        <v>26Dec2024</v>
      </c>
      <c r="C35" s="63">
        <f>RTD("nest.scriprtd",,"nse_fo|"&amp;$A$18&amp;""&amp;$G$1&amp;""&amp;L35&amp;"PE","Bid Qty")</f>
        <v>125</v>
      </c>
      <c r="D35" s="63">
        <f>RTD("nest.scriprtd",,"nse_fo|"&amp;$A$18&amp;""&amp;$G$1&amp;""&amp;L35&amp;"PE","Bid Rate")</f>
        <v>12.1</v>
      </c>
      <c r="E35" s="63">
        <f>RTD("nest.scriprtd",,"nse_fo|"&amp;$A$18&amp;""&amp;$G$1&amp;""&amp;L35&amp;"PE","Ask Rate")</f>
        <v>14.05</v>
      </c>
      <c r="F35" s="63">
        <f>RTD("nest.scriprtd",,"nse_fo|"&amp;$A$18&amp;""&amp;$G$1&amp;""&amp;L35&amp;"PE","Ask Qty")</f>
        <v>125</v>
      </c>
      <c r="G35" s="84">
        <f>RTD("nest.scriprtd",,"nse_fo|"&amp;$A$18&amp;""&amp;$G$1&amp;""&amp;L35&amp;"PE","LTP")</f>
        <v>11.45</v>
      </c>
      <c r="H35" s="63">
        <f>RTD("nest.scriprtd",,"nse_fo|"&amp;$A$18&amp;""&amp;$G$1&amp;""&amp;L35&amp;"PE","ATP")</f>
        <v>13.36</v>
      </c>
      <c r="I35" s="63">
        <f>RTD("nest.scriprtd",,"nse_fo|"&amp;$A$18&amp;""&amp;$G$1&amp;""&amp;L35&amp;"PE","Volume Traded Today")</f>
        <v>6375</v>
      </c>
      <c r="J35" s="63">
        <f>RTD("nest.scriprtd",,"nse_fo|"&amp;$A$18&amp;""&amp;$G$1&amp;""&amp;L35&amp;"PE","% Change")</f>
        <v>-34.01</v>
      </c>
      <c r="K35" s="63">
        <f>RTD("nest.scriprtd",,"nse_fo|"&amp;$A$18&amp;""&amp;$G$1&amp;""&amp;L35&amp;"PE","Net Change")</f>
        <v>-5.9</v>
      </c>
      <c r="L35" s="63">
        <f t="shared" si="15"/>
        <v>6800</v>
      </c>
      <c r="M35" s="63" t="str">
        <f>RTD("nest.scriprtd",,"nse_fo|"&amp;$A$18&amp;""&amp;$G$1&amp;""&amp;L35&amp;"PE","Option Type")</f>
        <v>PE</v>
      </c>
      <c r="N35" s="58">
        <f t="shared" si="9"/>
        <v>11.45</v>
      </c>
      <c r="O35" s="58">
        <v>0</v>
      </c>
      <c r="Q35" s="58">
        <f t="shared" si="6"/>
        <v>0</v>
      </c>
      <c r="R35" s="58">
        <f t="shared" si="7"/>
        <v>0</v>
      </c>
      <c r="Z35" s="58">
        <f t="shared" si="8"/>
        <v>0</v>
      </c>
    </row>
    <row r="36" spans="1:27" ht="15" x14ac:dyDescent="0.25">
      <c r="A36" s="63" t="str">
        <f>RTD("nest.scriprtd",,"nse_fo|"&amp;$A$18&amp;""&amp;$G$1&amp;""&amp;L36&amp;"CE","Symbol")</f>
        <v>ABB</v>
      </c>
      <c r="B36" s="63" t="str">
        <f>RTD("nest.scriprtd",,"nse_fo|"&amp;$A$18&amp;""&amp;$G$1&amp;""&amp;L36&amp;"PE","Series/Expiry")</f>
        <v>26Dec2024</v>
      </c>
      <c r="C36" s="63">
        <f>RTD("nest.scriprtd",,"nse_fo|"&amp;$A$18&amp;""&amp;$G$1&amp;""&amp;L36&amp;"PE","Bid Qty")</f>
        <v>125</v>
      </c>
      <c r="D36" s="63">
        <f>RTD("nest.scriprtd",,"nse_fo|"&amp;$A$18&amp;""&amp;$G$1&amp;""&amp;L36&amp;"PE","Bid Rate")</f>
        <v>16.600000000000001</v>
      </c>
      <c r="E36" s="63">
        <f>RTD("nest.scriprtd",,"nse_fo|"&amp;$A$18&amp;""&amp;$G$1&amp;""&amp;L36&amp;"PE","Ask Rate")</f>
        <v>16.95</v>
      </c>
      <c r="F36" s="63">
        <f>RTD("nest.scriprtd",,"nse_fo|"&amp;$A$18&amp;""&amp;$G$1&amp;""&amp;L36&amp;"PE","Ask Qty")</f>
        <v>125</v>
      </c>
      <c r="G36" s="84">
        <f>RTD("nest.scriprtd",,"nse_fo|"&amp;$A$18&amp;""&amp;$G$1&amp;""&amp;L36&amp;"PE","LTP")</f>
        <v>16.149999999999999</v>
      </c>
      <c r="H36" s="63">
        <f>RTD("nest.scriprtd",,"nse_fo|"&amp;$A$18&amp;""&amp;$G$1&amp;""&amp;L36&amp;"PE","ATP")</f>
        <v>17.3</v>
      </c>
      <c r="I36" s="63">
        <f>RTD("nest.scriprtd",,"nse_fo|"&amp;$A$18&amp;""&amp;$G$1&amp;""&amp;L36&amp;"PE","Volume Traded Today")</f>
        <v>3750</v>
      </c>
      <c r="J36" s="63">
        <f>RTD("nest.scriprtd",,"nse_fo|"&amp;$A$18&amp;""&amp;$G$1&amp;""&amp;L36&amp;"PE","% Change")</f>
        <v>-28.7</v>
      </c>
      <c r="K36" s="63">
        <f>RTD("nest.scriprtd",,"nse_fo|"&amp;$A$18&amp;""&amp;$G$1&amp;""&amp;L36&amp;"PE","Net Change")</f>
        <v>-6.5</v>
      </c>
      <c r="L36" s="63">
        <f t="shared" si="15"/>
        <v>6900</v>
      </c>
      <c r="M36" s="63" t="str">
        <f>RTD("nest.scriprtd",,"nse_fo|"&amp;$A$18&amp;""&amp;$G$1&amp;""&amp;L36&amp;"PE","Option Type")</f>
        <v>PE</v>
      </c>
      <c r="N36" s="58">
        <f t="shared" si="9"/>
        <v>16.149999999999999</v>
      </c>
      <c r="O36" s="58">
        <v>0</v>
      </c>
      <c r="Q36" s="58">
        <f t="shared" si="6"/>
        <v>0</v>
      </c>
      <c r="R36" s="58">
        <f t="shared" si="7"/>
        <v>0</v>
      </c>
      <c r="S36" s="58">
        <f>+SUM(R19:R31)-SUM(R32:R36)</f>
        <v>0</v>
      </c>
      <c r="T36" s="58">
        <f>SUM(R21:R36)-R35</f>
        <v>0</v>
      </c>
      <c r="U36" s="63" t="e">
        <f>+S36/T36</f>
        <v>#DIV/0!</v>
      </c>
      <c r="Z36" s="58">
        <f t="shared" si="8"/>
        <v>0</v>
      </c>
      <c r="AA36" s="58">
        <f>SUM(Z19:Z36)</f>
        <v>0</v>
      </c>
    </row>
    <row r="38" spans="1:27" ht="15" x14ac:dyDescent="0.25">
      <c r="A38" s="58" t="s">
        <v>197</v>
      </c>
      <c r="B38" s="58" t="str">
        <f>$A$38&amp;"-EQ"</f>
        <v>ADANIGREEN-EQ</v>
      </c>
      <c r="C38" s="58" t="s">
        <v>168</v>
      </c>
      <c r="D38" s="63">
        <v>20</v>
      </c>
      <c r="E38" s="57">
        <v>2700</v>
      </c>
      <c r="F38" s="63"/>
      <c r="G38" s="85"/>
      <c r="K38" s="63"/>
      <c r="L38" s="63"/>
      <c r="M38" s="63"/>
    </row>
    <row r="39" spans="1:27" ht="15" x14ac:dyDescent="0.25">
      <c r="A39" s="63" t="str">
        <f>RTD("nest.scriprtd",,"nse_fo|"&amp;$A$38&amp;""&amp;$G$1&amp;""&amp;C38&amp;"","Symbol")</f>
        <v>ADANIGREEN</v>
      </c>
      <c r="B39" s="63" t="str">
        <f>RTD("nest.scriprtd",,"nse_fo|"&amp;$A$38&amp;""&amp;$G$1&amp;""&amp;C38&amp;"","Series/Expiry")</f>
        <v>26Dec2024</v>
      </c>
      <c r="C39" s="63">
        <f>RTD("nest.scriprtd",,"nse_fo|"&amp;$A$38&amp;""&amp;$G$1&amp;""&amp;C38&amp;"","Bid Qty")</f>
        <v>375</v>
      </c>
      <c r="D39" s="63">
        <f>RTD("nest.scriprtd",,"nse_fo|"&amp;$A$38&amp;""&amp;$G$1&amp;""&amp;C38&amp;"","Bid Rate")</f>
        <v>1217.55</v>
      </c>
      <c r="E39" s="63">
        <f>RTD("nest.scriprtd",,"nse_fo|"&amp;$A$38&amp;""&amp;$G$1&amp;""&amp;C38&amp;"","Ask Rate")</f>
        <v>1218</v>
      </c>
      <c r="F39" s="63">
        <f>RTD("nest.scriprtd",,"nse_fo|"&amp;$A$38&amp;""&amp;$G$1&amp;""&amp;C38&amp;"","Ask Qty")</f>
        <v>750</v>
      </c>
      <c r="G39" s="84">
        <f>RTD("nest.scriprtd",,"nse_fo|"&amp;$A$38&amp;""&amp;$G$1&amp;""&amp;C38&amp;"","LTP")</f>
        <v>1218.4000000000001</v>
      </c>
      <c r="H39" s="63">
        <f>RTD("nest.scriprtd",,"nse_fo|"&amp;$A$38&amp;""&amp;$G$1&amp;""&amp;C38&amp;"","ATP")</f>
        <v>1196.75</v>
      </c>
      <c r="I39" s="63">
        <f>RTD("nest.scriprtd",,"nse_fo|"&amp;$A$38&amp;""&amp;$G$1&amp;""&amp;C38&amp;"","Volume Traded Today")</f>
        <v>2219250</v>
      </c>
      <c r="J39" s="63">
        <f>RTD("nest.scriprtd",,"nse_fo|"&amp;$A$38&amp;""&amp;$G$1&amp;""&amp;C38&amp;"","% Change")</f>
        <v>1.05</v>
      </c>
      <c r="K39" s="63">
        <f>RTD("nest.scriprtd",,"nse_fo|"&amp;$A$38&amp;""&amp;$G$1&amp;""&amp;C38&amp;"","Net Change")</f>
        <v>12.7</v>
      </c>
      <c r="L39" s="63">
        <f>RTD("nest.scriprtd",,"nse_fo|"&amp;$A$38&amp;""&amp;$G$1&amp;""&amp;C38&amp;"","Strike Price")</f>
        <v>0</v>
      </c>
      <c r="M39" s="63"/>
      <c r="N39" s="58">
        <f>MIN($S$39,G39)</f>
        <v>135</v>
      </c>
      <c r="O39" s="58">
        <v>0</v>
      </c>
      <c r="Q39" s="58">
        <f t="shared" ref="Q39:Q56" si="16">+P39+O39</f>
        <v>0</v>
      </c>
      <c r="R39" s="58">
        <f t="shared" ref="R39:R55" si="17">+Q39*N39</f>
        <v>0</v>
      </c>
      <c r="S39" s="58">
        <f>+$Q$2*T39</f>
        <v>135</v>
      </c>
      <c r="T39" s="80">
        <f>+FACTOR!G8</f>
        <v>135</v>
      </c>
      <c r="Z39" s="58">
        <f t="shared" ref="Z39:Z55" si="18">+O39*K39</f>
        <v>0</v>
      </c>
    </row>
    <row r="40" spans="1:27" ht="15" x14ac:dyDescent="0.25">
      <c r="A40" s="63" t="str">
        <f>RTD("nest.scriprtd",,"nse_cm|"&amp;B38&amp;"","Symbol")</f>
        <v>ADANIGREEN</v>
      </c>
      <c r="B40" s="63" t="str">
        <f>RTD("nest.scriprtd",,"nse_cm|"&amp;B38&amp;"","Series/Expiry")</f>
        <v>EQ</v>
      </c>
      <c r="C40" s="63">
        <f>RTD("nest.scriprtd",,"nse_cm|"&amp;B38&amp;"","Bid Qty")</f>
        <v>2</v>
      </c>
      <c r="D40" s="63">
        <f>RTD("nest.scriprtd",,"nse_cm|"&amp;B38&amp;"","Bid Rate")</f>
        <v>1218.1500000000001</v>
      </c>
      <c r="E40" s="63">
        <f>RTD("nest.scriprtd",,"nse_cm|"&amp;B38&amp;"","Ask Rate")</f>
        <v>1218.3499999999999</v>
      </c>
      <c r="F40" s="63">
        <f>RTD("nest.scriprtd",,"nse_cm|"&amp;B38&amp;"","Ask Qty")</f>
        <v>4</v>
      </c>
      <c r="G40" s="84">
        <f>RTD("nest.scriprtd",,"nse_cm|"&amp;B38&amp;"","LTP")</f>
        <v>1218.2</v>
      </c>
      <c r="H40" s="63">
        <f>RTD("nest.scriprtd",,"nse_cm|"&amp;B38&amp;"","ATP")</f>
        <v>1203.32</v>
      </c>
      <c r="I40" s="63">
        <f>RTD("nest.scriprtd",,"nse_cm|"&amp;B38&amp;"","Volume Traded Today")</f>
        <v>2596730</v>
      </c>
      <c r="J40" s="63">
        <f>RTD("nest.scriprtd",,"nse_cm|"&amp;B38&amp;"","% Change")</f>
        <v>0.62</v>
      </c>
      <c r="K40" s="63">
        <f>RTD("nest.scriprtd",,"nse_cm|"&amp;B38&amp;"","Net Change")</f>
        <v>7.55</v>
      </c>
      <c r="L40" s="63">
        <f>RTD("nest.scriprtd",,"nse_cm|"&amp;B38&amp;"","Strike Price")</f>
        <v>0</v>
      </c>
      <c r="M40" s="63"/>
      <c r="N40" s="58">
        <f t="shared" ref="N40:N55" si="19">MIN($S$39,G40)</f>
        <v>135</v>
      </c>
      <c r="O40" s="58">
        <v>0</v>
      </c>
      <c r="P40" s="58">
        <v>190</v>
      </c>
      <c r="Q40" s="58">
        <f t="shared" si="16"/>
        <v>190</v>
      </c>
      <c r="R40" s="58">
        <f t="shared" si="17"/>
        <v>25650</v>
      </c>
      <c r="Z40" s="58">
        <f t="shared" si="18"/>
        <v>0</v>
      </c>
    </row>
    <row r="41" spans="1:27" ht="15" x14ac:dyDescent="0.25">
      <c r="A41" s="63" t="str">
        <f>RTD("nest.scriprtd",,"nse_fo|"&amp;$A$38&amp;""&amp;$G$1&amp;""&amp;L41&amp;"CE","Symbol")</f>
        <v>ADANIGREEN</v>
      </c>
      <c r="B41" s="63" t="str">
        <f>RTD("nest.scriprtd",,"nse_fo|"&amp;$A$38&amp;""&amp;$G$1&amp;""&amp;L41&amp;"CE","Series/Expiry")</f>
        <v>26Dec2024</v>
      </c>
      <c r="C41" s="63">
        <f>RTD("nest.scriprtd",,"nse_fo|"&amp;$A$38&amp;""&amp;$G$1&amp;""&amp;L41&amp;"CE","Bid Qty")</f>
        <v>375</v>
      </c>
      <c r="D41" s="63">
        <f>RTD("nest.scriprtd",,"nse_fo|"&amp;$A$38&amp;""&amp;$G$1&amp;""&amp;L41&amp;"CE","Bid Rate")</f>
        <v>99.9</v>
      </c>
      <c r="E41" s="63">
        <f>RTD("nest.scriprtd",,"nse_fo|"&amp;$A$38&amp;""&amp;$G$1&amp;""&amp;L41&amp;"CE","Ask Rate")</f>
        <v>101.4</v>
      </c>
      <c r="F41" s="63">
        <f>RTD("nest.scriprtd",,"nse_fo|"&amp;$A$38&amp;""&amp;$G$1&amp;""&amp;L41&amp;"CE","Ask Qty")</f>
        <v>750</v>
      </c>
      <c r="G41" s="84">
        <f>RTD("nest.scriprtd",,"nse_fo|"&amp;$A$38&amp;""&amp;$G$1&amp;""&amp;L41&amp;"CE","LTP")</f>
        <v>101</v>
      </c>
      <c r="H41" s="63">
        <f>RTD("nest.scriprtd",,"nse_fo|"&amp;$A$38&amp;""&amp;$G$1&amp;""&amp;L41&amp;"CE","ATP")</f>
        <v>87.86</v>
      </c>
      <c r="I41" s="63">
        <f>RTD("nest.scriprtd",,"nse_fo|"&amp;$A$38&amp;""&amp;$G$1&amp;""&amp;L41&amp;"CE","Volume Traded Today")</f>
        <v>52875</v>
      </c>
      <c r="J41" s="63">
        <f>RTD("nest.scriprtd",,"nse_fo|"&amp;$A$38&amp;""&amp;$G$1&amp;""&amp;L41&amp;"CE","% Change")</f>
        <v>1.35</v>
      </c>
      <c r="K41" s="63">
        <f>RTD("nest.scriprtd",,"nse_fo|"&amp;$A$38&amp;""&amp;$G$1&amp;""&amp;L41&amp;"CE","Net Change")</f>
        <v>1.35</v>
      </c>
      <c r="L41" s="63">
        <v>1160</v>
      </c>
      <c r="M41" s="82" t="str">
        <f>RTD("nest.scriprtd",,"nse_fo|"&amp;$A$38&amp;""&amp;$G$1&amp;""&amp;L41&amp;"CE","Option Type")</f>
        <v>CE</v>
      </c>
      <c r="N41" s="58">
        <f t="shared" si="19"/>
        <v>101</v>
      </c>
      <c r="O41" s="58">
        <v>0</v>
      </c>
      <c r="Q41" s="58">
        <f t="shared" si="16"/>
        <v>0</v>
      </c>
      <c r="R41" s="58">
        <f t="shared" si="17"/>
        <v>0</v>
      </c>
      <c r="Z41" s="58">
        <f t="shared" si="18"/>
        <v>0</v>
      </c>
    </row>
    <row r="42" spans="1:27" ht="15" x14ac:dyDescent="0.25">
      <c r="A42" s="63" t="str">
        <f>RTD("nest.scriprtd",,"nse_fo|"&amp;$A$38&amp;""&amp;$G$1&amp;""&amp;L42&amp;"CE","Symbol")</f>
        <v>ADANIGREEN</v>
      </c>
      <c r="B42" s="63" t="str">
        <f>RTD("nest.scriprtd",,"nse_fo|"&amp;$A$38&amp;""&amp;$G$1&amp;""&amp;L42&amp;"CE","Series/Expiry")</f>
        <v>26Dec2024</v>
      </c>
      <c r="C42" s="63">
        <f>RTD("nest.scriprtd",,"nse_fo|"&amp;$A$38&amp;""&amp;$G$1&amp;""&amp;L42&amp;"CE","Bid Qty")</f>
        <v>1125</v>
      </c>
      <c r="D42" s="63">
        <f>RTD("nest.scriprtd",,"nse_fo|"&amp;$A$38&amp;""&amp;$G$1&amp;""&amp;L42&amp;"CE","Bid Rate")</f>
        <v>87.8</v>
      </c>
      <c r="E42" s="63">
        <f>RTD("nest.scriprtd",,"nse_fo|"&amp;$A$38&amp;""&amp;$G$1&amp;""&amp;L42&amp;"CE","Ask Rate")</f>
        <v>88.7</v>
      </c>
      <c r="F42" s="63">
        <f>RTD("nest.scriprtd",,"nse_fo|"&amp;$A$38&amp;""&amp;$G$1&amp;""&amp;L42&amp;"CE","Ask Qty")</f>
        <v>750</v>
      </c>
      <c r="G42" s="84">
        <f>RTD("nest.scriprtd",,"nse_fo|"&amp;$A$38&amp;""&amp;$G$1&amp;""&amp;L42&amp;"CE","LTP")</f>
        <v>89</v>
      </c>
      <c r="H42" s="63">
        <f>RTD("nest.scriprtd",,"nse_fo|"&amp;$A$38&amp;""&amp;$G$1&amp;""&amp;L42&amp;"CE","ATP")</f>
        <v>78.819999999999993</v>
      </c>
      <c r="I42" s="63">
        <f>RTD("nest.scriprtd",,"nse_fo|"&amp;$A$38&amp;""&amp;$G$1&amp;""&amp;L42&amp;"CE","Volume Traded Today")</f>
        <v>387750</v>
      </c>
      <c r="J42" s="63">
        <f>RTD("nest.scriprtd",,"nse_fo|"&amp;$A$38&amp;""&amp;$G$1&amp;""&amp;L42&amp;"CE","% Change")</f>
        <v>-0.11</v>
      </c>
      <c r="K42" s="63">
        <f>RTD("nest.scriprtd",,"nse_fo|"&amp;$A$38&amp;""&amp;$G$1&amp;""&amp;L42&amp;"CE","Net Change")</f>
        <v>-0.1</v>
      </c>
      <c r="L42" s="63">
        <f>+L41+$D$38</f>
        <v>1180</v>
      </c>
      <c r="M42" s="63" t="str">
        <f>RTD("nest.scriprtd",,"nse_fo|"&amp;$A$38&amp;""&amp;$G$1&amp;""&amp;L42&amp;"CE","Option Type")</f>
        <v>CE</v>
      </c>
      <c r="N42" s="58">
        <f t="shared" si="19"/>
        <v>89</v>
      </c>
      <c r="O42" s="58">
        <v>0</v>
      </c>
      <c r="Q42" s="58">
        <f t="shared" si="16"/>
        <v>0</v>
      </c>
      <c r="R42" s="58">
        <f t="shared" si="17"/>
        <v>0</v>
      </c>
      <c r="U42" s="58"/>
      <c r="Z42" s="58">
        <f t="shared" si="18"/>
        <v>0</v>
      </c>
    </row>
    <row r="43" spans="1:27" ht="15" x14ac:dyDescent="0.25">
      <c r="A43" s="63" t="str">
        <f>RTD("nest.scriprtd",,"nse_fo|"&amp;$A$38&amp;""&amp;$G$1&amp;""&amp;L43&amp;"CE","Symbol")</f>
        <v>ADANIGREEN</v>
      </c>
      <c r="B43" s="63" t="str">
        <f>RTD("nest.scriprtd",,"nse_fo|"&amp;$A$38&amp;""&amp;$G$1&amp;""&amp;L43&amp;"CE","Series/Expiry")</f>
        <v>26Dec2024</v>
      </c>
      <c r="C43" s="63">
        <f>RTD("nest.scriprtd",,"nse_fo|"&amp;$A$38&amp;""&amp;$G$1&amp;""&amp;L43&amp;"CE","Bid Qty")</f>
        <v>375</v>
      </c>
      <c r="D43" s="63">
        <f>RTD("nest.scriprtd",,"nse_fo|"&amp;$A$38&amp;""&amp;$G$1&amp;""&amp;L43&amp;"CE","Bid Rate")</f>
        <v>76.45</v>
      </c>
      <c r="E43" s="63">
        <f>RTD("nest.scriprtd",,"nse_fo|"&amp;$A$38&amp;""&amp;$G$1&amp;""&amp;L43&amp;"CE","Ask Rate")</f>
        <v>76.900000000000006</v>
      </c>
      <c r="F43" s="63">
        <f>RTD("nest.scriprtd",,"nse_fo|"&amp;$A$38&amp;""&amp;$G$1&amp;""&amp;L43&amp;"CE","Ask Qty")</f>
        <v>375</v>
      </c>
      <c r="G43" s="84">
        <f>RTD("nest.scriprtd",,"nse_fo|"&amp;$A$38&amp;""&amp;$G$1&amp;""&amp;L43&amp;"CE","LTP")</f>
        <v>77</v>
      </c>
      <c r="H43" s="63">
        <f>RTD("nest.scriprtd",,"nse_fo|"&amp;$A$38&amp;""&amp;$G$1&amp;""&amp;L43&amp;"CE","ATP")</f>
        <v>66.03</v>
      </c>
      <c r="I43" s="63">
        <f>RTD("nest.scriprtd",,"nse_fo|"&amp;$A$38&amp;""&amp;$G$1&amp;""&amp;L43&amp;"CE","Volume Traded Today")</f>
        <v>3063750</v>
      </c>
      <c r="J43" s="63">
        <f>RTD("nest.scriprtd",,"nse_fo|"&amp;$A$38&amp;""&amp;$G$1&amp;""&amp;L43&amp;"CE","% Change")</f>
        <v>-2.2799999999999998</v>
      </c>
      <c r="K43" s="63">
        <f>RTD("nest.scriprtd",,"nse_fo|"&amp;$A$38&amp;""&amp;$G$1&amp;""&amp;L43&amp;"CE","Net Change")</f>
        <v>-1.8</v>
      </c>
      <c r="L43" s="63">
        <f t="shared" ref="L43:L55" si="20">+L42+$D$38</f>
        <v>1200</v>
      </c>
      <c r="M43" s="63" t="str">
        <f>RTD("nest.scriprtd",,"nse_fo|"&amp;$A$38&amp;""&amp;$G$1&amp;""&amp;L43&amp;"CE","Option Type")</f>
        <v>CE</v>
      </c>
      <c r="N43" s="58">
        <f t="shared" si="19"/>
        <v>77</v>
      </c>
      <c r="O43" s="58">
        <v>0</v>
      </c>
      <c r="Q43" s="58">
        <f t="shared" si="16"/>
        <v>0</v>
      </c>
      <c r="R43" s="58">
        <f t="shared" si="17"/>
        <v>0</v>
      </c>
      <c r="U43" s="58"/>
      <c r="Z43" s="58">
        <f t="shared" si="18"/>
        <v>0</v>
      </c>
    </row>
    <row r="44" spans="1:27" ht="15" x14ac:dyDescent="0.25">
      <c r="A44" s="63" t="str">
        <f>RTD("nest.scriprtd",,"nse_fo|"&amp;$A$38&amp;""&amp;$G$1&amp;""&amp;L44&amp;"CE","Symbol")</f>
        <v>ADANIGREEN</v>
      </c>
      <c r="B44" s="63" t="str">
        <f>RTD("nest.scriprtd",,"nse_fo|"&amp;$A$38&amp;""&amp;$G$1&amp;""&amp;L44&amp;"CE","Series/Expiry")</f>
        <v>26Dec2024</v>
      </c>
      <c r="C44" s="63">
        <f>RTD("nest.scriprtd",,"nse_fo|"&amp;$A$38&amp;""&amp;$G$1&amp;""&amp;L44&amp;"CE","Bid Qty")</f>
        <v>750</v>
      </c>
      <c r="D44" s="63">
        <f>RTD("nest.scriprtd",,"nse_fo|"&amp;$A$38&amp;""&amp;$G$1&amp;""&amp;L44&amp;"CE","Bid Rate")</f>
        <v>66.3</v>
      </c>
      <c r="E44" s="63">
        <f>RTD("nest.scriprtd",,"nse_fo|"&amp;$A$38&amp;""&amp;$G$1&amp;""&amp;L44&amp;"CE","Ask Rate")</f>
        <v>66.849999999999994</v>
      </c>
      <c r="F44" s="63">
        <f>RTD("nest.scriprtd",,"nse_fo|"&amp;$A$38&amp;""&amp;$G$1&amp;""&amp;L44&amp;"CE","Ask Qty")</f>
        <v>375</v>
      </c>
      <c r="G44" s="84">
        <f>RTD("nest.scriprtd",,"nse_fo|"&amp;$A$38&amp;""&amp;$G$1&amp;""&amp;L44&amp;"CE","LTP")</f>
        <v>67</v>
      </c>
      <c r="H44" s="63">
        <f>RTD("nest.scriprtd",,"nse_fo|"&amp;$A$38&amp;""&amp;$G$1&amp;""&amp;L44&amp;"CE","ATP")</f>
        <v>59.33</v>
      </c>
      <c r="I44" s="63">
        <f>RTD("nest.scriprtd",,"nse_fo|"&amp;$A$38&amp;""&amp;$G$1&amp;""&amp;L44&amp;"CE","Volume Traded Today")</f>
        <v>601125</v>
      </c>
      <c r="J44" s="63">
        <f>RTD("nest.scriprtd",,"nse_fo|"&amp;$A$38&amp;""&amp;$G$1&amp;""&amp;L44&amp;"CE","% Change")</f>
        <v>-2.97</v>
      </c>
      <c r="K44" s="63">
        <f>RTD("nest.scriprtd",,"nse_fo|"&amp;$A$38&amp;""&amp;$G$1&amp;""&amp;L44&amp;"CE","Net Change")</f>
        <v>-2.0499999999999998</v>
      </c>
      <c r="L44" s="63">
        <f t="shared" si="20"/>
        <v>1220</v>
      </c>
      <c r="M44" s="63" t="str">
        <f>RTD("nest.scriprtd",,"nse_fo|"&amp;$A$38&amp;""&amp;$G$1&amp;""&amp;L44&amp;"CE","Option Type")</f>
        <v>CE</v>
      </c>
      <c r="N44" s="58">
        <f t="shared" si="19"/>
        <v>67</v>
      </c>
      <c r="O44" s="58">
        <v>0</v>
      </c>
      <c r="P44" s="58">
        <v>-375</v>
      </c>
      <c r="Q44" s="58">
        <f t="shared" si="16"/>
        <v>-375</v>
      </c>
      <c r="R44" s="58">
        <f t="shared" si="17"/>
        <v>-25125</v>
      </c>
      <c r="U44" s="58"/>
      <c r="Z44" s="58">
        <f t="shared" si="18"/>
        <v>0</v>
      </c>
    </row>
    <row r="45" spans="1:27" ht="15" x14ac:dyDescent="0.25">
      <c r="A45" s="63" t="str">
        <f>RTD("nest.scriprtd",,"nse_fo|"&amp;$A$38&amp;""&amp;$G$1&amp;""&amp;L45&amp;"CE","Symbol")</f>
        <v>ADANIGREEN</v>
      </c>
      <c r="B45" s="63" t="str">
        <f>RTD("nest.scriprtd",,"nse_fo|"&amp;$A$38&amp;""&amp;$G$1&amp;""&amp;L45&amp;"CE","Series/Expiry")</f>
        <v>26Dec2024</v>
      </c>
      <c r="C45" s="63">
        <f>RTD("nest.scriprtd",,"nse_fo|"&amp;$A$38&amp;""&amp;$G$1&amp;""&amp;L45&amp;"CE","Bid Qty")</f>
        <v>750</v>
      </c>
      <c r="D45" s="63">
        <f>RTD("nest.scriprtd",,"nse_fo|"&amp;$A$38&amp;""&amp;$G$1&amp;""&amp;L45&amp;"CE","Bid Rate")</f>
        <v>57.25</v>
      </c>
      <c r="E45" s="63">
        <f>RTD("nest.scriprtd",,"nse_fo|"&amp;$A$38&amp;""&amp;$G$1&amp;""&amp;L45&amp;"CE","Ask Rate")</f>
        <v>57.75</v>
      </c>
      <c r="F45" s="63">
        <f>RTD("nest.scriprtd",,"nse_fo|"&amp;$A$38&amp;""&amp;$G$1&amp;""&amp;L45&amp;"CE","Ask Qty")</f>
        <v>375</v>
      </c>
      <c r="G45" s="84">
        <f>RTD("nest.scriprtd",,"nse_fo|"&amp;$A$38&amp;""&amp;$G$1&amp;""&amp;L45&amp;"CE","LTP")</f>
        <v>57.7</v>
      </c>
      <c r="H45" s="63">
        <f>RTD("nest.scriprtd",,"nse_fo|"&amp;$A$38&amp;""&amp;$G$1&amp;""&amp;L45&amp;"CE","ATP")</f>
        <v>52.23</v>
      </c>
      <c r="I45" s="63">
        <f>RTD("nest.scriprtd",,"nse_fo|"&amp;$A$38&amp;""&amp;$G$1&amp;""&amp;L45&amp;"CE","Volume Traded Today")</f>
        <v>543375</v>
      </c>
      <c r="J45" s="63">
        <f>RTD("nest.scriprtd",,"nse_fo|"&amp;$A$38&amp;""&amp;$G$1&amp;""&amp;L45&amp;"CE","% Change")</f>
        <v>-4.63</v>
      </c>
      <c r="K45" s="63">
        <f>RTD("nest.scriprtd",,"nse_fo|"&amp;$A$38&amp;""&amp;$G$1&amp;""&amp;L45&amp;"CE","Net Change")</f>
        <v>-2.8</v>
      </c>
      <c r="L45" s="63">
        <f t="shared" si="20"/>
        <v>1240</v>
      </c>
      <c r="M45" s="63" t="str">
        <f>RTD("nest.scriprtd",,"nse_fo|"&amp;$A$38&amp;""&amp;$G$1&amp;""&amp;L45&amp;"CE","Option Type")</f>
        <v>CE</v>
      </c>
      <c r="N45" s="58">
        <f t="shared" si="19"/>
        <v>57.7</v>
      </c>
      <c r="O45" s="58">
        <v>0</v>
      </c>
      <c r="Q45" s="58">
        <f t="shared" si="16"/>
        <v>0</v>
      </c>
      <c r="R45" s="58">
        <f t="shared" si="17"/>
        <v>0</v>
      </c>
      <c r="U45" s="58"/>
      <c r="Z45" s="58">
        <f t="shared" si="18"/>
        <v>0</v>
      </c>
    </row>
    <row r="46" spans="1:27" ht="15" x14ac:dyDescent="0.25">
      <c r="A46" s="63" t="str">
        <f>RTD("nest.scriprtd",,"nse_fo|"&amp;$A$38&amp;""&amp;$G$1&amp;""&amp;L46&amp;"CE","Symbol")</f>
        <v>ADANIGREEN</v>
      </c>
      <c r="B46" s="63" t="str">
        <f>RTD("nest.scriprtd",,"nse_fo|"&amp;$A$38&amp;""&amp;$G$1&amp;""&amp;L46&amp;"CE","Series/Expiry")</f>
        <v>26Dec2024</v>
      </c>
      <c r="C46" s="63">
        <f>RTD("nest.scriprtd",,"nse_fo|"&amp;$A$38&amp;""&amp;$G$1&amp;""&amp;L46&amp;"CE","Bid Qty")</f>
        <v>1125</v>
      </c>
      <c r="D46" s="63">
        <f>RTD("nest.scriprtd",,"nse_fo|"&amp;$A$38&amp;""&amp;$G$1&amp;""&amp;L46&amp;"CE","Bid Rate")</f>
        <v>49.5</v>
      </c>
      <c r="E46" s="63">
        <f>RTD("nest.scriprtd",,"nse_fo|"&amp;$A$38&amp;""&amp;$G$1&amp;""&amp;L46&amp;"CE","Ask Rate")</f>
        <v>49.9</v>
      </c>
      <c r="F46" s="63">
        <f>RTD("nest.scriprtd",,"nse_fo|"&amp;$A$38&amp;""&amp;$G$1&amp;""&amp;L46&amp;"CE","Ask Qty")</f>
        <v>375</v>
      </c>
      <c r="G46" s="84">
        <f>RTD("nest.scriprtd",,"nse_fo|"&amp;$A$38&amp;""&amp;$G$1&amp;""&amp;L46&amp;"CE","LTP")</f>
        <v>50.05</v>
      </c>
      <c r="H46" s="63">
        <f>RTD("nest.scriprtd",,"nse_fo|"&amp;$A$38&amp;""&amp;$G$1&amp;""&amp;L46&amp;"CE","ATP")</f>
        <v>44.37</v>
      </c>
      <c r="I46" s="63">
        <f>RTD("nest.scriprtd",,"nse_fo|"&amp;$A$38&amp;""&amp;$G$1&amp;""&amp;L46&amp;"CE","Volume Traded Today")</f>
        <v>441750</v>
      </c>
      <c r="J46" s="63">
        <f>RTD("nest.scriprtd",,"nse_fo|"&amp;$A$38&amp;""&amp;$G$1&amp;""&amp;L46&amp;"CE","% Change")</f>
        <v>-5.21</v>
      </c>
      <c r="K46" s="63">
        <f>RTD("nest.scriprtd",,"nse_fo|"&amp;$A$38&amp;""&amp;$G$1&amp;""&amp;L46&amp;"CE","Net Change")</f>
        <v>-2.75</v>
      </c>
      <c r="L46" s="63">
        <f t="shared" si="20"/>
        <v>1260</v>
      </c>
      <c r="M46" s="63" t="str">
        <f>RTD("nest.scriprtd",,"nse_fo|"&amp;$A$38&amp;""&amp;$G$1&amp;""&amp;L46&amp;"CE","Option Type")</f>
        <v>CE</v>
      </c>
      <c r="N46" s="58">
        <f t="shared" si="19"/>
        <v>50.05</v>
      </c>
      <c r="O46" s="58">
        <v>0</v>
      </c>
      <c r="Q46" s="58">
        <f t="shared" si="16"/>
        <v>0</v>
      </c>
      <c r="R46" s="58">
        <f t="shared" si="17"/>
        <v>0</v>
      </c>
      <c r="Z46" s="58">
        <f t="shared" si="18"/>
        <v>0</v>
      </c>
    </row>
    <row r="47" spans="1:27" ht="15" x14ac:dyDescent="0.25">
      <c r="A47" s="63" t="str">
        <f>RTD("nest.scriprtd",,"nse_fo|"&amp;$A$38&amp;""&amp;$G$1&amp;""&amp;L47&amp;"CE","Symbol")</f>
        <v>ADANIGREEN</v>
      </c>
      <c r="B47" s="63" t="str">
        <f>RTD("nest.scriprtd",,"nse_fo|"&amp;$A$38&amp;""&amp;$G$1&amp;""&amp;L47&amp;"CE","Series/Expiry")</f>
        <v>26Dec2024</v>
      </c>
      <c r="C47" s="63">
        <f>RTD("nest.scriprtd",,"nse_fo|"&amp;$A$38&amp;""&amp;$G$1&amp;""&amp;L47&amp;"CE","Bid Qty")</f>
        <v>1875</v>
      </c>
      <c r="D47" s="63">
        <f>RTD("nest.scriprtd",,"nse_fo|"&amp;$A$38&amp;""&amp;$G$1&amp;""&amp;L47&amp;"CE","Bid Rate")</f>
        <v>42.35</v>
      </c>
      <c r="E47" s="63">
        <f>RTD("nest.scriprtd",,"nse_fo|"&amp;$A$38&amp;""&amp;$G$1&amp;""&amp;L47&amp;"CE","Ask Rate")</f>
        <v>42.9</v>
      </c>
      <c r="F47" s="63">
        <f>RTD("nest.scriprtd",,"nse_fo|"&amp;$A$38&amp;""&amp;$G$1&amp;""&amp;L47&amp;"CE","Ask Qty")</f>
        <v>375</v>
      </c>
      <c r="G47" s="84">
        <f>RTD("nest.scriprtd",,"nse_fo|"&amp;$A$38&amp;""&amp;$G$1&amp;""&amp;L47&amp;"CE","LTP")</f>
        <v>43</v>
      </c>
      <c r="H47" s="63">
        <f>RTD("nest.scriprtd",,"nse_fo|"&amp;$A$38&amp;""&amp;$G$1&amp;""&amp;L47&amp;"CE","ATP")</f>
        <v>39.75</v>
      </c>
      <c r="I47" s="63">
        <f>RTD("nest.scriprtd",,"nse_fo|"&amp;$A$38&amp;""&amp;$G$1&amp;""&amp;L47&amp;"CE","Volume Traded Today")</f>
        <v>247875</v>
      </c>
      <c r="J47" s="63">
        <f>RTD("nest.scriprtd",,"nse_fo|"&amp;$A$38&amp;""&amp;$G$1&amp;""&amp;L47&amp;"CE","% Change")</f>
        <v>-7.03</v>
      </c>
      <c r="K47" s="63">
        <f>RTD("nest.scriprtd",,"nse_fo|"&amp;$A$38&amp;""&amp;$G$1&amp;""&amp;L47&amp;"CE","Net Change")</f>
        <v>-3.25</v>
      </c>
      <c r="L47" s="63">
        <f t="shared" ref="L47:L50" si="21">+L46+$D$38</f>
        <v>1280</v>
      </c>
      <c r="M47" s="63" t="str">
        <f>RTD("nest.scriprtd",,"nse_fo|"&amp;$A$38&amp;""&amp;$G$1&amp;""&amp;L47&amp;"CE","Option Type")</f>
        <v>CE</v>
      </c>
      <c r="N47" s="58">
        <f t="shared" ref="N47:N48" si="22">MIN($S$39,G47)</f>
        <v>43</v>
      </c>
      <c r="O47" s="58">
        <v>0</v>
      </c>
      <c r="Q47" s="58">
        <f t="shared" ref="Q47:Q48" si="23">+P47+O47</f>
        <v>0</v>
      </c>
      <c r="R47" s="58">
        <f t="shared" ref="R47:R48" si="24">+Q47*N47</f>
        <v>0</v>
      </c>
      <c r="Z47" s="58">
        <f t="shared" ref="Z47:Z48" si="25">+O47*K47</f>
        <v>0</v>
      </c>
    </row>
    <row r="48" spans="1:27" ht="15" x14ac:dyDescent="0.25">
      <c r="A48" s="63" t="str">
        <f>RTD("nest.scriprtd",,"nse_fo|"&amp;$A$38&amp;""&amp;$G$1&amp;""&amp;L48&amp;"CE","Symbol")</f>
        <v>ADANIGREEN</v>
      </c>
      <c r="B48" s="63" t="str">
        <f>RTD("nest.scriprtd",,"nse_fo|"&amp;$A$38&amp;""&amp;$G$1&amp;""&amp;L48&amp;"CE","Series/Expiry")</f>
        <v>26Dec2024</v>
      </c>
      <c r="C48" s="63">
        <f>RTD("nest.scriprtd",,"nse_fo|"&amp;$A$38&amp;""&amp;$G$1&amp;""&amp;L48&amp;"CE","Bid Qty")</f>
        <v>1125</v>
      </c>
      <c r="D48" s="63">
        <f>RTD("nest.scriprtd",,"nse_fo|"&amp;$A$38&amp;""&amp;$G$1&amp;""&amp;L48&amp;"CE","Bid Rate")</f>
        <v>36.799999999999997</v>
      </c>
      <c r="E48" s="63">
        <f>RTD("nest.scriprtd",,"nse_fo|"&amp;$A$38&amp;""&amp;$G$1&amp;""&amp;L48&amp;"CE","Ask Rate")</f>
        <v>37.200000000000003</v>
      </c>
      <c r="F48" s="63">
        <f>RTD("nest.scriprtd",,"nse_fo|"&amp;$A$38&amp;""&amp;$G$1&amp;""&amp;L48&amp;"CE","Ask Qty")</f>
        <v>750</v>
      </c>
      <c r="G48" s="84">
        <f>RTD("nest.scriprtd",,"nse_fo|"&amp;$A$38&amp;""&amp;$G$1&amp;""&amp;L48&amp;"CE","LTP")</f>
        <v>37</v>
      </c>
      <c r="H48" s="63">
        <f>RTD("nest.scriprtd",,"nse_fo|"&amp;$A$38&amp;""&amp;$G$1&amp;""&amp;L48&amp;"CE","ATP")</f>
        <v>33.64</v>
      </c>
      <c r="I48" s="63">
        <f>RTD("nest.scriprtd",,"nse_fo|"&amp;$A$38&amp;""&amp;$G$1&amp;""&amp;L48&amp;"CE","Volume Traded Today")</f>
        <v>1612125</v>
      </c>
      <c r="J48" s="63">
        <f>RTD("nest.scriprtd",,"nse_fo|"&amp;$A$38&amp;""&amp;$G$1&amp;""&amp;L48&amp;"CE","% Change")</f>
        <v>-7.96</v>
      </c>
      <c r="K48" s="63">
        <f>RTD("nest.scriprtd",,"nse_fo|"&amp;$A$38&amp;""&amp;$G$1&amp;""&amp;L48&amp;"CE","Net Change")</f>
        <v>-3.2</v>
      </c>
      <c r="L48" s="63">
        <f t="shared" si="21"/>
        <v>1300</v>
      </c>
      <c r="M48" s="63" t="str">
        <f>RTD("nest.scriprtd",,"nse_fo|"&amp;$A$38&amp;""&amp;$G$1&amp;""&amp;L48&amp;"CE","Option Type")</f>
        <v>CE</v>
      </c>
      <c r="N48" s="58">
        <f t="shared" si="22"/>
        <v>37</v>
      </c>
      <c r="O48" s="58">
        <v>0</v>
      </c>
      <c r="Q48" s="58">
        <f t="shared" si="23"/>
        <v>0</v>
      </c>
      <c r="R48" s="58">
        <f t="shared" si="24"/>
        <v>0</v>
      </c>
      <c r="Z48" s="58">
        <f t="shared" si="25"/>
        <v>0</v>
      </c>
    </row>
    <row r="49" spans="1:27" ht="15" x14ac:dyDescent="0.25">
      <c r="A49" s="63" t="str">
        <f>RTD("nest.scriprtd",,"nse_fo|"&amp;$A$38&amp;""&amp;$G$1&amp;""&amp;L49&amp;"CE","Symbol")</f>
        <v>ADANIGREEN</v>
      </c>
      <c r="B49" s="63" t="str">
        <f>RTD("nest.scriprtd",,"nse_fo|"&amp;$A$38&amp;""&amp;$G$1&amp;""&amp;L49&amp;"CE","Series/Expiry")</f>
        <v>26Dec2024</v>
      </c>
      <c r="C49" s="63">
        <f>RTD("nest.scriprtd",,"nse_fo|"&amp;$A$38&amp;""&amp;$G$1&amp;""&amp;L49&amp;"CE","Bid Qty")</f>
        <v>375</v>
      </c>
      <c r="D49" s="63">
        <f>RTD("nest.scriprtd",,"nse_fo|"&amp;$A$38&amp;""&amp;$G$1&amp;""&amp;L49&amp;"CE","Bid Rate")</f>
        <v>31.7</v>
      </c>
      <c r="E49" s="63">
        <f>RTD("nest.scriprtd",,"nse_fo|"&amp;$A$38&amp;""&amp;$G$1&amp;""&amp;L49&amp;"CE","Ask Rate")</f>
        <v>32.15</v>
      </c>
      <c r="F49" s="63">
        <f>RTD("nest.scriprtd",,"nse_fo|"&amp;$A$38&amp;""&amp;$G$1&amp;""&amp;L49&amp;"CE","Ask Qty")</f>
        <v>1500</v>
      </c>
      <c r="G49" s="84">
        <f>RTD("nest.scriprtd",,"nse_fo|"&amp;$A$38&amp;""&amp;$G$1&amp;""&amp;L49&amp;"CE","LTP")</f>
        <v>32.549999999999997</v>
      </c>
      <c r="H49" s="63">
        <f>RTD("nest.scriprtd",,"nse_fo|"&amp;$A$38&amp;""&amp;$G$1&amp;""&amp;L49&amp;"CE","ATP")</f>
        <v>29.17</v>
      </c>
      <c r="I49" s="63">
        <f>RTD("nest.scriprtd",,"nse_fo|"&amp;$A$38&amp;""&amp;$G$1&amp;""&amp;L49&amp;"CE","Volume Traded Today")</f>
        <v>275250</v>
      </c>
      <c r="J49" s="63">
        <f>RTD("nest.scriprtd",,"nse_fo|"&amp;$A$38&amp;""&amp;$G$1&amp;""&amp;L49&amp;"CE","% Change")</f>
        <v>-8.31</v>
      </c>
      <c r="K49" s="63">
        <f>RTD("nest.scriprtd",,"nse_fo|"&amp;$A$38&amp;""&amp;$G$1&amp;""&amp;L49&amp;"CE","Net Change")</f>
        <v>-2.95</v>
      </c>
      <c r="L49" s="63">
        <f t="shared" si="21"/>
        <v>1320</v>
      </c>
      <c r="M49" s="63" t="str">
        <f>RTD("nest.scriprtd",,"nse_fo|"&amp;$A$38&amp;""&amp;$G$1&amp;""&amp;L49&amp;"CE","Option Type")</f>
        <v>CE</v>
      </c>
      <c r="N49" s="58">
        <f t="shared" si="19"/>
        <v>32.549999999999997</v>
      </c>
      <c r="O49" s="58">
        <v>0</v>
      </c>
      <c r="Q49" s="58">
        <f t="shared" si="16"/>
        <v>0</v>
      </c>
      <c r="R49" s="58">
        <f t="shared" si="17"/>
        <v>0</v>
      </c>
      <c r="Z49" s="58">
        <f t="shared" si="18"/>
        <v>0</v>
      </c>
    </row>
    <row r="50" spans="1:27" ht="15" x14ac:dyDescent="0.25">
      <c r="A50" s="63" t="str">
        <f>RTD("nest.scriprtd",,"nse_fo|"&amp;$A$38&amp;""&amp;$G$1&amp;""&amp;L50&amp;"CE","Symbol")</f>
        <v>ADANIGREEN</v>
      </c>
      <c r="B50" s="63" t="str">
        <f>RTD("nest.scriprtd",,"nse_fo|"&amp;$A$38&amp;""&amp;$G$1&amp;""&amp;L50&amp;"CE","Series/Expiry")</f>
        <v>26Dec2024</v>
      </c>
      <c r="C50" s="63">
        <f>RTD("nest.scriprtd",,"nse_fo|"&amp;$A$38&amp;""&amp;$G$1&amp;""&amp;L50&amp;"CE","Bid Qty")</f>
        <v>750</v>
      </c>
      <c r="D50" s="63">
        <f>RTD("nest.scriprtd",,"nse_fo|"&amp;$A$38&amp;""&amp;$G$1&amp;""&amp;L50&amp;"CE","Bid Rate")</f>
        <v>27.45</v>
      </c>
      <c r="E50" s="63">
        <f>RTD("nest.scriprtd",,"nse_fo|"&amp;$A$38&amp;""&amp;$G$1&amp;""&amp;L50&amp;"CE","Ask Rate")</f>
        <v>27.75</v>
      </c>
      <c r="F50" s="63">
        <f>RTD("nest.scriprtd",,"nse_fo|"&amp;$A$38&amp;""&amp;$G$1&amp;""&amp;L50&amp;"CE","Ask Qty")</f>
        <v>375</v>
      </c>
      <c r="G50" s="84">
        <f>RTD("nest.scriprtd",,"nse_fo|"&amp;$A$38&amp;""&amp;$G$1&amp;""&amp;L50&amp;"CE","LTP")</f>
        <v>27.7</v>
      </c>
      <c r="H50" s="63">
        <f>RTD("nest.scriprtd",,"nse_fo|"&amp;$A$38&amp;""&amp;$G$1&amp;""&amp;L50&amp;"CE","ATP")</f>
        <v>25.39</v>
      </c>
      <c r="I50" s="63">
        <f>RTD("nest.scriprtd",,"nse_fo|"&amp;$A$38&amp;""&amp;$G$1&amp;""&amp;L50&amp;"CE","Volume Traded Today")</f>
        <v>292125</v>
      </c>
      <c r="J50" s="63">
        <f>RTD("nest.scriprtd",,"nse_fo|"&amp;$A$38&amp;""&amp;$G$1&amp;""&amp;L50&amp;"CE","% Change")</f>
        <v>-11.64</v>
      </c>
      <c r="K50" s="63">
        <f>RTD("nest.scriprtd",,"nse_fo|"&amp;$A$38&amp;""&amp;$G$1&amp;""&amp;L50&amp;"CE","Net Change")</f>
        <v>-3.65</v>
      </c>
      <c r="L50" s="63">
        <f t="shared" si="21"/>
        <v>1340</v>
      </c>
      <c r="M50" s="63" t="str">
        <f>RTD("nest.scriprtd",,"nse_fo|"&amp;$A$38&amp;""&amp;$G$1&amp;""&amp;L50&amp;"CE","Option Type")</f>
        <v>CE</v>
      </c>
      <c r="N50" s="58">
        <f t="shared" si="19"/>
        <v>27.7</v>
      </c>
      <c r="O50" s="58">
        <v>0</v>
      </c>
      <c r="Q50" s="58">
        <f t="shared" si="16"/>
        <v>0</v>
      </c>
      <c r="R50" s="58">
        <f t="shared" si="17"/>
        <v>0</v>
      </c>
      <c r="Z50" s="58">
        <f t="shared" si="18"/>
        <v>0</v>
      </c>
    </row>
    <row r="51" spans="1:27" ht="15" x14ac:dyDescent="0.25">
      <c r="A51" s="63" t="str">
        <f>RTD("nest.scriprtd",,"nse_fo|"&amp;$A$38&amp;""&amp;$G$1&amp;""&amp;L51&amp;"CE","Symbol")</f>
        <v>ADANIGREEN</v>
      </c>
      <c r="B51" s="63" t="str">
        <f>RTD("nest.scriprtd",,"nse_fo|"&amp;$A$38&amp;""&amp;$G$1&amp;""&amp;L51&amp;"PE","Series/Expiry")</f>
        <v>26Dec2024</v>
      </c>
      <c r="C51" s="63">
        <f>RTD("nest.scriprtd",,"nse_fo|"&amp;$A$38&amp;""&amp;$G$1&amp;""&amp;L51&amp;"PE","Bid Qty")</f>
        <v>375</v>
      </c>
      <c r="D51" s="63">
        <f>RTD("nest.scriprtd",,"nse_fo|"&amp;$A$38&amp;""&amp;$G$1&amp;""&amp;L51&amp;"PE","Bid Rate")</f>
        <v>13.5</v>
      </c>
      <c r="E51" s="63">
        <f>RTD("nest.scriprtd",,"nse_fo|"&amp;$A$38&amp;""&amp;$G$1&amp;""&amp;L51&amp;"PE","Ask Rate")</f>
        <v>13.7</v>
      </c>
      <c r="F51" s="63">
        <f>RTD("nest.scriprtd",,"nse_fo|"&amp;$A$38&amp;""&amp;$G$1&amp;""&amp;L51&amp;"PE","Ask Qty")</f>
        <v>750</v>
      </c>
      <c r="G51" s="84">
        <f>RTD("nest.scriprtd",,"nse_fo|"&amp;$A$38&amp;""&amp;$G$1&amp;""&amp;L51&amp;"PE","LTP")</f>
        <v>13.45</v>
      </c>
      <c r="H51" s="63">
        <f>RTD("nest.scriprtd",,"nse_fo|"&amp;$A$38&amp;""&amp;$G$1&amp;""&amp;L51&amp;"PE","ATP")</f>
        <v>17.25</v>
      </c>
      <c r="I51" s="63">
        <f>RTD("nest.scriprtd",,"nse_fo|"&amp;$A$38&amp;""&amp;$G$1&amp;""&amp;L51&amp;"PE","Volume Traded Today")</f>
        <v>32250</v>
      </c>
      <c r="J51" s="63">
        <f>RTD("nest.scriprtd",,"nse_fo|"&amp;$A$38&amp;""&amp;$G$1&amp;""&amp;L51&amp;"PE","% Change")</f>
        <v>-29.4</v>
      </c>
      <c r="K51" s="63">
        <f>RTD("nest.scriprtd",,"nse_fo|"&amp;$A$38&amp;""&amp;$G$1&amp;""&amp;L51&amp;"PE","Net Change")</f>
        <v>-5.6</v>
      </c>
      <c r="L51" s="63">
        <v>1040</v>
      </c>
      <c r="M51" s="82" t="str">
        <f>RTD("nest.scriprtd",,"nse_fo|"&amp;$A$38&amp;""&amp;$G$1&amp;""&amp;L51&amp;"PE","Option Type")</f>
        <v>PE</v>
      </c>
      <c r="N51" s="58">
        <f t="shared" si="19"/>
        <v>13.45</v>
      </c>
      <c r="O51" s="58">
        <v>0</v>
      </c>
      <c r="Q51" s="58">
        <f t="shared" si="16"/>
        <v>0</v>
      </c>
      <c r="R51" s="58">
        <f t="shared" si="17"/>
        <v>0</v>
      </c>
      <c r="Z51" s="58">
        <f t="shared" si="18"/>
        <v>0</v>
      </c>
    </row>
    <row r="52" spans="1:27" ht="15" x14ac:dyDescent="0.25">
      <c r="A52" s="63" t="str">
        <f>RTD("nest.scriprtd",,"nse_fo|"&amp;$A$38&amp;""&amp;$G$1&amp;""&amp;L52&amp;"CE","Symbol")</f>
        <v>ADANIGREEN</v>
      </c>
      <c r="B52" s="63" t="str">
        <f>RTD("nest.scriprtd",,"nse_fo|"&amp;$A$38&amp;""&amp;$G$1&amp;""&amp;L52&amp;"PE","Series/Expiry")</f>
        <v>26Dec2024</v>
      </c>
      <c r="C52" s="63">
        <f>RTD("nest.scriprtd",,"nse_fo|"&amp;$A$38&amp;""&amp;$G$1&amp;""&amp;L52&amp;"PE","Bid Qty")</f>
        <v>375</v>
      </c>
      <c r="D52" s="63">
        <f>RTD("nest.scriprtd",,"nse_fo|"&amp;$A$38&amp;""&amp;$G$1&amp;""&amp;L52&amp;"PE","Bid Rate")</f>
        <v>16.8</v>
      </c>
      <c r="E52" s="63">
        <f>RTD("nest.scriprtd",,"nse_fo|"&amp;$A$38&amp;""&amp;$G$1&amp;""&amp;L52&amp;"PE","Ask Rate")</f>
        <v>17.149999999999999</v>
      </c>
      <c r="F52" s="63">
        <f>RTD("nest.scriprtd",,"nse_fo|"&amp;$A$38&amp;""&amp;$G$1&amp;""&amp;L52&amp;"PE","Ask Qty")</f>
        <v>375</v>
      </c>
      <c r="G52" s="84">
        <f>RTD("nest.scriprtd",,"nse_fo|"&amp;$A$38&amp;""&amp;$G$1&amp;""&amp;L52&amp;"PE","LTP")</f>
        <v>16.95</v>
      </c>
      <c r="H52" s="63">
        <f>RTD("nest.scriprtd",,"nse_fo|"&amp;$A$38&amp;""&amp;$G$1&amp;""&amp;L52&amp;"PE","ATP")</f>
        <v>19.71</v>
      </c>
      <c r="I52" s="63">
        <f>RTD("nest.scriprtd",,"nse_fo|"&amp;$A$38&amp;""&amp;$G$1&amp;""&amp;L52&amp;"PE","Volume Traded Today")</f>
        <v>42375</v>
      </c>
      <c r="J52" s="63">
        <f>RTD("nest.scriprtd",,"nse_fo|"&amp;$A$38&amp;""&amp;$G$1&amp;""&amp;L52&amp;"PE","% Change")</f>
        <v>-27.87</v>
      </c>
      <c r="K52" s="63">
        <f>RTD("nest.scriprtd",,"nse_fo|"&amp;$A$38&amp;""&amp;$G$1&amp;""&amp;L52&amp;"PE","Net Change")</f>
        <v>-6.55</v>
      </c>
      <c r="L52" s="63">
        <f t="shared" si="20"/>
        <v>1060</v>
      </c>
      <c r="M52" s="63" t="str">
        <f>RTD("nest.scriprtd",,"nse_fo|"&amp;$A$38&amp;""&amp;$G$1&amp;""&amp;L52&amp;"PE","Option Type")</f>
        <v>PE</v>
      </c>
      <c r="N52" s="58">
        <f t="shared" si="19"/>
        <v>16.95</v>
      </c>
      <c r="O52" s="58">
        <v>0</v>
      </c>
      <c r="Q52" s="58">
        <f t="shared" si="16"/>
        <v>0</v>
      </c>
      <c r="R52" s="58">
        <f t="shared" si="17"/>
        <v>0</v>
      </c>
      <c r="Z52" s="58">
        <f t="shared" si="18"/>
        <v>0</v>
      </c>
    </row>
    <row r="53" spans="1:27" ht="15" x14ac:dyDescent="0.25">
      <c r="A53" s="63" t="str">
        <f>RTD("nest.scriprtd",,"nse_fo|"&amp;$A$38&amp;""&amp;$G$1&amp;""&amp;L53&amp;"CE","Symbol")</f>
        <v>ADANIGREEN</v>
      </c>
      <c r="B53" s="63" t="str">
        <f>RTD("nest.scriprtd",,"nse_fo|"&amp;$A$38&amp;""&amp;$G$1&amp;""&amp;L53&amp;"PE","Series/Expiry")</f>
        <v>26Dec2024</v>
      </c>
      <c r="C53" s="63">
        <f>RTD("nest.scriprtd",,"nse_fo|"&amp;$A$38&amp;""&amp;$G$1&amp;""&amp;L53&amp;"PE","Bid Qty")</f>
        <v>750</v>
      </c>
      <c r="D53" s="63">
        <f>RTD("nest.scriprtd",,"nse_fo|"&amp;$A$38&amp;""&amp;$G$1&amp;""&amp;L53&amp;"PE","Bid Rate")</f>
        <v>20.5</v>
      </c>
      <c r="E53" s="63">
        <f>RTD("nest.scriprtd",,"nse_fo|"&amp;$A$38&amp;""&amp;$G$1&amp;""&amp;L53&amp;"PE","Ask Rate")</f>
        <v>21</v>
      </c>
      <c r="F53" s="63">
        <f>RTD("nest.scriprtd",,"nse_fo|"&amp;$A$38&amp;""&amp;$G$1&amp;""&amp;L53&amp;"PE","Ask Qty")</f>
        <v>375</v>
      </c>
      <c r="G53" s="84">
        <f>RTD("nest.scriprtd",,"nse_fo|"&amp;$A$38&amp;""&amp;$G$1&amp;""&amp;L53&amp;"PE","LTP")</f>
        <v>21.85</v>
      </c>
      <c r="H53" s="63">
        <f>RTD("nest.scriprtd",,"nse_fo|"&amp;$A$38&amp;""&amp;$G$1&amp;""&amp;L53&amp;"PE","ATP")</f>
        <v>24.18</v>
      </c>
      <c r="I53" s="63">
        <f>RTD("nest.scriprtd",,"nse_fo|"&amp;$A$38&amp;""&amp;$G$1&amp;""&amp;L53&amp;"PE","Volume Traded Today")</f>
        <v>32250</v>
      </c>
      <c r="J53" s="63">
        <f>RTD("nest.scriprtd",,"nse_fo|"&amp;$A$38&amp;""&amp;$G$1&amp;""&amp;L53&amp;"PE","% Change")</f>
        <v>-24</v>
      </c>
      <c r="K53" s="63">
        <f>RTD("nest.scriprtd",,"nse_fo|"&amp;$A$38&amp;""&amp;$G$1&amp;""&amp;L53&amp;"PE","Net Change")</f>
        <v>-6.9</v>
      </c>
      <c r="L53" s="63">
        <f t="shared" si="20"/>
        <v>1080</v>
      </c>
      <c r="M53" s="63" t="str">
        <f>RTD("nest.scriprtd",,"nse_fo|"&amp;$A$38&amp;""&amp;$G$1&amp;""&amp;L53&amp;"PE","Option Type")</f>
        <v>PE</v>
      </c>
      <c r="N53" s="58">
        <f t="shared" si="19"/>
        <v>21.85</v>
      </c>
      <c r="O53" s="58">
        <v>0</v>
      </c>
      <c r="Q53" s="58">
        <f t="shared" si="16"/>
        <v>0</v>
      </c>
      <c r="R53" s="58">
        <f t="shared" si="17"/>
        <v>0</v>
      </c>
      <c r="Z53" s="58">
        <f t="shared" si="18"/>
        <v>0</v>
      </c>
    </row>
    <row r="54" spans="1:27" ht="15" x14ac:dyDescent="0.25">
      <c r="A54" s="63" t="str">
        <f>RTD("nest.scriprtd",,"nse_fo|"&amp;$A$38&amp;""&amp;$G$1&amp;""&amp;L54&amp;"CE","Symbol")</f>
        <v>ADANIGREEN</v>
      </c>
      <c r="B54" s="63" t="str">
        <f>RTD("nest.scriprtd",,"nse_fo|"&amp;$A$38&amp;""&amp;$G$1&amp;""&amp;L54&amp;"PE","Series/Expiry")</f>
        <v>26Dec2024</v>
      </c>
      <c r="C54" s="63">
        <f>RTD("nest.scriprtd",,"nse_fo|"&amp;$A$38&amp;""&amp;$G$1&amp;""&amp;L54&amp;"PE","Bid Qty")</f>
        <v>1125</v>
      </c>
      <c r="D54" s="63">
        <f>RTD("nest.scriprtd",,"nse_fo|"&amp;$A$38&amp;""&amp;$G$1&amp;""&amp;L54&amp;"PE","Bid Rate")</f>
        <v>24.9</v>
      </c>
      <c r="E54" s="63">
        <f>RTD("nest.scriprtd",,"nse_fo|"&amp;$A$38&amp;""&amp;$G$1&amp;""&amp;L54&amp;"PE","Ask Rate")</f>
        <v>25.3</v>
      </c>
      <c r="F54" s="63">
        <f>RTD("nest.scriprtd",,"nse_fo|"&amp;$A$38&amp;""&amp;$G$1&amp;""&amp;L54&amp;"PE","Ask Qty")</f>
        <v>375</v>
      </c>
      <c r="G54" s="84">
        <f>RTD("nest.scriprtd",,"nse_fo|"&amp;$A$38&amp;""&amp;$G$1&amp;""&amp;L54&amp;"PE","LTP")</f>
        <v>24.95</v>
      </c>
      <c r="H54" s="63">
        <f>RTD("nest.scriprtd",,"nse_fo|"&amp;$A$38&amp;""&amp;$G$1&amp;""&amp;L54&amp;"PE","ATP")</f>
        <v>30.52</v>
      </c>
      <c r="I54" s="63">
        <f>RTD("nest.scriprtd",,"nse_fo|"&amp;$A$38&amp;""&amp;$G$1&amp;""&amp;L54&amp;"PE","Volume Traded Today")</f>
        <v>431625</v>
      </c>
      <c r="J54" s="63">
        <f>RTD("nest.scriprtd",,"nse_fo|"&amp;$A$38&amp;""&amp;$G$1&amp;""&amp;L54&amp;"PE","% Change")</f>
        <v>-25.96</v>
      </c>
      <c r="K54" s="63">
        <f>RTD("nest.scriprtd",,"nse_fo|"&amp;$A$38&amp;""&amp;$G$1&amp;""&amp;L54&amp;"PE","Net Change")</f>
        <v>-8.75</v>
      </c>
      <c r="L54" s="63">
        <f t="shared" si="20"/>
        <v>1100</v>
      </c>
      <c r="M54" s="63" t="str">
        <f>RTD("nest.scriprtd",,"nse_fo|"&amp;$A$38&amp;""&amp;$G$1&amp;""&amp;L54&amp;"PE","Option Type")</f>
        <v>PE</v>
      </c>
      <c r="N54" s="58">
        <f t="shared" si="19"/>
        <v>24.95</v>
      </c>
      <c r="O54" s="58">
        <v>0</v>
      </c>
      <c r="Q54" s="58">
        <f t="shared" si="16"/>
        <v>0</v>
      </c>
      <c r="R54" s="58">
        <f t="shared" si="17"/>
        <v>0</v>
      </c>
      <c r="Z54" s="58">
        <f t="shared" si="18"/>
        <v>0</v>
      </c>
    </row>
    <row r="55" spans="1:27" ht="15" x14ac:dyDescent="0.25">
      <c r="A55" s="63" t="str">
        <f>RTD("nest.scriprtd",,"nse_fo|"&amp;$A$38&amp;""&amp;$G$1&amp;""&amp;L55&amp;"CE","Symbol")</f>
        <v>ADANIGREEN</v>
      </c>
      <c r="B55" s="63" t="str">
        <f>RTD("nest.scriprtd",,"nse_fo|"&amp;$A$38&amp;""&amp;$G$1&amp;""&amp;L55&amp;"PE","Series/Expiry")</f>
        <v>26Dec2024</v>
      </c>
      <c r="C55" s="63">
        <f>RTD("nest.scriprtd",,"nse_fo|"&amp;$A$38&amp;""&amp;$G$1&amp;""&amp;L55&amp;"PE","Bid Qty")</f>
        <v>750</v>
      </c>
      <c r="D55" s="63">
        <f>RTD("nest.scriprtd",,"nse_fo|"&amp;$A$38&amp;""&amp;$G$1&amp;""&amp;L55&amp;"PE","Bid Rate")</f>
        <v>29.95</v>
      </c>
      <c r="E55" s="63">
        <f>RTD("nest.scriprtd",,"nse_fo|"&amp;$A$38&amp;""&amp;$G$1&amp;""&amp;L55&amp;"PE","Ask Rate")</f>
        <v>30.45</v>
      </c>
      <c r="F55" s="63">
        <f>RTD("nest.scriprtd",,"nse_fo|"&amp;$A$38&amp;""&amp;$G$1&amp;""&amp;L55&amp;"PE","Ask Qty")</f>
        <v>375</v>
      </c>
      <c r="G55" s="84">
        <f>RTD("nest.scriprtd",,"nse_fo|"&amp;$A$38&amp;""&amp;$G$1&amp;""&amp;L55&amp;"PE","LTP")</f>
        <v>31.85</v>
      </c>
      <c r="H55" s="63">
        <f>RTD("nest.scriprtd",,"nse_fo|"&amp;$A$38&amp;""&amp;$G$1&amp;""&amp;L55&amp;"PE","ATP")</f>
        <v>36.49</v>
      </c>
      <c r="I55" s="63">
        <f>RTD("nest.scriprtd",,"nse_fo|"&amp;$A$38&amp;""&amp;$G$1&amp;""&amp;L55&amp;"PE","Volume Traded Today")</f>
        <v>109875</v>
      </c>
      <c r="J55" s="63">
        <f>RTD("nest.scriprtd",,"nse_fo|"&amp;$A$38&amp;""&amp;$G$1&amp;""&amp;L55&amp;"PE","% Change")</f>
        <v>-20.079999999999998</v>
      </c>
      <c r="K55" s="63">
        <f>RTD("nest.scriprtd",,"nse_fo|"&amp;$A$38&amp;""&amp;$G$1&amp;""&amp;L55&amp;"PE","Net Change")</f>
        <v>-8</v>
      </c>
      <c r="L55" s="63">
        <f t="shared" si="20"/>
        <v>1120</v>
      </c>
      <c r="M55" s="63" t="str">
        <f>RTD("nest.scriprtd",,"nse_fo|"&amp;$A$38&amp;""&amp;$G$1&amp;""&amp;L55&amp;"PE","Option Type")</f>
        <v>PE</v>
      </c>
      <c r="N55" s="58">
        <f t="shared" si="19"/>
        <v>31.85</v>
      </c>
      <c r="O55" s="58">
        <v>0</v>
      </c>
      <c r="Q55" s="58">
        <f t="shared" si="16"/>
        <v>0</v>
      </c>
      <c r="R55" s="58">
        <f t="shared" si="17"/>
        <v>0</v>
      </c>
      <c r="S55" s="58">
        <f>+SUM(R39:R50)-SUM(R51:R55)</f>
        <v>525</v>
      </c>
      <c r="T55" s="58">
        <f>SUM(R41:R55)-R51</f>
        <v>-25125</v>
      </c>
      <c r="U55" s="63">
        <f>+S55/T55</f>
        <v>-2.0895522388059702E-2</v>
      </c>
      <c r="Z55" s="58">
        <f t="shared" si="18"/>
        <v>0</v>
      </c>
      <c r="AA55" s="58">
        <f>SUM(Z39:Z55)</f>
        <v>0</v>
      </c>
    </row>
    <row r="56" spans="1:27" x14ac:dyDescent="0.25">
      <c r="Q56" s="58">
        <f t="shared" si="16"/>
        <v>0</v>
      </c>
    </row>
    <row r="57" spans="1:27" ht="15" x14ac:dyDescent="0.25">
      <c r="A57" s="58" t="s">
        <v>102</v>
      </c>
      <c r="B57" s="58" t="str">
        <f>$A$57&amp;"-EQ"</f>
        <v>TATAMOTORS-EQ</v>
      </c>
      <c r="C57" s="58" t="s">
        <v>168</v>
      </c>
      <c r="D57" s="63">
        <v>10</v>
      </c>
      <c r="E57" s="57">
        <v>1700</v>
      </c>
      <c r="F57" s="63"/>
      <c r="G57" s="85"/>
      <c r="K57" s="63"/>
      <c r="L57" s="63"/>
      <c r="M57" s="63"/>
    </row>
    <row r="58" spans="1:27" ht="15" x14ac:dyDescent="0.25">
      <c r="A58" s="63" t="str">
        <f>RTD("nest.scriprtd",,"nse_fo|"&amp;$A$57&amp;""&amp;$G$1&amp;""&amp;C57&amp;"","Symbol")</f>
        <v>TATAMOTORS</v>
      </c>
      <c r="B58" s="63" t="str">
        <f>RTD("nest.scriprtd",,"nse_fo|"&amp;$A$57&amp;""&amp;$G$1&amp;""&amp;C57&amp;"","Series/Expiry")</f>
        <v>26Dec2024</v>
      </c>
      <c r="C58" s="63">
        <f>RTD("nest.scriprtd",,"nse_fo|"&amp;$A$57&amp;""&amp;$G$1&amp;""&amp;C57&amp;"","Bid Qty")</f>
        <v>5500</v>
      </c>
      <c r="D58" s="63">
        <f>RTD("nest.scriprtd",,"nse_fo|"&amp;$A$57&amp;""&amp;$G$1&amp;""&amp;C57&amp;"","Bid Rate")</f>
        <v>806.6</v>
      </c>
      <c r="E58" s="63">
        <f>RTD("nest.scriprtd",,"nse_fo|"&amp;$A$57&amp;""&amp;$G$1&amp;""&amp;C57&amp;"","Ask Rate")</f>
        <v>806.65</v>
      </c>
      <c r="F58" s="63">
        <f>RTD("nest.scriprtd",,"nse_fo|"&amp;$A$57&amp;""&amp;$G$1&amp;""&amp;C57&amp;"","Ask Qty")</f>
        <v>550</v>
      </c>
      <c r="G58" s="84">
        <f>RTD("nest.scriprtd",,"nse_fo|"&amp;$A$57&amp;""&amp;$G$1&amp;""&amp;C57&amp;"","LTP")</f>
        <v>806.65</v>
      </c>
      <c r="H58" s="63">
        <f>RTD("nest.scriprtd",,"nse_fo|"&amp;$A$57&amp;""&amp;$G$1&amp;""&amp;C57&amp;"","ATP")</f>
        <v>813.33</v>
      </c>
      <c r="I58" s="63">
        <f>RTD("nest.scriprtd",,"nse_fo|"&amp;$A$57&amp;""&amp;$G$1&amp;""&amp;C57&amp;"","Volume Traded Today")</f>
        <v>15163500</v>
      </c>
      <c r="J58" s="63">
        <f>RTD("nest.scriprtd",,"nse_fo|"&amp;$A$57&amp;""&amp;$G$1&amp;""&amp;C57&amp;"","% Change")</f>
        <v>-1.58</v>
      </c>
      <c r="K58" s="63">
        <f>RTD("nest.scriprtd",,"nse_fo|"&amp;$A$57&amp;""&amp;$G$1&amp;""&amp;C57&amp;"","Net Change")</f>
        <v>-12.95</v>
      </c>
      <c r="L58" s="63">
        <f>RTD("nest.scriprtd",,"nse_fo|"&amp;$A$57&amp;""&amp;$G$1&amp;""&amp;C57&amp;"","Strike Price")</f>
        <v>0</v>
      </c>
      <c r="M58" s="63"/>
      <c r="N58" s="58">
        <f>MIN($S$58,G58)</f>
        <v>38.200000000000003</v>
      </c>
      <c r="O58" s="58">
        <v>0</v>
      </c>
      <c r="Q58" s="58">
        <f t="shared" ref="Q58:Q76" si="26">+P58+O58</f>
        <v>0</v>
      </c>
      <c r="R58" s="58">
        <f t="shared" ref="R58:R75" si="27">+Q58*N58</f>
        <v>0</v>
      </c>
      <c r="S58" s="58">
        <f>+$Q$2*T58</f>
        <v>38.200000000000003</v>
      </c>
      <c r="T58" s="80">
        <f>+FACTOR!G13</f>
        <v>38.200000000000003</v>
      </c>
      <c r="Z58" s="58">
        <f t="shared" ref="Z58:Z75" si="28">+O58*K58</f>
        <v>0</v>
      </c>
    </row>
    <row r="59" spans="1:27" ht="15" x14ac:dyDescent="0.25">
      <c r="A59" s="63" t="str">
        <f>RTD("nest.scriprtd",,"nse_cm|"&amp;B57&amp;"","Symbol")</f>
        <v>TATAMOTORS</v>
      </c>
      <c r="B59" s="63" t="str">
        <f>RTD("nest.scriprtd",,"nse_cm|"&amp;B57&amp;"","Series/Expiry")</f>
        <v>EQ</v>
      </c>
      <c r="C59" s="63">
        <f>RTD("nest.scriprtd",,"nse_cm|"&amp;B57&amp;"","Bid Qty")</f>
        <v>14</v>
      </c>
      <c r="D59" s="63">
        <f>RTD("nest.scriprtd",,"nse_cm|"&amp;B57&amp;"","Bid Rate")</f>
        <v>804.75</v>
      </c>
      <c r="E59" s="63">
        <f>RTD("nest.scriprtd",,"nse_cm|"&amp;B57&amp;"","Ask Rate")</f>
        <v>804.8</v>
      </c>
      <c r="F59" s="63">
        <f>RTD("nest.scriprtd",,"nse_cm|"&amp;B57&amp;"","Ask Qty")</f>
        <v>1720</v>
      </c>
      <c r="G59" s="84">
        <f>RTD("nest.scriprtd",,"nse_cm|"&amp;B57&amp;"","LTP")</f>
        <v>804.75</v>
      </c>
      <c r="H59" s="63">
        <f>RTD("nest.scriprtd",,"nse_cm|"&amp;B57&amp;"","ATP")</f>
        <v>811.79</v>
      </c>
      <c r="I59" s="63">
        <f>RTD("nest.scriprtd",,"nse_cm|"&amp;B57&amp;"","Volume Traded Today")</f>
        <v>9499280</v>
      </c>
      <c r="J59" s="63">
        <f>RTD("nest.scriprtd",,"nse_cm|"&amp;B57&amp;"","% Change")</f>
        <v>-1.48</v>
      </c>
      <c r="K59" s="63">
        <f>RTD("nest.scriprtd",,"nse_cm|"&amp;B57&amp;"","Net Change")</f>
        <v>-12.05</v>
      </c>
      <c r="L59" s="63">
        <f>RTD("nest.scriprtd",,"nse_cm|"&amp;B57&amp;"","Strike Price")</f>
        <v>0</v>
      </c>
      <c r="M59" s="63"/>
      <c r="N59" s="58">
        <f t="shared" ref="N59:N75" si="29">MIN($S$58,G59)</f>
        <v>38.200000000000003</v>
      </c>
      <c r="O59" s="58">
        <v>0</v>
      </c>
      <c r="P59" s="58">
        <v>250</v>
      </c>
      <c r="Q59" s="58">
        <f t="shared" si="26"/>
        <v>250</v>
      </c>
      <c r="R59" s="58">
        <f t="shared" si="27"/>
        <v>9550</v>
      </c>
      <c r="Z59" s="58">
        <f t="shared" si="28"/>
        <v>0</v>
      </c>
    </row>
    <row r="60" spans="1:27" ht="15" x14ac:dyDescent="0.25">
      <c r="A60" s="63" t="str">
        <f>RTD("nest.scriprtd",,"nse_fo|"&amp;$A$57&amp;""&amp;$G$1&amp;""&amp;L60&amp;"CE","Symbol")</f>
        <v>TATAMOTORS</v>
      </c>
      <c r="B60" s="63" t="str">
        <f>RTD("nest.scriprtd",,"nse_fo|"&amp;$A$57&amp;""&amp;$G$1&amp;""&amp;L60&amp;"CE","Series/Expiry")</f>
        <v>26Dec2024</v>
      </c>
      <c r="C60" s="63">
        <f>RTD("nest.scriprtd",,"nse_fo|"&amp;$A$57&amp;""&amp;$G$1&amp;""&amp;L60&amp;"CE","Bid Qty")</f>
        <v>550</v>
      </c>
      <c r="D60" s="63">
        <f>RTD("nest.scriprtd",,"nse_fo|"&amp;$A$57&amp;""&amp;$G$1&amp;""&amp;L60&amp;"CE","Bid Rate")</f>
        <v>35.5</v>
      </c>
      <c r="E60" s="63">
        <f>RTD("nest.scriprtd",,"nse_fo|"&amp;$A$57&amp;""&amp;$G$1&amp;""&amp;L60&amp;"CE","Ask Rate")</f>
        <v>35.65</v>
      </c>
      <c r="F60" s="63">
        <f>RTD("nest.scriprtd",,"nse_fo|"&amp;$A$57&amp;""&amp;$G$1&amp;""&amp;L60&amp;"CE","Ask Qty")</f>
        <v>550</v>
      </c>
      <c r="G60" s="84">
        <f>RTD("nest.scriprtd",,"nse_fo|"&amp;$A$57&amp;""&amp;$G$1&amp;""&amp;L60&amp;"CE","LTP")</f>
        <v>35.5</v>
      </c>
      <c r="H60" s="63">
        <f>RTD("nest.scriprtd",,"nse_fo|"&amp;$A$57&amp;""&amp;$G$1&amp;""&amp;L60&amp;"CE","ATP")</f>
        <v>40.31</v>
      </c>
      <c r="I60" s="63">
        <f>RTD("nest.scriprtd",,"nse_fo|"&amp;$A$57&amp;""&amp;$G$1&amp;""&amp;L60&amp;"CE","Volume Traded Today")</f>
        <v>1397550</v>
      </c>
      <c r="J60" s="63">
        <f>RTD("nest.scriprtd",,"nse_fo|"&amp;$A$57&amp;""&amp;$G$1&amp;""&amp;L60&amp;"CE","% Change")</f>
        <v>-21.29</v>
      </c>
      <c r="K60" s="63">
        <f>RTD("nest.scriprtd",,"nse_fo|"&amp;$A$57&amp;""&amp;$G$1&amp;""&amp;L60&amp;"CE","Net Change")</f>
        <v>-9.6</v>
      </c>
      <c r="L60" s="63">
        <v>780</v>
      </c>
      <c r="M60" s="82" t="str">
        <f>RTD("nest.scriprtd",,"nse_fo|"&amp;$A$57&amp;""&amp;$G$1&amp;""&amp;L60&amp;"CE","Option Type")</f>
        <v>CE</v>
      </c>
      <c r="N60" s="58">
        <f t="shared" si="29"/>
        <v>35.5</v>
      </c>
      <c r="O60" s="58">
        <v>0</v>
      </c>
      <c r="Q60" s="58">
        <f t="shared" si="26"/>
        <v>0</v>
      </c>
      <c r="R60" s="58">
        <f t="shared" si="27"/>
        <v>0</v>
      </c>
      <c r="U60" s="58"/>
      <c r="Z60" s="58">
        <f t="shared" si="28"/>
        <v>0</v>
      </c>
    </row>
    <row r="61" spans="1:27" ht="15" x14ac:dyDescent="0.25">
      <c r="A61" s="63" t="str">
        <f>RTD("nest.scriprtd",,"nse_fo|"&amp;$A$57&amp;""&amp;$G$1&amp;""&amp;L61&amp;"CE","Symbol")</f>
        <v>TATAMOTORS</v>
      </c>
      <c r="B61" s="63" t="str">
        <f>RTD("nest.scriprtd",,"nse_fo|"&amp;$A$57&amp;""&amp;$G$1&amp;""&amp;L61&amp;"CE","Series/Expiry")</f>
        <v>26Dec2024</v>
      </c>
      <c r="C61" s="63">
        <f>RTD("nest.scriprtd",,"nse_fo|"&amp;$A$57&amp;""&amp;$G$1&amp;""&amp;L61&amp;"CE","Bid Qty")</f>
        <v>1100</v>
      </c>
      <c r="D61" s="63">
        <f>RTD("nest.scriprtd",,"nse_fo|"&amp;$A$57&amp;""&amp;$G$1&amp;""&amp;L61&amp;"CE","Bid Rate")</f>
        <v>28.55</v>
      </c>
      <c r="E61" s="63">
        <f>RTD("nest.scriprtd",,"nse_fo|"&amp;$A$57&amp;""&amp;$G$1&amp;""&amp;L61&amp;"CE","Ask Rate")</f>
        <v>28.7</v>
      </c>
      <c r="F61" s="63">
        <f>RTD("nest.scriprtd",,"nse_fo|"&amp;$A$57&amp;""&amp;$G$1&amp;""&amp;L61&amp;"CE","Ask Qty")</f>
        <v>1100</v>
      </c>
      <c r="G61" s="84">
        <f>RTD("nest.scriprtd",,"nse_fo|"&amp;$A$57&amp;""&amp;$G$1&amp;""&amp;L61&amp;"CE","LTP")</f>
        <v>28.6</v>
      </c>
      <c r="H61" s="63">
        <f>RTD("nest.scriprtd",,"nse_fo|"&amp;$A$57&amp;""&amp;$G$1&amp;""&amp;L61&amp;"CE","ATP")</f>
        <v>32.99</v>
      </c>
      <c r="I61" s="63">
        <f>RTD("nest.scriprtd",,"nse_fo|"&amp;$A$57&amp;""&amp;$G$1&amp;""&amp;L61&amp;"CE","Volume Traded Today")</f>
        <v>1151700</v>
      </c>
      <c r="J61" s="63">
        <f>RTD("nest.scriprtd",,"nse_fo|"&amp;$A$57&amp;""&amp;$G$1&amp;""&amp;L61&amp;"CE","% Change")</f>
        <v>-23.43</v>
      </c>
      <c r="K61" s="63">
        <f>RTD("nest.scriprtd",,"nse_fo|"&amp;$A$57&amp;""&amp;$G$1&amp;""&amp;L61&amp;"CE","Net Change")</f>
        <v>-8.75</v>
      </c>
      <c r="L61" s="63">
        <f>+L60+$D$57</f>
        <v>790</v>
      </c>
      <c r="M61" s="63" t="str">
        <f>RTD("nest.scriprtd",,"nse_fo|"&amp;$A$57&amp;""&amp;$G$1&amp;""&amp;L61&amp;"CE","Option Type")</f>
        <v>CE</v>
      </c>
      <c r="N61" s="58">
        <f t="shared" si="29"/>
        <v>28.6</v>
      </c>
      <c r="O61" s="58">
        <v>0</v>
      </c>
      <c r="Q61" s="58">
        <f t="shared" si="26"/>
        <v>0</v>
      </c>
      <c r="R61" s="58">
        <f t="shared" si="27"/>
        <v>0</v>
      </c>
      <c r="U61" s="58"/>
      <c r="Z61" s="58">
        <f t="shared" si="28"/>
        <v>0</v>
      </c>
    </row>
    <row r="62" spans="1:27" ht="15" x14ac:dyDescent="0.25">
      <c r="A62" s="63" t="str">
        <f>RTD("nest.scriprtd",,"nse_fo|"&amp;$A$57&amp;""&amp;$G$1&amp;""&amp;L62&amp;"CE","Symbol")</f>
        <v>TATAMOTORS</v>
      </c>
      <c r="B62" s="63" t="str">
        <f>RTD("nest.scriprtd",,"nse_fo|"&amp;$A$57&amp;""&amp;$G$1&amp;""&amp;L62&amp;"CE","Series/Expiry")</f>
        <v>26Dec2024</v>
      </c>
      <c r="C62" s="63">
        <f>RTD("nest.scriprtd",,"nse_fo|"&amp;$A$57&amp;""&amp;$G$1&amp;""&amp;L62&amp;"CE","Bid Qty")</f>
        <v>2750</v>
      </c>
      <c r="D62" s="63">
        <f>RTD("nest.scriprtd",,"nse_fo|"&amp;$A$57&amp;""&amp;$G$1&amp;""&amp;L62&amp;"CE","Bid Rate")</f>
        <v>22.65</v>
      </c>
      <c r="E62" s="63">
        <f>RTD("nest.scriprtd",,"nse_fo|"&amp;$A$57&amp;""&amp;$G$1&amp;""&amp;L62&amp;"CE","Ask Rate")</f>
        <v>22.75</v>
      </c>
      <c r="F62" s="63">
        <f>RTD("nest.scriprtd",,"nse_fo|"&amp;$A$57&amp;""&amp;$G$1&amp;""&amp;L62&amp;"CE","Ask Qty")</f>
        <v>550</v>
      </c>
      <c r="G62" s="84">
        <f>RTD("nest.scriprtd",,"nse_fo|"&amp;$A$57&amp;""&amp;$G$1&amp;""&amp;L62&amp;"CE","LTP")</f>
        <v>22.75</v>
      </c>
      <c r="H62" s="63">
        <f>RTD("nest.scriprtd",,"nse_fo|"&amp;$A$57&amp;""&amp;$G$1&amp;""&amp;L62&amp;"CE","ATP")</f>
        <v>26.57</v>
      </c>
      <c r="I62" s="63">
        <f>RTD("nest.scriprtd",,"nse_fo|"&amp;$A$57&amp;""&amp;$G$1&amp;""&amp;L62&amp;"CE","Volume Traded Today")</f>
        <v>6642900</v>
      </c>
      <c r="J62" s="63">
        <f>RTD("nest.scriprtd",,"nse_fo|"&amp;$A$57&amp;""&amp;$G$1&amp;""&amp;L62&amp;"CE","% Change")</f>
        <v>-24.54</v>
      </c>
      <c r="K62" s="63">
        <f>RTD("nest.scriprtd",,"nse_fo|"&amp;$A$57&amp;""&amp;$G$1&amp;""&amp;L62&amp;"CE","Net Change")</f>
        <v>-7.4</v>
      </c>
      <c r="L62" s="63">
        <f t="shared" ref="L62:L75" si="30">+L61+$D$57</f>
        <v>800</v>
      </c>
      <c r="M62" s="63" t="str">
        <f>RTD("nest.scriprtd",,"nse_fo|"&amp;$A$57&amp;""&amp;$G$1&amp;""&amp;L62&amp;"CE","Option Type")</f>
        <v>CE</v>
      </c>
      <c r="N62" s="58">
        <f t="shared" si="29"/>
        <v>22.75</v>
      </c>
      <c r="O62" s="58">
        <v>0</v>
      </c>
      <c r="Q62" s="58">
        <f t="shared" si="26"/>
        <v>0</v>
      </c>
      <c r="R62" s="58">
        <f t="shared" si="27"/>
        <v>0</v>
      </c>
      <c r="U62" s="58"/>
      <c r="Z62" s="58">
        <f t="shared" si="28"/>
        <v>0</v>
      </c>
    </row>
    <row r="63" spans="1:27" ht="15" x14ac:dyDescent="0.25">
      <c r="A63" s="63" t="str">
        <f>RTD("nest.scriprtd",,"nse_fo|"&amp;$A$57&amp;""&amp;$G$1&amp;""&amp;L63&amp;"CE","Symbol")</f>
        <v>TATAMOTORS</v>
      </c>
      <c r="B63" s="63" t="str">
        <f>RTD("nest.scriprtd",,"nse_fo|"&amp;$A$57&amp;""&amp;$G$1&amp;""&amp;L63&amp;"CE","Series/Expiry")</f>
        <v>26Dec2024</v>
      </c>
      <c r="C63" s="63">
        <f>RTD("nest.scriprtd",,"nse_fo|"&amp;$A$57&amp;""&amp;$G$1&amp;""&amp;L63&amp;"CE","Bid Qty")</f>
        <v>2750</v>
      </c>
      <c r="D63" s="63">
        <f>RTD("nest.scriprtd",,"nse_fo|"&amp;$A$57&amp;""&amp;$G$1&amp;""&amp;L63&amp;"CE","Bid Rate")</f>
        <v>17.600000000000001</v>
      </c>
      <c r="E63" s="63">
        <f>RTD("nest.scriprtd",,"nse_fo|"&amp;$A$57&amp;""&amp;$G$1&amp;""&amp;L63&amp;"CE","Ask Rate")</f>
        <v>17.7</v>
      </c>
      <c r="F63" s="63">
        <f>RTD("nest.scriprtd",,"nse_fo|"&amp;$A$57&amp;""&amp;$G$1&amp;""&amp;L63&amp;"CE","Ask Qty")</f>
        <v>3850</v>
      </c>
      <c r="G63" s="84">
        <f>RTD("nest.scriprtd",,"nse_fo|"&amp;$A$57&amp;""&amp;$G$1&amp;""&amp;L63&amp;"CE","LTP")</f>
        <v>17.7</v>
      </c>
      <c r="H63" s="63">
        <f>RTD("nest.scriprtd",,"nse_fo|"&amp;$A$57&amp;""&amp;$G$1&amp;""&amp;L63&amp;"CE","ATP")</f>
        <v>20.73</v>
      </c>
      <c r="I63" s="63">
        <f>RTD("nest.scriprtd",,"nse_fo|"&amp;$A$57&amp;""&amp;$G$1&amp;""&amp;L63&amp;"CE","Volume Traded Today")</f>
        <v>7365600</v>
      </c>
      <c r="J63" s="63">
        <f>RTD("nest.scriprtd",,"nse_fo|"&amp;$A$57&amp;""&amp;$G$1&amp;""&amp;L63&amp;"CE","% Change")</f>
        <v>-25.79</v>
      </c>
      <c r="K63" s="63">
        <f>RTD("nest.scriprtd",,"nse_fo|"&amp;$A$57&amp;""&amp;$G$1&amp;""&amp;L63&amp;"CE","Net Change")</f>
        <v>-6.15</v>
      </c>
      <c r="L63" s="63">
        <f t="shared" si="30"/>
        <v>810</v>
      </c>
      <c r="M63" s="63" t="str">
        <f>RTD("nest.scriprtd",,"nse_fo|"&amp;$A$57&amp;""&amp;$G$1&amp;""&amp;L63&amp;"CE","Option Type")</f>
        <v>CE</v>
      </c>
      <c r="N63" s="58">
        <f t="shared" si="29"/>
        <v>17.7</v>
      </c>
      <c r="O63" s="58">
        <v>0</v>
      </c>
      <c r="Q63" s="58">
        <f t="shared" si="26"/>
        <v>0</v>
      </c>
      <c r="R63" s="58">
        <f t="shared" si="27"/>
        <v>0</v>
      </c>
      <c r="U63" s="58"/>
      <c r="Z63" s="58">
        <f t="shared" si="28"/>
        <v>0</v>
      </c>
    </row>
    <row r="64" spans="1:27" ht="15" x14ac:dyDescent="0.25">
      <c r="A64" s="63" t="str">
        <f>RTD("nest.scriprtd",,"nse_fo|"&amp;$A$57&amp;""&amp;$G$1&amp;""&amp;L64&amp;"CE","Symbol")</f>
        <v>TATAMOTORS</v>
      </c>
      <c r="B64" s="63" t="str">
        <f>RTD("nest.scriprtd",,"nse_fo|"&amp;$A$57&amp;""&amp;$G$1&amp;""&amp;L64&amp;"CE","Series/Expiry")</f>
        <v>26Dec2024</v>
      </c>
      <c r="C64" s="63">
        <f>RTD("nest.scriprtd",,"nse_fo|"&amp;$A$57&amp;""&amp;$G$1&amp;""&amp;L64&amp;"CE","Bid Qty")</f>
        <v>7150</v>
      </c>
      <c r="D64" s="63">
        <f>RTD("nest.scriprtd",,"nse_fo|"&amp;$A$57&amp;""&amp;$G$1&amp;""&amp;L64&amp;"CE","Bid Rate")</f>
        <v>13.45</v>
      </c>
      <c r="E64" s="63">
        <f>RTD("nest.scriprtd",,"nse_fo|"&amp;$A$57&amp;""&amp;$G$1&amp;""&amp;L64&amp;"CE","Ask Rate")</f>
        <v>13.55</v>
      </c>
      <c r="F64" s="63">
        <f>RTD("nest.scriprtd",,"nse_fo|"&amp;$A$57&amp;""&amp;$G$1&amp;""&amp;L64&amp;"CE","Ask Qty")</f>
        <v>10450</v>
      </c>
      <c r="G64" s="84">
        <f>RTD("nest.scriprtd",,"nse_fo|"&amp;$A$57&amp;""&amp;$G$1&amp;""&amp;L64&amp;"CE","LTP")</f>
        <v>13.5</v>
      </c>
      <c r="H64" s="63">
        <f>RTD("nest.scriprtd",,"nse_fo|"&amp;$A$57&amp;""&amp;$G$1&amp;""&amp;L64&amp;"CE","ATP")</f>
        <v>16.47</v>
      </c>
      <c r="I64" s="63">
        <f>RTD("nest.scriprtd",,"nse_fo|"&amp;$A$57&amp;""&amp;$G$1&amp;""&amp;L64&amp;"CE","Volume Traded Today")</f>
        <v>15106850</v>
      </c>
      <c r="J64" s="63">
        <f>RTD("nest.scriprtd",,"nse_fo|"&amp;$A$57&amp;""&amp;$G$1&amp;""&amp;L64&amp;"CE","% Change")</f>
        <v>-27.61</v>
      </c>
      <c r="K64" s="63">
        <f>RTD("nest.scriprtd",,"nse_fo|"&amp;$A$57&amp;""&amp;$G$1&amp;""&amp;L64&amp;"CE","Net Change")</f>
        <v>-5.15</v>
      </c>
      <c r="L64" s="63">
        <f t="shared" si="30"/>
        <v>820</v>
      </c>
      <c r="M64" s="63" t="str">
        <f>RTD("nest.scriprtd",,"nse_fo|"&amp;$A$57&amp;""&amp;$G$1&amp;""&amp;L64&amp;"CE","Option Type")</f>
        <v>CE</v>
      </c>
      <c r="N64" s="58">
        <f t="shared" si="29"/>
        <v>13.5</v>
      </c>
      <c r="O64" s="58">
        <v>0</v>
      </c>
      <c r="Q64" s="58">
        <f t="shared" si="26"/>
        <v>0</v>
      </c>
      <c r="R64" s="58">
        <f t="shared" si="27"/>
        <v>0</v>
      </c>
      <c r="Z64" s="58">
        <f t="shared" si="28"/>
        <v>0</v>
      </c>
    </row>
    <row r="65" spans="1:27" ht="15" x14ac:dyDescent="0.25">
      <c r="A65" s="63" t="str">
        <f>RTD("nest.scriprtd",,"nse_fo|"&amp;$A$57&amp;""&amp;$G$1&amp;""&amp;L65&amp;"CE","Symbol")</f>
        <v>TATAMOTORS</v>
      </c>
      <c r="B65" s="63" t="str">
        <f>RTD("nest.scriprtd",,"nse_fo|"&amp;$A$57&amp;""&amp;$G$1&amp;""&amp;L65&amp;"CE","Series/Expiry")</f>
        <v>26Dec2024</v>
      </c>
      <c r="C65" s="63">
        <f>RTD("nest.scriprtd",,"nse_fo|"&amp;$A$57&amp;""&amp;$G$1&amp;""&amp;L65&amp;"CE","Bid Qty")</f>
        <v>13200</v>
      </c>
      <c r="D65" s="63">
        <f>RTD("nest.scriprtd",,"nse_fo|"&amp;$A$57&amp;""&amp;$G$1&amp;""&amp;L65&amp;"CE","Bid Rate")</f>
        <v>10.050000000000001</v>
      </c>
      <c r="E65" s="63">
        <f>RTD("nest.scriprtd",,"nse_fo|"&amp;$A$57&amp;""&amp;$G$1&amp;""&amp;L65&amp;"CE","Ask Rate")</f>
        <v>10.15</v>
      </c>
      <c r="F65" s="63">
        <f>RTD("nest.scriprtd",,"nse_fo|"&amp;$A$57&amp;""&amp;$G$1&amp;""&amp;L65&amp;"CE","Ask Qty")</f>
        <v>5500</v>
      </c>
      <c r="G65" s="84">
        <f>RTD("nest.scriprtd",,"nse_fo|"&amp;$A$57&amp;""&amp;$G$1&amp;""&amp;L65&amp;"CE","LTP")</f>
        <v>10.1</v>
      </c>
      <c r="H65" s="63">
        <f>RTD("nest.scriprtd",,"nse_fo|"&amp;$A$57&amp;""&amp;$G$1&amp;""&amp;L65&amp;"CE","ATP")</f>
        <v>12.67</v>
      </c>
      <c r="I65" s="63">
        <f>RTD("nest.scriprtd",,"nse_fo|"&amp;$A$57&amp;""&amp;$G$1&amp;""&amp;L65&amp;"CE","Volume Traded Today")</f>
        <v>7465700</v>
      </c>
      <c r="J65" s="63">
        <f>RTD("nest.scriprtd",,"nse_fo|"&amp;$A$57&amp;""&amp;$G$1&amp;""&amp;L65&amp;"CE","% Change")</f>
        <v>-29.62</v>
      </c>
      <c r="K65" s="63">
        <f>RTD("nest.scriprtd",,"nse_fo|"&amp;$A$57&amp;""&amp;$G$1&amp;""&amp;L65&amp;"CE","Net Change")</f>
        <v>-4.25</v>
      </c>
      <c r="L65" s="63">
        <f t="shared" si="30"/>
        <v>830</v>
      </c>
      <c r="M65" s="63" t="str">
        <f>RTD("nest.scriprtd",,"nse_fo|"&amp;$A$57&amp;""&amp;$G$1&amp;""&amp;L65&amp;"CE","Option Type")</f>
        <v>CE</v>
      </c>
      <c r="N65" s="58">
        <f t="shared" si="29"/>
        <v>10.1</v>
      </c>
      <c r="O65" s="58">
        <v>0</v>
      </c>
      <c r="P65" s="58">
        <v>-550</v>
      </c>
      <c r="Q65" s="58">
        <f t="shared" si="26"/>
        <v>-550</v>
      </c>
      <c r="R65" s="58">
        <f t="shared" si="27"/>
        <v>-5555</v>
      </c>
      <c r="Z65" s="58">
        <f t="shared" si="28"/>
        <v>0</v>
      </c>
    </row>
    <row r="66" spans="1:27" ht="15" x14ac:dyDescent="0.25">
      <c r="A66" s="63" t="str">
        <f>RTD("nest.scriprtd",,"nse_fo|"&amp;$A$57&amp;""&amp;$G$1&amp;""&amp;L66&amp;"CE","Symbol")</f>
        <v>TATAMOTORS</v>
      </c>
      <c r="B66" s="63" t="str">
        <f>RTD("nest.scriprtd",,"nse_fo|"&amp;$A$57&amp;""&amp;$G$1&amp;""&amp;L66&amp;"CE","Series/Expiry")</f>
        <v>26Dec2024</v>
      </c>
      <c r="C66" s="63">
        <f>RTD("nest.scriprtd",,"nse_fo|"&amp;$A$57&amp;""&amp;$G$1&amp;""&amp;L66&amp;"CE","Bid Qty")</f>
        <v>6600</v>
      </c>
      <c r="D66" s="63">
        <f>RTD("nest.scriprtd",,"nse_fo|"&amp;$A$57&amp;""&amp;$G$1&amp;""&amp;L66&amp;"CE","Bid Rate")</f>
        <v>7.55</v>
      </c>
      <c r="E66" s="63">
        <f>RTD("nest.scriprtd",,"nse_fo|"&amp;$A$57&amp;""&amp;$G$1&amp;""&amp;L66&amp;"CE","Ask Rate")</f>
        <v>7.65</v>
      </c>
      <c r="F66" s="63">
        <f>RTD("nest.scriprtd",,"nse_fo|"&amp;$A$57&amp;""&amp;$G$1&amp;""&amp;L66&amp;"CE","Ask Qty")</f>
        <v>9350</v>
      </c>
      <c r="G66" s="84">
        <f>RTD("nest.scriprtd",,"nse_fo|"&amp;$A$57&amp;""&amp;$G$1&amp;""&amp;L66&amp;"CE","LTP")</f>
        <v>7.6</v>
      </c>
      <c r="H66" s="63">
        <f>RTD("nest.scriprtd",,"nse_fo|"&amp;$A$57&amp;""&amp;$G$1&amp;""&amp;L66&amp;"CE","ATP")</f>
        <v>9.52</v>
      </c>
      <c r="I66" s="63">
        <f>RTD("nest.scriprtd",,"nse_fo|"&amp;$A$57&amp;""&amp;$G$1&amp;""&amp;L66&amp;"CE","Volume Traded Today")</f>
        <v>4767400</v>
      </c>
      <c r="J66" s="63">
        <f>RTD("nest.scriprtd",,"nse_fo|"&amp;$A$57&amp;""&amp;$G$1&amp;""&amp;L66&amp;"CE","% Change")</f>
        <v>-30.59</v>
      </c>
      <c r="K66" s="63">
        <f>RTD("nest.scriprtd",,"nse_fo|"&amp;$A$57&amp;""&amp;$G$1&amp;""&amp;L66&amp;"CE","Net Change")</f>
        <v>-3.35</v>
      </c>
      <c r="L66" s="63">
        <f t="shared" ref="L66:L70" si="31">+L65+$D$57</f>
        <v>840</v>
      </c>
      <c r="M66" s="63" t="str">
        <f>RTD("nest.scriprtd",,"nse_fo|"&amp;$A$57&amp;""&amp;$G$1&amp;""&amp;L66&amp;"CE","Option Type")</f>
        <v>CE</v>
      </c>
      <c r="N66" s="58">
        <f t="shared" ref="N66:N68" si="32">MIN($S$58,G66)</f>
        <v>7.6</v>
      </c>
      <c r="O66" s="58">
        <v>0</v>
      </c>
      <c r="P66" s="58">
        <v>-550</v>
      </c>
      <c r="Q66" s="58">
        <f t="shared" ref="Q66:Q68" si="33">+P66+O66</f>
        <v>-550</v>
      </c>
      <c r="R66" s="58">
        <f t="shared" ref="R66:R68" si="34">+Q66*N66</f>
        <v>-4180</v>
      </c>
      <c r="Z66" s="58">
        <f t="shared" ref="Z66:Z68" si="35">+O66*K66</f>
        <v>0</v>
      </c>
    </row>
    <row r="67" spans="1:27" ht="15" x14ac:dyDescent="0.25">
      <c r="A67" s="63" t="str">
        <f>RTD("nest.scriprtd",,"nse_fo|"&amp;$A$57&amp;""&amp;$G$1&amp;""&amp;L67&amp;"CE","Symbol")</f>
        <v>TATAMOTORS</v>
      </c>
      <c r="B67" s="63" t="str">
        <f>RTD("nest.scriprtd",,"nse_fo|"&amp;$A$57&amp;""&amp;$G$1&amp;""&amp;L67&amp;"CE","Series/Expiry")</f>
        <v>26Dec2024</v>
      </c>
      <c r="C67" s="63">
        <f>RTD("nest.scriprtd",,"nse_fo|"&amp;$A$57&amp;""&amp;$G$1&amp;""&amp;L67&amp;"CE","Bid Qty")</f>
        <v>7150</v>
      </c>
      <c r="D67" s="63">
        <f>RTD("nest.scriprtd",,"nse_fo|"&amp;$A$57&amp;""&amp;$G$1&amp;""&amp;L67&amp;"CE","Bid Rate")</f>
        <v>5.75</v>
      </c>
      <c r="E67" s="63">
        <f>RTD("nest.scriprtd",,"nse_fo|"&amp;$A$57&amp;""&amp;$G$1&amp;""&amp;L67&amp;"CE","Ask Rate")</f>
        <v>5.8</v>
      </c>
      <c r="F67" s="63">
        <f>RTD("nest.scriprtd",,"nse_fo|"&amp;$A$57&amp;""&amp;$G$1&amp;""&amp;L67&amp;"CE","Ask Qty")</f>
        <v>2200</v>
      </c>
      <c r="G67" s="84">
        <f>RTD("nest.scriprtd",,"nse_fo|"&amp;$A$57&amp;""&amp;$G$1&amp;""&amp;L67&amp;"CE","LTP")</f>
        <v>5.8</v>
      </c>
      <c r="H67" s="63">
        <f>RTD("nest.scriprtd",,"nse_fo|"&amp;$A$57&amp;""&amp;$G$1&amp;""&amp;L67&amp;"CE","ATP")</f>
        <v>7.15</v>
      </c>
      <c r="I67" s="63">
        <f>RTD("nest.scriprtd",,"nse_fo|"&amp;$A$57&amp;""&amp;$G$1&amp;""&amp;L67&amp;"CE","Volume Traded Today")</f>
        <v>8124050</v>
      </c>
      <c r="J67" s="63">
        <f>RTD("nest.scriprtd",,"nse_fo|"&amp;$A$57&amp;""&amp;$G$1&amp;""&amp;L67&amp;"CE","% Change")</f>
        <v>-31.76</v>
      </c>
      <c r="K67" s="63">
        <f>RTD("nest.scriprtd",,"nse_fo|"&amp;$A$57&amp;""&amp;$G$1&amp;""&amp;L67&amp;"CE","Net Change")</f>
        <v>-2.7</v>
      </c>
      <c r="L67" s="63">
        <f t="shared" si="31"/>
        <v>850</v>
      </c>
      <c r="M67" s="63" t="str">
        <f>RTD("nest.scriprtd",,"nse_fo|"&amp;$A$57&amp;""&amp;$G$1&amp;""&amp;L67&amp;"CE","Option Type")</f>
        <v>CE</v>
      </c>
      <c r="N67" s="58">
        <f t="shared" si="32"/>
        <v>5.8</v>
      </c>
      <c r="O67" s="58">
        <v>0</v>
      </c>
      <c r="Q67" s="58">
        <f t="shared" si="33"/>
        <v>0</v>
      </c>
      <c r="R67" s="58">
        <f t="shared" si="34"/>
        <v>0</v>
      </c>
      <c r="Z67" s="58">
        <f t="shared" si="35"/>
        <v>0</v>
      </c>
    </row>
    <row r="68" spans="1:27" ht="15" x14ac:dyDescent="0.25">
      <c r="A68" s="63" t="str">
        <f>RTD("nest.scriprtd",,"nse_fo|"&amp;$A$57&amp;""&amp;$G$1&amp;""&amp;L68&amp;"CE","Symbol")</f>
        <v>TATAMOTORS</v>
      </c>
      <c r="B68" s="63" t="str">
        <f>RTD("nest.scriprtd",,"nse_fo|"&amp;$A$57&amp;""&amp;$G$1&amp;""&amp;L68&amp;"CE","Series/Expiry")</f>
        <v>26Dec2024</v>
      </c>
      <c r="C68" s="63">
        <f>RTD("nest.scriprtd",,"nse_fo|"&amp;$A$57&amp;""&amp;$G$1&amp;""&amp;L68&amp;"CE","Bid Qty")</f>
        <v>9900</v>
      </c>
      <c r="D68" s="63">
        <f>RTD("nest.scriprtd",,"nse_fo|"&amp;$A$57&amp;""&amp;$G$1&amp;""&amp;L68&amp;"CE","Bid Rate")</f>
        <v>4.25</v>
      </c>
      <c r="E68" s="63">
        <f>RTD("nest.scriprtd",,"nse_fo|"&amp;$A$57&amp;""&amp;$G$1&amp;""&amp;L68&amp;"CE","Ask Rate")</f>
        <v>4.3</v>
      </c>
      <c r="F68" s="63">
        <f>RTD("nest.scriprtd",,"nse_fo|"&amp;$A$57&amp;""&amp;$G$1&amp;""&amp;L68&amp;"CE","Ask Qty")</f>
        <v>12100</v>
      </c>
      <c r="G68" s="84">
        <f>RTD("nest.scriprtd",,"nse_fo|"&amp;$A$57&amp;""&amp;$G$1&amp;""&amp;L68&amp;"CE","LTP")</f>
        <v>4.25</v>
      </c>
      <c r="H68" s="63">
        <f>RTD("nest.scriprtd",,"nse_fo|"&amp;$A$57&amp;""&amp;$G$1&amp;""&amp;L68&amp;"CE","ATP")</f>
        <v>5.29</v>
      </c>
      <c r="I68" s="63">
        <f>RTD("nest.scriprtd",,"nse_fo|"&amp;$A$57&amp;""&amp;$G$1&amp;""&amp;L68&amp;"CE","Volume Traded Today")</f>
        <v>3608000</v>
      </c>
      <c r="J68" s="63">
        <f>RTD("nest.scriprtd",,"nse_fo|"&amp;$A$57&amp;""&amp;$G$1&amp;""&amp;L68&amp;"CE","% Change")</f>
        <v>-33.07</v>
      </c>
      <c r="K68" s="63">
        <f>RTD("nest.scriprtd",,"nse_fo|"&amp;$A$57&amp;""&amp;$G$1&amp;""&amp;L68&amp;"CE","Net Change")</f>
        <v>-2.1</v>
      </c>
      <c r="L68" s="63">
        <f t="shared" si="31"/>
        <v>860</v>
      </c>
      <c r="M68" s="63" t="str">
        <f>RTD("nest.scriprtd",,"nse_fo|"&amp;$A$57&amp;""&amp;$G$1&amp;""&amp;L68&amp;"CE","Option Type")</f>
        <v>CE</v>
      </c>
      <c r="N68" s="58">
        <f t="shared" si="32"/>
        <v>4.25</v>
      </c>
      <c r="O68" s="58">
        <v>0</v>
      </c>
      <c r="Q68" s="58">
        <f t="shared" si="33"/>
        <v>0</v>
      </c>
      <c r="R68" s="58">
        <f t="shared" si="34"/>
        <v>0</v>
      </c>
      <c r="Z68" s="58">
        <f t="shared" si="35"/>
        <v>0</v>
      </c>
    </row>
    <row r="69" spans="1:27" ht="15" x14ac:dyDescent="0.25">
      <c r="A69" s="63" t="str">
        <f>RTD("nest.scriprtd",,"nse_fo|"&amp;$A$57&amp;""&amp;$G$1&amp;""&amp;L69&amp;"CE","Symbol")</f>
        <v>TATAMOTORS</v>
      </c>
      <c r="B69" s="63" t="str">
        <f>RTD("nest.scriprtd",,"nse_fo|"&amp;$A$57&amp;""&amp;$G$1&amp;""&amp;L69&amp;"CE","Series/Expiry")</f>
        <v>26Dec2024</v>
      </c>
      <c r="C69" s="63">
        <f>RTD("nest.scriprtd",,"nse_fo|"&amp;$A$57&amp;""&amp;$G$1&amp;""&amp;L69&amp;"CE","Bid Qty")</f>
        <v>11550</v>
      </c>
      <c r="D69" s="63">
        <f>RTD("nest.scriprtd",,"nse_fo|"&amp;$A$57&amp;""&amp;$G$1&amp;""&amp;L69&amp;"CE","Bid Rate")</f>
        <v>3.2</v>
      </c>
      <c r="E69" s="63">
        <f>RTD("nest.scriprtd",,"nse_fo|"&amp;$A$57&amp;""&amp;$G$1&amp;""&amp;L69&amp;"CE","Ask Rate")</f>
        <v>3.25</v>
      </c>
      <c r="F69" s="63">
        <f>RTD("nest.scriprtd",,"nse_fo|"&amp;$A$57&amp;""&amp;$G$1&amp;""&amp;L69&amp;"CE","Ask Qty")</f>
        <v>2200</v>
      </c>
      <c r="G69" s="84">
        <f>RTD("nest.scriprtd",,"nse_fo|"&amp;$A$57&amp;""&amp;$G$1&amp;""&amp;L69&amp;"CE","LTP")</f>
        <v>3.25</v>
      </c>
      <c r="H69" s="63">
        <f>RTD("nest.scriprtd",,"nse_fo|"&amp;$A$57&amp;""&amp;$G$1&amp;""&amp;L69&amp;"CE","ATP")</f>
        <v>4.0599999999999996</v>
      </c>
      <c r="I69" s="63">
        <f>RTD("nest.scriprtd",,"nse_fo|"&amp;$A$57&amp;""&amp;$G$1&amp;""&amp;L69&amp;"CE","Volume Traded Today")</f>
        <v>1944800</v>
      </c>
      <c r="J69" s="63">
        <f>RTD("nest.scriprtd",,"nse_fo|"&amp;$A$57&amp;""&amp;$G$1&amp;""&amp;L69&amp;"CE","% Change")</f>
        <v>-32.99</v>
      </c>
      <c r="K69" s="63">
        <f>RTD("nest.scriprtd",,"nse_fo|"&amp;$A$57&amp;""&amp;$G$1&amp;""&amp;L69&amp;"CE","Net Change")</f>
        <v>-1.6</v>
      </c>
      <c r="L69" s="63">
        <f t="shared" si="31"/>
        <v>870</v>
      </c>
      <c r="M69" s="63" t="str">
        <f>RTD("nest.scriprtd",,"nse_fo|"&amp;$A$57&amp;""&amp;$G$1&amp;""&amp;L69&amp;"CE","Option Type")</f>
        <v>CE</v>
      </c>
      <c r="N69" s="58">
        <f t="shared" si="29"/>
        <v>3.25</v>
      </c>
      <c r="O69" s="58">
        <v>0</v>
      </c>
      <c r="Q69" s="58">
        <f t="shared" si="26"/>
        <v>0</v>
      </c>
      <c r="R69" s="58">
        <f t="shared" si="27"/>
        <v>0</v>
      </c>
      <c r="Z69" s="58">
        <f t="shared" si="28"/>
        <v>0</v>
      </c>
    </row>
    <row r="70" spans="1:27" ht="15" x14ac:dyDescent="0.25">
      <c r="A70" s="63" t="str">
        <f>RTD("nest.scriprtd",,"nse_fo|"&amp;$A$57&amp;""&amp;$G$1&amp;""&amp;L70&amp;"CE","Symbol")</f>
        <v>TATAMOTORS</v>
      </c>
      <c r="B70" s="63" t="str">
        <f>RTD("nest.scriprtd",,"nse_fo|"&amp;$A$57&amp;""&amp;$G$1&amp;""&amp;L70&amp;"CE","Series/Expiry")</f>
        <v>26Dec2024</v>
      </c>
      <c r="C70" s="63">
        <f>RTD("nest.scriprtd",,"nse_fo|"&amp;$A$57&amp;""&amp;$G$1&amp;""&amp;L70&amp;"CE","Bid Qty")</f>
        <v>8250</v>
      </c>
      <c r="D70" s="63">
        <f>RTD("nest.scriprtd",,"nse_fo|"&amp;$A$57&amp;""&amp;$G$1&amp;""&amp;L70&amp;"CE","Bid Rate")</f>
        <v>2.4500000000000002</v>
      </c>
      <c r="E70" s="63">
        <f>RTD("nest.scriprtd",,"nse_fo|"&amp;$A$57&amp;""&amp;$G$1&amp;""&amp;L70&amp;"CE","Ask Rate")</f>
        <v>2.5</v>
      </c>
      <c r="F70" s="63">
        <f>RTD("nest.scriprtd",,"nse_fo|"&amp;$A$57&amp;""&amp;$G$1&amp;""&amp;L70&amp;"CE","Ask Qty")</f>
        <v>6050</v>
      </c>
      <c r="G70" s="84">
        <f>RTD("nest.scriprtd",,"nse_fo|"&amp;$A$57&amp;""&amp;$G$1&amp;""&amp;L70&amp;"CE","LTP")</f>
        <v>2.5</v>
      </c>
      <c r="H70" s="63">
        <f>RTD("nest.scriprtd",,"nse_fo|"&amp;$A$57&amp;""&amp;$G$1&amp;""&amp;L70&amp;"CE","ATP")</f>
        <v>3.13</v>
      </c>
      <c r="I70" s="63">
        <f>RTD("nest.scriprtd",,"nse_fo|"&amp;$A$57&amp;""&amp;$G$1&amp;""&amp;L70&amp;"CE","Volume Traded Today")</f>
        <v>1904100</v>
      </c>
      <c r="J70" s="63">
        <f>RTD("nest.scriprtd",,"nse_fo|"&amp;$A$57&amp;""&amp;$G$1&amp;""&amp;L70&amp;"CE","% Change")</f>
        <v>-34.21</v>
      </c>
      <c r="K70" s="63">
        <f>RTD("nest.scriprtd",,"nse_fo|"&amp;$A$57&amp;""&amp;$G$1&amp;""&amp;L70&amp;"CE","Net Change")</f>
        <v>-1.3</v>
      </c>
      <c r="L70" s="63">
        <f t="shared" si="31"/>
        <v>880</v>
      </c>
      <c r="M70" s="63" t="str">
        <f>RTD("nest.scriprtd",,"nse_fo|"&amp;$A$57&amp;""&amp;$G$1&amp;""&amp;L70&amp;"CE","Option Type")</f>
        <v>CE</v>
      </c>
      <c r="N70" s="58">
        <f t="shared" si="29"/>
        <v>2.5</v>
      </c>
      <c r="O70" s="58">
        <v>0</v>
      </c>
      <c r="Q70" s="58">
        <f t="shared" si="26"/>
        <v>0</v>
      </c>
      <c r="R70" s="58">
        <f t="shared" si="27"/>
        <v>0</v>
      </c>
      <c r="Z70" s="58">
        <f t="shared" si="28"/>
        <v>0</v>
      </c>
    </row>
    <row r="71" spans="1:27" ht="15" x14ac:dyDescent="0.25">
      <c r="A71" s="63" t="str">
        <f>RTD("nest.scriprtd",,"nse_fo|"&amp;$A$57&amp;""&amp;$G$1&amp;""&amp;L71&amp;"CE","Symbol")</f>
        <v>TATAMOTORS</v>
      </c>
      <c r="B71" s="63" t="str">
        <f>RTD("nest.scriprtd",,"nse_fo|"&amp;$A$57&amp;""&amp;$G$1&amp;""&amp;L71&amp;"PE","Series/Expiry")</f>
        <v>26Dec2024</v>
      </c>
      <c r="C71" s="63">
        <f>RTD("nest.scriprtd",,"nse_fo|"&amp;$A$57&amp;""&amp;$G$1&amp;""&amp;L71&amp;"PE","Bid Qty")</f>
        <v>2750</v>
      </c>
      <c r="D71" s="63">
        <f>RTD("nest.scriprtd",,"nse_fo|"&amp;$A$57&amp;""&amp;$G$1&amp;""&amp;L71&amp;"PE","Bid Rate")</f>
        <v>0.95</v>
      </c>
      <c r="E71" s="63">
        <f>RTD("nest.scriprtd",,"nse_fo|"&amp;$A$57&amp;""&amp;$G$1&amp;""&amp;L71&amp;"PE","Ask Rate")</f>
        <v>1</v>
      </c>
      <c r="F71" s="63">
        <f>RTD("nest.scriprtd",,"nse_fo|"&amp;$A$57&amp;""&amp;$G$1&amp;""&amp;L71&amp;"PE","Ask Qty")</f>
        <v>6050</v>
      </c>
      <c r="G71" s="84">
        <f>RTD("nest.scriprtd",,"nse_fo|"&amp;$A$57&amp;""&amp;$G$1&amp;""&amp;L71&amp;"PE","LTP")</f>
        <v>1</v>
      </c>
      <c r="H71" s="63">
        <f>RTD("nest.scriprtd",,"nse_fo|"&amp;$A$57&amp;""&amp;$G$1&amp;""&amp;L71&amp;"PE","ATP")</f>
        <v>0.91</v>
      </c>
      <c r="I71" s="63">
        <f>RTD("nest.scriprtd",,"nse_fo|"&amp;$A$57&amp;""&amp;$G$1&amp;""&amp;L71&amp;"PE","Volume Traded Today")</f>
        <v>594550</v>
      </c>
      <c r="J71" s="63">
        <f>RTD("nest.scriprtd",,"nse_fo|"&amp;$A$57&amp;""&amp;$G$1&amp;""&amp;L71&amp;"PE","% Change")</f>
        <v>25</v>
      </c>
      <c r="K71" s="63">
        <f>RTD("nest.scriprtd",,"nse_fo|"&amp;$A$57&amp;""&amp;$G$1&amp;""&amp;L71&amp;"PE","Net Change")</f>
        <v>0.2</v>
      </c>
      <c r="L71" s="63">
        <v>700</v>
      </c>
      <c r="M71" s="82" t="str">
        <f>RTD("nest.scriprtd",,"nse_fo|"&amp;$A$57&amp;""&amp;$G$1&amp;""&amp;L71&amp;"PE","Option Type")</f>
        <v>PE</v>
      </c>
      <c r="N71" s="58">
        <f t="shared" si="29"/>
        <v>1</v>
      </c>
      <c r="O71" s="58">
        <v>0</v>
      </c>
      <c r="Q71" s="58">
        <f t="shared" si="26"/>
        <v>0</v>
      </c>
      <c r="R71" s="58">
        <f t="shared" si="27"/>
        <v>0</v>
      </c>
      <c r="Z71" s="58">
        <f t="shared" si="28"/>
        <v>0</v>
      </c>
    </row>
    <row r="72" spans="1:27" ht="15" x14ac:dyDescent="0.25">
      <c r="A72" s="63" t="str">
        <f>RTD("nest.scriprtd",,"nse_fo|"&amp;$A$57&amp;""&amp;$G$1&amp;""&amp;L72&amp;"CE","Symbol")</f>
        <v>TATAMOTORS</v>
      </c>
      <c r="B72" s="63" t="str">
        <f>RTD("nest.scriprtd",,"nse_fo|"&amp;$A$57&amp;""&amp;$G$1&amp;""&amp;L72&amp;"PE","Series/Expiry")</f>
        <v>26Dec2024</v>
      </c>
      <c r="C72" s="63">
        <f>RTD("nest.scriprtd",,"nse_fo|"&amp;$A$57&amp;""&amp;$G$1&amp;""&amp;L72&amp;"PE","Bid Qty")</f>
        <v>22550</v>
      </c>
      <c r="D72" s="63">
        <f>RTD("nest.scriprtd",,"nse_fo|"&amp;$A$57&amp;""&amp;$G$1&amp;""&amp;L72&amp;"PE","Bid Rate")</f>
        <v>1.1000000000000001</v>
      </c>
      <c r="E72" s="63">
        <f>RTD("nest.scriprtd",,"nse_fo|"&amp;$A$57&amp;""&amp;$G$1&amp;""&amp;L72&amp;"PE","Ask Rate")</f>
        <v>1.1499999999999999</v>
      </c>
      <c r="F72" s="63">
        <f>RTD("nest.scriprtd",,"nse_fo|"&amp;$A$57&amp;""&amp;$G$1&amp;""&amp;L72&amp;"PE","Ask Qty")</f>
        <v>3850</v>
      </c>
      <c r="G72" s="84">
        <f>RTD("nest.scriprtd",,"nse_fo|"&amp;$A$57&amp;""&amp;$G$1&amp;""&amp;L72&amp;"PE","LTP")</f>
        <v>1.1499999999999999</v>
      </c>
      <c r="H72" s="63">
        <f>RTD("nest.scriprtd",,"nse_fo|"&amp;$A$57&amp;""&amp;$G$1&amp;""&amp;L72&amp;"PE","ATP")</f>
        <v>1.1000000000000001</v>
      </c>
      <c r="I72" s="63">
        <f>RTD("nest.scriprtd",,"nse_fo|"&amp;$A$57&amp;""&amp;$G$1&amp;""&amp;L72&amp;"PE","Volume Traded Today")</f>
        <v>404800</v>
      </c>
      <c r="J72" s="63">
        <f>RTD("nest.scriprtd",,"nse_fo|"&amp;$A$57&amp;""&amp;$G$1&amp;""&amp;L72&amp;"PE","% Change")</f>
        <v>21.05</v>
      </c>
      <c r="K72" s="63">
        <f>RTD("nest.scriprtd",,"nse_fo|"&amp;$A$57&amp;""&amp;$G$1&amp;""&amp;L72&amp;"PE","Net Change")</f>
        <v>0.2</v>
      </c>
      <c r="L72" s="63">
        <f t="shared" si="30"/>
        <v>710</v>
      </c>
      <c r="M72" s="63" t="str">
        <f>RTD("nest.scriprtd",,"nse_fo|"&amp;$A$57&amp;""&amp;$G$1&amp;""&amp;L72&amp;"PE","Option Type")</f>
        <v>PE</v>
      </c>
      <c r="N72" s="58">
        <f t="shared" si="29"/>
        <v>1.1499999999999999</v>
      </c>
      <c r="O72" s="58">
        <v>0</v>
      </c>
      <c r="Q72" s="58">
        <f t="shared" si="26"/>
        <v>0</v>
      </c>
      <c r="R72" s="58">
        <f t="shared" si="27"/>
        <v>0</v>
      </c>
      <c r="Z72" s="58">
        <f t="shared" si="28"/>
        <v>0</v>
      </c>
    </row>
    <row r="73" spans="1:27" ht="15" x14ac:dyDescent="0.25">
      <c r="A73" s="63" t="str">
        <f>RTD("nest.scriprtd",,"nse_fo|"&amp;$A$57&amp;""&amp;$G$1&amp;""&amp;L73&amp;"CE","Symbol")</f>
        <v>TATAMOTORS</v>
      </c>
      <c r="B73" s="63" t="str">
        <f>RTD("nest.scriprtd",,"nse_fo|"&amp;$A$57&amp;""&amp;$G$1&amp;""&amp;L73&amp;"PE","Series/Expiry")</f>
        <v>26Dec2024</v>
      </c>
      <c r="C73" s="63">
        <f>RTD("nest.scriprtd",,"nse_fo|"&amp;$A$57&amp;""&amp;$G$1&amp;""&amp;L73&amp;"PE","Bid Qty")</f>
        <v>3850</v>
      </c>
      <c r="D73" s="63">
        <f>RTD("nest.scriprtd",,"nse_fo|"&amp;$A$57&amp;""&amp;$G$1&amp;""&amp;L73&amp;"PE","Bid Rate")</f>
        <v>1.5</v>
      </c>
      <c r="E73" s="63">
        <f>RTD("nest.scriprtd",,"nse_fo|"&amp;$A$57&amp;""&amp;$G$1&amp;""&amp;L73&amp;"PE","Ask Rate")</f>
        <v>1.55</v>
      </c>
      <c r="F73" s="63">
        <f>RTD("nest.scriprtd",,"nse_fo|"&amp;$A$57&amp;""&amp;$G$1&amp;""&amp;L73&amp;"PE","Ask Qty")</f>
        <v>11000</v>
      </c>
      <c r="G73" s="84">
        <f>RTD("nest.scriprtd",,"nse_fo|"&amp;$A$57&amp;""&amp;$G$1&amp;""&amp;L73&amp;"PE","LTP")</f>
        <v>1.5</v>
      </c>
      <c r="H73" s="63">
        <f>RTD("nest.scriprtd",,"nse_fo|"&amp;$A$57&amp;""&amp;$G$1&amp;""&amp;L73&amp;"PE","ATP")</f>
        <v>1.39</v>
      </c>
      <c r="I73" s="63">
        <f>RTD("nest.scriprtd",,"nse_fo|"&amp;$A$57&amp;""&amp;$G$1&amp;""&amp;L73&amp;"PE","Volume Traded Today")</f>
        <v>652300</v>
      </c>
      <c r="J73" s="63">
        <f>RTD("nest.scriprtd",,"nse_fo|"&amp;$A$57&amp;""&amp;$G$1&amp;""&amp;L73&amp;"PE","% Change")</f>
        <v>25</v>
      </c>
      <c r="K73" s="63">
        <f>RTD("nest.scriprtd",,"nse_fo|"&amp;$A$57&amp;""&amp;$G$1&amp;""&amp;L73&amp;"PE","Net Change")</f>
        <v>0.3</v>
      </c>
      <c r="L73" s="63">
        <f t="shared" si="30"/>
        <v>720</v>
      </c>
      <c r="M73" s="63" t="str">
        <f>RTD("nest.scriprtd",,"nse_fo|"&amp;$A$57&amp;""&amp;$G$1&amp;""&amp;L73&amp;"PE","Option Type")</f>
        <v>PE</v>
      </c>
      <c r="N73" s="58">
        <f t="shared" si="29"/>
        <v>1.5</v>
      </c>
      <c r="O73" s="58">
        <v>0</v>
      </c>
      <c r="Q73" s="58">
        <f t="shared" si="26"/>
        <v>0</v>
      </c>
      <c r="R73" s="58">
        <f t="shared" si="27"/>
        <v>0</v>
      </c>
      <c r="Z73" s="58">
        <f t="shared" si="28"/>
        <v>0</v>
      </c>
    </row>
    <row r="74" spans="1:27" ht="15" x14ac:dyDescent="0.25">
      <c r="A74" s="63" t="str">
        <f>RTD("nest.scriprtd",,"nse_fo|"&amp;$A$57&amp;""&amp;$G$1&amp;""&amp;L74&amp;"CE","Symbol")</f>
        <v>TATAMOTORS</v>
      </c>
      <c r="B74" s="63" t="str">
        <f>RTD("nest.scriprtd",,"nse_fo|"&amp;$A$57&amp;""&amp;$G$1&amp;""&amp;L74&amp;"PE","Series/Expiry")</f>
        <v>26Dec2024</v>
      </c>
      <c r="C74" s="63">
        <f>RTD("nest.scriprtd",,"nse_fo|"&amp;$A$57&amp;""&amp;$G$1&amp;""&amp;L74&amp;"PE","Bid Qty")</f>
        <v>15400</v>
      </c>
      <c r="D74" s="63">
        <f>RTD("nest.scriprtd",,"nse_fo|"&amp;$A$57&amp;""&amp;$G$1&amp;""&amp;L74&amp;"PE","Bid Rate")</f>
        <v>1.9</v>
      </c>
      <c r="E74" s="63">
        <f>RTD("nest.scriprtd",,"nse_fo|"&amp;$A$57&amp;""&amp;$G$1&amp;""&amp;L74&amp;"PE","Ask Rate")</f>
        <v>1.95</v>
      </c>
      <c r="F74" s="63">
        <f>RTD("nest.scriprtd",,"nse_fo|"&amp;$A$57&amp;""&amp;$G$1&amp;""&amp;L74&amp;"PE","Ask Qty")</f>
        <v>550</v>
      </c>
      <c r="G74" s="84">
        <f>RTD("nest.scriprtd",,"nse_fo|"&amp;$A$57&amp;""&amp;$G$1&amp;""&amp;L74&amp;"PE","LTP")</f>
        <v>1.95</v>
      </c>
      <c r="H74" s="63">
        <f>RTD("nest.scriprtd",,"nse_fo|"&amp;$A$57&amp;""&amp;$G$1&amp;""&amp;L74&amp;"PE","ATP")</f>
        <v>1.79</v>
      </c>
      <c r="I74" s="63">
        <f>RTD("nest.scriprtd",,"nse_fo|"&amp;$A$57&amp;""&amp;$G$1&amp;""&amp;L74&amp;"PE","Volume Traded Today")</f>
        <v>595650</v>
      </c>
      <c r="J74" s="63">
        <f>RTD("nest.scriprtd",,"nse_fo|"&amp;$A$57&amp;""&amp;$G$1&amp;""&amp;L74&amp;"PE","% Change")</f>
        <v>30</v>
      </c>
      <c r="K74" s="63">
        <f>RTD("nest.scriprtd",,"nse_fo|"&amp;$A$57&amp;""&amp;$G$1&amp;""&amp;L74&amp;"PE","Net Change")</f>
        <v>0.45</v>
      </c>
      <c r="L74" s="63">
        <f t="shared" si="30"/>
        <v>730</v>
      </c>
      <c r="M74" s="63" t="str">
        <f>RTD("nest.scriprtd",,"nse_fo|"&amp;$A$57&amp;""&amp;$G$1&amp;""&amp;L74&amp;"PE","Option Type")</f>
        <v>PE</v>
      </c>
      <c r="N74" s="58">
        <f t="shared" si="29"/>
        <v>1.95</v>
      </c>
      <c r="O74" s="58">
        <v>0</v>
      </c>
      <c r="Q74" s="58">
        <f t="shared" si="26"/>
        <v>0</v>
      </c>
      <c r="R74" s="58">
        <f t="shared" si="27"/>
        <v>0</v>
      </c>
      <c r="Z74" s="58">
        <f t="shared" si="28"/>
        <v>0</v>
      </c>
    </row>
    <row r="75" spans="1:27" ht="15" x14ac:dyDescent="0.25">
      <c r="A75" s="63" t="str">
        <f>RTD("nest.scriprtd",,"nse_fo|"&amp;$A$57&amp;""&amp;$G$1&amp;""&amp;L75&amp;"CE","Symbol")</f>
        <v>TATAMOTORS</v>
      </c>
      <c r="B75" s="63" t="str">
        <f>RTD("nest.scriprtd",,"nse_fo|"&amp;$A$57&amp;""&amp;$G$1&amp;""&amp;L75&amp;"PE","Series/Expiry")</f>
        <v>26Dec2024</v>
      </c>
      <c r="C75" s="63">
        <f>RTD("nest.scriprtd",,"nse_fo|"&amp;$A$57&amp;""&amp;$G$1&amp;""&amp;L75&amp;"PE","Bid Qty")</f>
        <v>22550</v>
      </c>
      <c r="D75" s="63">
        <f>RTD("nest.scriprtd",,"nse_fo|"&amp;$A$57&amp;""&amp;$G$1&amp;""&amp;L75&amp;"PE","Bid Rate")</f>
        <v>2.5499999999999998</v>
      </c>
      <c r="E75" s="63">
        <f>RTD("nest.scriprtd",,"nse_fo|"&amp;$A$57&amp;""&amp;$G$1&amp;""&amp;L75&amp;"PE","Ask Rate")</f>
        <v>2.65</v>
      </c>
      <c r="F75" s="63">
        <f>RTD("nest.scriprtd",,"nse_fo|"&amp;$A$57&amp;""&amp;$G$1&amp;""&amp;L75&amp;"PE","Ask Qty")</f>
        <v>16500</v>
      </c>
      <c r="G75" s="84">
        <f>RTD("nest.scriprtd",,"nse_fo|"&amp;$A$57&amp;""&amp;$G$1&amp;""&amp;L75&amp;"PE","LTP")</f>
        <v>2.6</v>
      </c>
      <c r="H75" s="63">
        <f>RTD("nest.scriprtd",,"nse_fo|"&amp;$A$57&amp;""&amp;$G$1&amp;""&amp;L75&amp;"PE","ATP")</f>
        <v>2.4</v>
      </c>
      <c r="I75" s="63">
        <f>RTD("nest.scriprtd",,"nse_fo|"&amp;$A$57&amp;""&amp;$G$1&amp;""&amp;L75&amp;"PE","Volume Traded Today")</f>
        <v>1082400</v>
      </c>
      <c r="J75" s="63">
        <f>RTD("nest.scriprtd",,"nse_fo|"&amp;$A$57&amp;""&amp;$G$1&amp;""&amp;L75&amp;"PE","% Change")</f>
        <v>36.840000000000003</v>
      </c>
      <c r="K75" s="63">
        <f>RTD("nest.scriprtd",,"nse_fo|"&amp;$A$57&amp;""&amp;$G$1&amp;""&amp;L75&amp;"PE","Net Change")</f>
        <v>0.7</v>
      </c>
      <c r="L75" s="63">
        <f t="shared" si="30"/>
        <v>740</v>
      </c>
      <c r="M75" s="63" t="str">
        <f>RTD("nest.scriprtd",,"nse_fo|"&amp;$A$57&amp;""&amp;$G$1&amp;""&amp;L75&amp;"PE","Option Type")</f>
        <v>PE</v>
      </c>
      <c r="N75" s="58">
        <f t="shared" si="29"/>
        <v>2.6</v>
      </c>
      <c r="O75" s="58">
        <v>0</v>
      </c>
      <c r="Q75" s="58">
        <f t="shared" si="26"/>
        <v>0</v>
      </c>
      <c r="R75" s="58">
        <f t="shared" si="27"/>
        <v>0</v>
      </c>
      <c r="S75" s="58">
        <f>+SUM(R58:R70)-SUM(R71:R75)</f>
        <v>-185</v>
      </c>
      <c r="T75" s="58">
        <f>SUM(R60:R75)-R72</f>
        <v>-9735</v>
      </c>
      <c r="U75" s="63">
        <f>+S75/T75</f>
        <v>1.9003595274781716E-2</v>
      </c>
      <c r="Z75" s="58">
        <f t="shared" si="28"/>
        <v>0</v>
      </c>
      <c r="AA75" s="58">
        <f>SUM(Z58:Z75)</f>
        <v>0</v>
      </c>
    </row>
    <row r="76" spans="1:27" x14ac:dyDescent="0.25">
      <c r="Q76" s="58">
        <f t="shared" si="26"/>
        <v>0</v>
      </c>
    </row>
    <row r="77" spans="1:27" ht="15" x14ac:dyDescent="0.25">
      <c r="A77" s="58" t="s">
        <v>67</v>
      </c>
      <c r="B77" s="58" t="str">
        <f>$A$77&amp;"-EQ"</f>
        <v>BSOFT-EQ</v>
      </c>
      <c r="C77" s="58" t="s">
        <v>168</v>
      </c>
      <c r="D77" s="63">
        <v>10</v>
      </c>
      <c r="E77" s="57">
        <v>1000</v>
      </c>
      <c r="F77" s="63"/>
      <c r="G77" s="85"/>
      <c r="K77" s="63"/>
      <c r="L77" s="63"/>
      <c r="M77" s="63"/>
    </row>
    <row r="78" spans="1:27" ht="15" x14ac:dyDescent="0.25">
      <c r="A78" s="63" t="str">
        <f>RTD("nest.scriprtd",,"nse_fo|"&amp;$A$77&amp;""&amp;$G$1&amp;""&amp;C77&amp;"","Symbol")</f>
        <v>BSOFT</v>
      </c>
      <c r="B78" s="63" t="str">
        <f>RTD("nest.scriprtd",,"nse_fo|"&amp;$A$77&amp;""&amp;$G$1&amp;""&amp;C77&amp;"","Series/Expiry")</f>
        <v>26Dec2024</v>
      </c>
      <c r="C78" s="63">
        <f>RTD("nest.scriprtd",,"nse_fo|"&amp;$A$77&amp;""&amp;$G$1&amp;""&amp;C77&amp;"","Bid Qty")</f>
        <v>2000</v>
      </c>
      <c r="D78" s="63">
        <f>RTD("nest.scriprtd",,"nse_fo|"&amp;$A$77&amp;""&amp;$G$1&amp;""&amp;C77&amp;"","Bid Rate")</f>
        <v>609.35</v>
      </c>
      <c r="E78" s="63">
        <f>RTD("nest.scriprtd",,"nse_fo|"&amp;$A$77&amp;""&amp;$G$1&amp;""&amp;C77&amp;"","Ask Rate")</f>
        <v>609.70000000000005</v>
      </c>
      <c r="F78" s="63">
        <f>RTD("nest.scriprtd",,"nse_fo|"&amp;$A$77&amp;""&amp;$G$1&amp;""&amp;C77&amp;"","Ask Qty")</f>
        <v>1000</v>
      </c>
      <c r="G78" s="84">
        <f>RTD("nest.scriprtd",,"nse_fo|"&amp;$A$77&amp;""&amp;$G$1&amp;""&amp;C77&amp;"","LTP")</f>
        <v>609.45000000000005</v>
      </c>
      <c r="H78" s="63">
        <f>RTD("nest.scriprtd",,"nse_fo|"&amp;$A$77&amp;""&amp;$G$1&amp;""&amp;C77&amp;"","ATP")</f>
        <v>612.33000000000004</v>
      </c>
      <c r="I78" s="63">
        <f>RTD("nest.scriprtd",,"nse_fo|"&amp;$A$77&amp;""&amp;$G$1&amp;""&amp;C77&amp;"","Volume Traded Today")</f>
        <v>1038000</v>
      </c>
      <c r="J78" s="63">
        <f>RTD("nest.scriprtd",,"nse_fo|"&amp;$A$77&amp;""&amp;$G$1&amp;""&amp;C77&amp;"","% Change")</f>
        <v>-0.3</v>
      </c>
      <c r="K78" s="63">
        <f>RTD("nest.scriprtd",,"nse_fo|"&amp;$A$77&amp;""&amp;$G$1&amp;""&amp;C77&amp;"","Net Change")</f>
        <v>-1.85</v>
      </c>
      <c r="L78" s="63">
        <f>RTD("nest.scriprtd",,"nse_fo|"&amp;$A$77&amp;""&amp;$G$1&amp;""&amp;C77&amp;"","Strike Price")</f>
        <v>0</v>
      </c>
      <c r="M78" s="63"/>
      <c r="N78" s="58">
        <f>MIN($S$78,G78)</f>
        <v>30</v>
      </c>
      <c r="Q78" s="58">
        <f t="shared" ref="Q78:Q95" si="36">+P78+O78</f>
        <v>0</v>
      </c>
      <c r="R78" s="58">
        <f t="shared" ref="R78:R95" si="37">+Q78*N78</f>
        <v>0</v>
      </c>
      <c r="S78" s="58">
        <f>+$Q$2*T78</f>
        <v>30</v>
      </c>
      <c r="T78" s="80">
        <f>+FACTOR!G17</f>
        <v>30</v>
      </c>
      <c r="Z78" s="58">
        <f t="shared" ref="Z78:Z95" si="38">+O78*K78</f>
        <v>0</v>
      </c>
    </row>
    <row r="79" spans="1:27" ht="15" x14ac:dyDescent="0.25">
      <c r="A79" s="63" t="str">
        <f>RTD("nest.scriprtd",,"nse_cm|"&amp;B77&amp;"","Symbol")</f>
        <v>BSOFT</v>
      </c>
      <c r="B79" s="63" t="str">
        <f>RTD("nest.scriprtd",,"nse_cm|"&amp;B77&amp;"","Series/Expiry")</f>
        <v>EQ</v>
      </c>
      <c r="C79" s="63">
        <f>RTD("nest.scriprtd",,"nse_cm|"&amp;B77&amp;"","Bid Qty")</f>
        <v>16</v>
      </c>
      <c r="D79" s="63">
        <f>RTD("nest.scriprtd",,"nse_cm|"&amp;B77&amp;"","Bid Rate")</f>
        <v>608.25</v>
      </c>
      <c r="E79" s="63">
        <f>RTD("nest.scriprtd",,"nse_cm|"&amp;B77&amp;"","Ask Rate")</f>
        <v>608.45000000000005</v>
      </c>
      <c r="F79" s="63">
        <f>RTD("nest.scriprtd",,"nse_cm|"&amp;B77&amp;"","Ask Qty")</f>
        <v>100</v>
      </c>
      <c r="G79" s="84">
        <f>RTD("nest.scriprtd",,"nse_cm|"&amp;B77&amp;"","LTP")</f>
        <v>608.45000000000005</v>
      </c>
      <c r="H79" s="63">
        <f>RTD("nest.scriprtd",,"nse_cm|"&amp;B77&amp;"","ATP")</f>
        <v>610.64</v>
      </c>
      <c r="I79" s="63">
        <f>RTD("nest.scriprtd",,"nse_cm|"&amp;B77&amp;"","Volume Traded Today")</f>
        <v>493021</v>
      </c>
      <c r="J79" s="63">
        <f>RTD("nest.scriprtd",,"nse_cm|"&amp;B77&amp;"","% Change")</f>
        <v>0.06</v>
      </c>
      <c r="K79" s="63">
        <f>RTD("nest.scriprtd",,"nse_cm|"&amp;B77&amp;"","Net Change")</f>
        <v>0.35</v>
      </c>
      <c r="L79" s="63">
        <f>RTD("nest.scriprtd",,"nse_cm|"&amp;B77&amp;"","Strike Price")</f>
        <v>0</v>
      </c>
      <c r="M79" s="63"/>
      <c r="N79" s="58">
        <f t="shared" ref="N79:N95" si="39">MIN($S$78,G79)</f>
        <v>30</v>
      </c>
      <c r="Q79" s="58">
        <f t="shared" si="36"/>
        <v>0</v>
      </c>
      <c r="R79" s="58">
        <f t="shared" si="37"/>
        <v>0</v>
      </c>
      <c r="Z79" s="58">
        <f t="shared" si="38"/>
        <v>0</v>
      </c>
    </row>
    <row r="80" spans="1:27" ht="15" x14ac:dyDescent="0.25">
      <c r="A80" s="63" t="str">
        <f>RTD("nest.scriprtd",,"nse_fo|"&amp;$A$77&amp;""&amp;$G$1&amp;""&amp;L80&amp;"CE","Symbol")</f>
        <v>BSOFT</v>
      </c>
      <c r="B80" s="63" t="str">
        <f>RTD("nest.scriprtd",,"nse_fo|"&amp;$A$77&amp;""&amp;$G$1&amp;""&amp;L80&amp;"CE","Series/Expiry")</f>
        <v>26Dec2024</v>
      </c>
      <c r="C80" s="63">
        <f>RTD("nest.scriprtd",,"nse_fo|"&amp;$A$77&amp;""&amp;$G$1&amp;""&amp;L80&amp;"CE","Bid Qty")</f>
        <v>2000</v>
      </c>
      <c r="D80" s="63">
        <f>RTD("nest.scriprtd",,"nse_fo|"&amp;$A$77&amp;""&amp;$G$1&amp;""&amp;L80&amp;"CE","Bid Rate")</f>
        <v>69.599999999999994</v>
      </c>
      <c r="E80" s="63">
        <f>RTD("nest.scriprtd",,"nse_fo|"&amp;$A$77&amp;""&amp;$G$1&amp;""&amp;L80&amp;"CE","Ask Rate")</f>
        <v>74.150000000000006</v>
      </c>
      <c r="F80" s="63">
        <f>RTD("nest.scriprtd",,"nse_fo|"&amp;$A$77&amp;""&amp;$G$1&amp;""&amp;L80&amp;"CE","Ask Qty")</f>
        <v>3000</v>
      </c>
      <c r="G80" s="84">
        <f>RTD("nest.scriprtd",,"nse_fo|"&amp;$A$77&amp;""&amp;$G$1&amp;""&amp;L80&amp;"CE","LTP")</f>
        <v>62.25</v>
      </c>
      <c r="H80" s="63">
        <f>RTD("nest.scriprtd",,"nse_fo|"&amp;$A$77&amp;""&amp;$G$1&amp;""&amp;L80&amp;"CE","ATP")</f>
        <v>0</v>
      </c>
      <c r="I80" s="63">
        <f>RTD("nest.scriprtd",,"nse_fo|"&amp;$A$77&amp;""&amp;$G$1&amp;""&amp;L80&amp;"CE","Volume Traded Today")</f>
        <v>0</v>
      </c>
      <c r="J80" s="63">
        <f>RTD("nest.scriprtd",,"nse_fo|"&amp;$A$77&amp;""&amp;$G$1&amp;""&amp;L80&amp;"CE","% Change")</f>
        <v>0</v>
      </c>
      <c r="K80" s="63">
        <f>RTD("nest.scriprtd",,"nse_fo|"&amp;$A$77&amp;""&amp;$G$1&amp;""&amp;L80&amp;"CE","Net Change")</f>
        <v>0</v>
      </c>
      <c r="L80" s="63">
        <v>540</v>
      </c>
      <c r="M80" s="82" t="str">
        <f>RTD("nest.scriprtd",,"nse_fo|"&amp;$A$77&amp;""&amp;$G$1&amp;""&amp;L80&amp;"CE","Option Type")</f>
        <v>CE</v>
      </c>
      <c r="N80" s="58">
        <f t="shared" si="39"/>
        <v>30</v>
      </c>
      <c r="Q80" s="58">
        <f t="shared" si="36"/>
        <v>0</v>
      </c>
      <c r="R80" s="58">
        <f t="shared" si="37"/>
        <v>0</v>
      </c>
      <c r="Z80" s="58">
        <f t="shared" si="38"/>
        <v>0</v>
      </c>
    </row>
    <row r="81" spans="1:27" ht="15" x14ac:dyDescent="0.25">
      <c r="A81" s="63" t="str">
        <f>RTD("nest.scriprtd",,"nse_fo|"&amp;$A$77&amp;""&amp;$G$1&amp;""&amp;L81&amp;"CE","Symbol")</f>
        <v>BSOFT</v>
      </c>
      <c r="B81" s="63" t="str">
        <f>RTD("nest.scriprtd",,"nse_fo|"&amp;$A$77&amp;""&amp;$G$1&amp;""&amp;L81&amp;"CE","Series/Expiry")</f>
        <v>26Dec2024</v>
      </c>
      <c r="C81" s="63">
        <f>RTD("nest.scriprtd",,"nse_fo|"&amp;$A$77&amp;""&amp;$G$1&amp;""&amp;L81&amp;"CE","Bid Qty")</f>
        <v>1000</v>
      </c>
      <c r="D81" s="63">
        <f>RTD("nest.scriprtd",,"nse_fo|"&amp;$A$77&amp;""&amp;$G$1&amp;""&amp;L81&amp;"CE","Bid Rate")</f>
        <v>59.85</v>
      </c>
      <c r="E81" s="63">
        <f>RTD("nest.scriprtd",,"nse_fo|"&amp;$A$77&amp;""&amp;$G$1&amp;""&amp;L81&amp;"CE","Ask Rate")</f>
        <v>62.2</v>
      </c>
      <c r="F81" s="63">
        <f>RTD("nest.scriprtd",,"nse_fo|"&amp;$A$77&amp;""&amp;$G$1&amp;""&amp;L81&amp;"CE","Ask Qty")</f>
        <v>1000</v>
      </c>
      <c r="G81" s="84">
        <f>RTD("nest.scriprtd",,"nse_fo|"&amp;$A$77&amp;""&amp;$G$1&amp;""&amp;L81&amp;"CE","LTP")</f>
        <v>61.9</v>
      </c>
      <c r="H81" s="63">
        <f>RTD("nest.scriprtd",,"nse_fo|"&amp;$A$77&amp;""&amp;$G$1&amp;""&amp;L81&amp;"CE","ATP")</f>
        <v>63.31</v>
      </c>
      <c r="I81" s="63">
        <f>RTD("nest.scriprtd",,"nse_fo|"&amp;$A$77&amp;""&amp;$G$1&amp;""&amp;L81&amp;"CE","Volume Traded Today")</f>
        <v>17000</v>
      </c>
      <c r="J81" s="63">
        <f>RTD("nest.scriprtd",,"nse_fo|"&amp;$A$77&amp;""&amp;$G$1&amp;""&amp;L81&amp;"CE","% Change")</f>
        <v>-3.21</v>
      </c>
      <c r="K81" s="63">
        <f>RTD("nest.scriprtd",,"nse_fo|"&amp;$A$77&amp;""&amp;$G$1&amp;""&amp;L81&amp;"CE","Net Change")</f>
        <v>-2.0499999999999998</v>
      </c>
      <c r="L81" s="63">
        <f>+L80+$D$77</f>
        <v>550</v>
      </c>
      <c r="M81" s="63" t="str">
        <f>RTD("nest.scriprtd",,"nse_fo|"&amp;$A$77&amp;""&amp;$G$1&amp;""&amp;L81&amp;"CE","Option Type")</f>
        <v>CE</v>
      </c>
      <c r="N81" s="58">
        <f t="shared" si="39"/>
        <v>30</v>
      </c>
      <c r="Q81" s="58">
        <f>+P81+O81</f>
        <v>0</v>
      </c>
      <c r="R81" s="58">
        <f t="shared" si="37"/>
        <v>0</v>
      </c>
      <c r="U81" s="58"/>
      <c r="Z81" s="58">
        <f>+O81*K81</f>
        <v>0</v>
      </c>
    </row>
    <row r="82" spans="1:27" ht="15" x14ac:dyDescent="0.25">
      <c r="A82" s="63" t="str">
        <f>RTD("nest.scriprtd",,"nse_fo|"&amp;$A$77&amp;""&amp;$G$1&amp;""&amp;L82&amp;"CE","Symbol")</f>
        <v>BSOFT</v>
      </c>
      <c r="B82" s="63" t="str">
        <f>RTD("nest.scriprtd",,"nse_fo|"&amp;$A$77&amp;""&amp;$G$1&amp;""&amp;L82&amp;"CE","Series/Expiry")</f>
        <v>26Dec2024</v>
      </c>
      <c r="C82" s="63">
        <f>RTD("nest.scriprtd",,"nse_fo|"&amp;$A$77&amp;""&amp;$G$1&amp;""&amp;L82&amp;"CE","Bid Qty")</f>
        <v>1000</v>
      </c>
      <c r="D82" s="63">
        <f>RTD("nest.scriprtd",,"nse_fo|"&amp;$A$77&amp;""&amp;$G$1&amp;""&amp;L82&amp;"CE","Bid Rate")</f>
        <v>51.3</v>
      </c>
      <c r="E82" s="63">
        <f>RTD("nest.scriprtd",,"nse_fo|"&amp;$A$77&amp;""&amp;$G$1&amp;""&amp;L82&amp;"CE","Ask Rate")</f>
        <v>52.05</v>
      </c>
      <c r="F82" s="63">
        <f>RTD("nest.scriprtd",,"nse_fo|"&amp;$A$77&amp;""&amp;$G$1&amp;""&amp;L82&amp;"CE","Ask Qty")</f>
        <v>1000</v>
      </c>
      <c r="G82" s="84">
        <f>RTD("nest.scriprtd",,"nse_fo|"&amp;$A$77&amp;""&amp;$G$1&amp;""&amp;L82&amp;"CE","LTP")</f>
        <v>51.95</v>
      </c>
      <c r="H82" s="63">
        <f>RTD("nest.scriprtd",,"nse_fo|"&amp;$A$77&amp;""&amp;$G$1&amp;""&amp;L82&amp;"CE","ATP")</f>
        <v>51.66</v>
      </c>
      <c r="I82" s="63">
        <f>RTD("nest.scriprtd",,"nse_fo|"&amp;$A$77&amp;""&amp;$G$1&amp;""&amp;L82&amp;"CE","Volume Traded Today")</f>
        <v>3000</v>
      </c>
      <c r="J82" s="63">
        <f>RTD("nest.scriprtd",,"nse_fo|"&amp;$A$77&amp;""&amp;$G$1&amp;""&amp;L82&amp;"CE","% Change")</f>
        <v>-1.52</v>
      </c>
      <c r="K82" s="63">
        <f>RTD("nest.scriprtd",,"nse_fo|"&amp;$A$77&amp;""&amp;$G$1&amp;""&amp;L82&amp;"CE","Net Change")</f>
        <v>-0.8</v>
      </c>
      <c r="L82" s="63">
        <f t="shared" ref="L82:L95" si="40">+L81+$D$77</f>
        <v>560</v>
      </c>
      <c r="M82" s="63" t="str">
        <f>RTD("nest.scriprtd",,"nse_fo|"&amp;$A$77&amp;""&amp;$G$1&amp;""&amp;L82&amp;"CE","Option Type")</f>
        <v>CE</v>
      </c>
      <c r="N82" s="58">
        <f t="shared" si="39"/>
        <v>30</v>
      </c>
      <c r="Q82" s="58">
        <f>+P82+O82</f>
        <v>0</v>
      </c>
      <c r="R82" s="58">
        <f t="shared" si="37"/>
        <v>0</v>
      </c>
      <c r="U82" s="58"/>
      <c r="Z82" s="58">
        <f>+O82*K82</f>
        <v>0</v>
      </c>
    </row>
    <row r="83" spans="1:27" ht="15" x14ac:dyDescent="0.25">
      <c r="A83" s="63" t="str">
        <f>RTD("nest.scriprtd",,"nse_fo|"&amp;$A$77&amp;""&amp;$G$1&amp;""&amp;L83&amp;"CE","Symbol")</f>
        <v>BSOFT</v>
      </c>
      <c r="B83" s="63" t="str">
        <f>RTD("nest.scriprtd",,"nse_fo|"&amp;$A$77&amp;""&amp;$G$1&amp;""&amp;L83&amp;"CE","Series/Expiry")</f>
        <v>26Dec2024</v>
      </c>
      <c r="C83" s="63">
        <f>RTD("nest.scriprtd",,"nse_fo|"&amp;$A$77&amp;""&amp;$G$1&amp;""&amp;L83&amp;"CE","Bid Qty")</f>
        <v>1000</v>
      </c>
      <c r="D83" s="63">
        <f>RTD("nest.scriprtd",,"nse_fo|"&amp;$A$77&amp;""&amp;$G$1&amp;""&amp;L83&amp;"CE","Bid Rate")</f>
        <v>42.25</v>
      </c>
      <c r="E83" s="63">
        <f>RTD("nest.scriprtd",,"nse_fo|"&amp;$A$77&amp;""&amp;$G$1&amp;""&amp;L83&amp;"CE","Ask Rate")</f>
        <v>43.6</v>
      </c>
      <c r="F83" s="63">
        <f>RTD("nest.scriprtd",,"nse_fo|"&amp;$A$77&amp;""&amp;$G$1&amp;""&amp;L83&amp;"CE","Ask Qty")</f>
        <v>4000</v>
      </c>
      <c r="G83" s="84">
        <f>RTD("nest.scriprtd",,"nse_fo|"&amp;$A$77&amp;""&amp;$G$1&amp;""&amp;L83&amp;"CE","LTP")</f>
        <v>43.35</v>
      </c>
      <c r="H83" s="63">
        <f>RTD("nest.scriprtd",,"nse_fo|"&amp;$A$77&amp;""&amp;$G$1&amp;""&amp;L83&amp;"CE","ATP")</f>
        <v>43.9</v>
      </c>
      <c r="I83" s="63">
        <f>RTD("nest.scriprtd",,"nse_fo|"&amp;$A$77&amp;""&amp;$G$1&amp;""&amp;L83&amp;"CE","Volume Traded Today")</f>
        <v>6000</v>
      </c>
      <c r="J83" s="63">
        <f>RTD("nest.scriprtd",,"nse_fo|"&amp;$A$77&amp;""&amp;$G$1&amp;""&amp;L83&amp;"CE","% Change")</f>
        <v>-5.76</v>
      </c>
      <c r="K83" s="63">
        <f>RTD("nest.scriprtd",,"nse_fo|"&amp;$A$77&amp;""&amp;$G$1&amp;""&amp;L83&amp;"CE","Net Change")</f>
        <v>-2.65</v>
      </c>
      <c r="L83" s="63">
        <f t="shared" si="40"/>
        <v>570</v>
      </c>
      <c r="M83" s="63" t="str">
        <f>RTD("nest.scriprtd",,"nse_fo|"&amp;$A$77&amp;""&amp;$G$1&amp;""&amp;L83&amp;"CE","Option Type")</f>
        <v>CE</v>
      </c>
      <c r="N83" s="58">
        <f t="shared" si="39"/>
        <v>30</v>
      </c>
      <c r="Q83" s="58">
        <f>+P83+O83</f>
        <v>0</v>
      </c>
      <c r="R83" s="58">
        <f t="shared" si="37"/>
        <v>0</v>
      </c>
      <c r="U83" s="58"/>
      <c r="Z83" s="58">
        <f>+O83*K83</f>
        <v>0</v>
      </c>
    </row>
    <row r="84" spans="1:27" ht="15" x14ac:dyDescent="0.25">
      <c r="A84" s="63" t="str">
        <f>RTD("nest.scriprtd",,"nse_fo|"&amp;$A$77&amp;""&amp;$G$1&amp;""&amp;L84&amp;"CE","Symbol")</f>
        <v>BSOFT</v>
      </c>
      <c r="B84" s="63" t="str">
        <f>RTD("nest.scriprtd",,"nse_fo|"&amp;$A$77&amp;""&amp;$G$1&amp;""&amp;L84&amp;"CE","Series/Expiry")</f>
        <v>26Dec2024</v>
      </c>
      <c r="C84" s="63">
        <f>RTD("nest.scriprtd",,"nse_fo|"&amp;$A$77&amp;""&amp;$G$1&amp;""&amp;L84&amp;"CE","Bid Qty")</f>
        <v>2000</v>
      </c>
      <c r="D84" s="63">
        <f>RTD("nest.scriprtd",,"nse_fo|"&amp;$A$77&amp;""&amp;$G$1&amp;""&amp;L84&amp;"CE","Bid Rate")</f>
        <v>33.85</v>
      </c>
      <c r="E84" s="63">
        <f>RTD("nest.scriprtd",,"nse_fo|"&amp;$A$77&amp;""&amp;$G$1&amp;""&amp;L84&amp;"CE","Ask Rate")</f>
        <v>35.15</v>
      </c>
      <c r="F84" s="63">
        <f>RTD("nest.scriprtd",,"nse_fo|"&amp;$A$77&amp;""&amp;$G$1&amp;""&amp;L84&amp;"CE","Ask Qty")</f>
        <v>1000</v>
      </c>
      <c r="G84" s="84">
        <f>RTD("nest.scriprtd",,"nse_fo|"&amp;$A$77&amp;""&amp;$G$1&amp;""&amp;L84&amp;"CE","LTP")</f>
        <v>34.5</v>
      </c>
      <c r="H84" s="63">
        <f>RTD("nest.scriprtd",,"nse_fo|"&amp;$A$77&amp;""&amp;$G$1&amp;""&amp;L84&amp;"CE","ATP")</f>
        <v>35</v>
      </c>
      <c r="I84" s="63">
        <f>RTD("nest.scriprtd",,"nse_fo|"&amp;$A$77&amp;""&amp;$G$1&amp;""&amp;L84&amp;"CE","Volume Traded Today")</f>
        <v>11000</v>
      </c>
      <c r="J84" s="63">
        <f>RTD("nest.scriprtd",,"nse_fo|"&amp;$A$77&amp;""&amp;$G$1&amp;""&amp;L84&amp;"CE","% Change")</f>
        <v>-6.38</v>
      </c>
      <c r="K84" s="63">
        <f>RTD("nest.scriprtd",,"nse_fo|"&amp;$A$77&amp;""&amp;$G$1&amp;""&amp;L84&amp;"CE","Net Change")</f>
        <v>-2.35</v>
      </c>
      <c r="L84" s="63">
        <f t="shared" si="40"/>
        <v>580</v>
      </c>
      <c r="M84" s="63" t="str">
        <f>RTD("nest.scriprtd",,"nse_fo|"&amp;$A$77&amp;""&amp;$G$1&amp;""&amp;L84&amp;"CE","Option Type")</f>
        <v>CE</v>
      </c>
      <c r="N84" s="58">
        <f t="shared" si="39"/>
        <v>30</v>
      </c>
      <c r="Q84" s="58">
        <f>+P84+O84</f>
        <v>0</v>
      </c>
      <c r="R84" s="58">
        <f t="shared" si="37"/>
        <v>0</v>
      </c>
      <c r="Z84" s="58">
        <f>+O84*K84</f>
        <v>0</v>
      </c>
    </row>
    <row r="85" spans="1:27" ht="15" x14ac:dyDescent="0.25">
      <c r="A85" s="63" t="str">
        <f>RTD("nest.scriprtd",,"nse_fo|"&amp;$A$77&amp;""&amp;$G$1&amp;""&amp;L85&amp;"CE","Symbol")</f>
        <v>BSOFT</v>
      </c>
      <c r="B85" s="63" t="str">
        <f>RTD("nest.scriprtd",,"nse_fo|"&amp;$A$77&amp;""&amp;$G$1&amp;""&amp;L85&amp;"CE","Series/Expiry")</f>
        <v>26Dec2024</v>
      </c>
      <c r="C85" s="63">
        <f>RTD("nest.scriprtd",,"nse_fo|"&amp;$A$77&amp;""&amp;$G$1&amp;""&amp;L85&amp;"CE","Bid Qty")</f>
        <v>1000</v>
      </c>
      <c r="D85" s="63">
        <f>RTD("nest.scriprtd",,"nse_fo|"&amp;$A$77&amp;""&amp;$G$1&amp;""&amp;L85&amp;"CE","Bid Rate")</f>
        <v>26.6</v>
      </c>
      <c r="E85" s="63">
        <f>RTD("nest.scriprtd",,"nse_fo|"&amp;$A$77&amp;""&amp;$G$1&amp;""&amp;L85&amp;"CE","Ask Rate")</f>
        <v>27.45</v>
      </c>
      <c r="F85" s="63">
        <f>RTD("nest.scriprtd",,"nse_fo|"&amp;$A$77&amp;""&amp;$G$1&amp;""&amp;L85&amp;"CE","Ask Qty")</f>
        <v>1000</v>
      </c>
      <c r="G85" s="84">
        <f>RTD("nest.scriprtd",,"nse_fo|"&amp;$A$77&amp;""&amp;$G$1&amp;""&amp;L85&amp;"CE","LTP")</f>
        <v>27.5</v>
      </c>
      <c r="H85" s="63">
        <f>RTD("nest.scriprtd",,"nse_fo|"&amp;$A$77&amp;""&amp;$G$1&amp;""&amp;L85&amp;"CE","ATP")</f>
        <v>29.56</v>
      </c>
      <c r="I85" s="63">
        <f>RTD("nest.scriprtd",,"nse_fo|"&amp;$A$77&amp;""&amp;$G$1&amp;""&amp;L85&amp;"CE","Volume Traded Today")</f>
        <v>23000</v>
      </c>
      <c r="J85" s="63">
        <f>RTD("nest.scriprtd",,"nse_fo|"&amp;$A$77&amp;""&amp;$G$1&amp;""&amp;L85&amp;"CE","% Change")</f>
        <v>-4.68</v>
      </c>
      <c r="K85" s="63">
        <f>RTD("nest.scriprtd",,"nse_fo|"&amp;$A$77&amp;""&amp;$G$1&amp;""&amp;L85&amp;"CE","Net Change")</f>
        <v>-1.35</v>
      </c>
      <c r="L85" s="63">
        <f t="shared" si="40"/>
        <v>590</v>
      </c>
      <c r="M85" s="63" t="str">
        <f>RTD("nest.scriprtd",,"nse_fo|"&amp;$A$77&amp;""&amp;$G$1&amp;""&amp;L85&amp;"CE","Option Type")</f>
        <v>CE</v>
      </c>
      <c r="N85" s="58">
        <f t="shared" si="39"/>
        <v>27.5</v>
      </c>
      <c r="Q85" s="58">
        <f t="shared" si="36"/>
        <v>0</v>
      </c>
      <c r="R85" s="58">
        <f t="shared" si="37"/>
        <v>0</v>
      </c>
      <c r="Z85" s="58">
        <f t="shared" si="38"/>
        <v>0</v>
      </c>
    </row>
    <row r="86" spans="1:27" ht="15" x14ac:dyDescent="0.25">
      <c r="A86" s="63" t="str">
        <f>RTD("nest.scriprtd",,"nse_fo|"&amp;$A$77&amp;""&amp;$G$1&amp;""&amp;L86&amp;"CE","Symbol")</f>
        <v>BSOFT</v>
      </c>
      <c r="B86" s="63" t="str">
        <f>RTD("nest.scriprtd",,"nse_fo|"&amp;$A$77&amp;""&amp;$G$1&amp;""&amp;L86&amp;"CE","Series/Expiry")</f>
        <v>26Dec2024</v>
      </c>
      <c r="C86" s="63">
        <f>RTD("nest.scriprtd",,"nse_fo|"&amp;$A$77&amp;""&amp;$G$1&amp;""&amp;L86&amp;"CE","Bid Qty")</f>
        <v>4000</v>
      </c>
      <c r="D86" s="63">
        <f>RTD("nest.scriprtd",,"nse_fo|"&amp;$A$77&amp;""&amp;$G$1&amp;""&amp;L86&amp;"CE","Bid Rate")</f>
        <v>20.2</v>
      </c>
      <c r="E86" s="63">
        <f>RTD("nest.scriprtd",,"nse_fo|"&amp;$A$77&amp;""&amp;$G$1&amp;""&amp;L86&amp;"CE","Ask Rate")</f>
        <v>20.5</v>
      </c>
      <c r="F86" s="63">
        <f>RTD("nest.scriprtd",,"nse_fo|"&amp;$A$77&amp;""&amp;$G$1&amp;""&amp;L86&amp;"CE","Ask Qty")</f>
        <v>3000</v>
      </c>
      <c r="G86" s="84">
        <f>RTD("nest.scriprtd",,"nse_fo|"&amp;$A$77&amp;""&amp;$G$1&amp;""&amp;L86&amp;"CE","LTP")</f>
        <v>20.3</v>
      </c>
      <c r="H86" s="63">
        <f>RTD("nest.scriprtd",,"nse_fo|"&amp;$A$77&amp;""&amp;$G$1&amp;""&amp;L86&amp;"CE","ATP")</f>
        <v>22.5</v>
      </c>
      <c r="I86" s="63">
        <f>RTD("nest.scriprtd",,"nse_fo|"&amp;$A$77&amp;""&amp;$G$1&amp;""&amp;L86&amp;"CE","Volume Traded Today")</f>
        <v>393000</v>
      </c>
      <c r="J86" s="63">
        <f>RTD("nest.scriprtd",,"nse_fo|"&amp;$A$77&amp;""&amp;$G$1&amp;""&amp;L86&amp;"CE","% Change")</f>
        <v>-8.14</v>
      </c>
      <c r="K86" s="63">
        <f>RTD("nest.scriprtd",,"nse_fo|"&amp;$A$77&amp;""&amp;$G$1&amp;""&amp;L86&amp;"CE","Net Change")</f>
        <v>-1.8</v>
      </c>
      <c r="L86" s="63">
        <f t="shared" si="40"/>
        <v>600</v>
      </c>
      <c r="M86" s="63" t="str">
        <f>RTD("nest.scriprtd",,"nse_fo|"&amp;$A$77&amp;""&amp;$G$1&amp;""&amp;L86&amp;"CE","Option Type")</f>
        <v>CE</v>
      </c>
      <c r="N86" s="58">
        <f t="shared" si="39"/>
        <v>20.3</v>
      </c>
      <c r="Q86" s="58">
        <f t="shared" si="36"/>
        <v>0</v>
      </c>
      <c r="R86" s="58">
        <f t="shared" si="37"/>
        <v>0</v>
      </c>
      <c r="Z86" s="58">
        <f t="shared" si="38"/>
        <v>0</v>
      </c>
    </row>
    <row r="87" spans="1:27" ht="15" x14ac:dyDescent="0.25">
      <c r="A87" s="63" t="str">
        <f>RTD("nest.scriprtd",,"nse_fo|"&amp;$A$77&amp;""&amp;$G$1&amp;""&amp;L87&amp;"CE","Symbol")</f>
        <v>BSOFT</v>
      </c>
      <c r="B87" s="63" t="str">
        <f>RTD("nest.scriprtd",,"nse_fo|"&amp;$A$77&amp;""&amp;$G$1&amp;""&amp;L87&amp;"CE","Series/Expiry")</f>
        <v>26Dec2024</v>
      </c>
      <c r="C87" s="63">
        <f>RTD("nest.scriprtd",,"nse_fo|"&amp;$A$77&amp;""&amp;$G$1&amp;""&amp;L87&amp;"CE","Bid Qty")</f>
        <v>1000</v>
      </c>
      <c r="D87" s="63">
        <f>RTD("nest.scriprtd",,"nse_fo|"&amp;$A$77&amp;""&amp;$G$1&amp;""&amp;L87&amp;"CE","Bid Rate")</f>
        <v>14.85</v>
      </c>
      <c r="E87" s="63">
        <f>RTD("nest.scriprtd",,"nse_fo|"&amp;$A$77&amp;""&amp;$G$1&amp;""&amp;L87&amp;"CE","Ask Rate")</f>
        <v>15.1</v>
      </c>
      <c r="F87" s="63">
        <f>RTD("nest.scriprtd",,"nse_fo|"&amp;$A$77&amp;""&amp;$G$1&amp;""&amp;L87&amp;"CE","Ask Qty")</f>
        <v>5000</v>
      </c>
      <c r="G87" s="84">
        <f>RTD("nest.scriprtd",,"nse_fo|"&amp;$A$77&amp;""&amp;$G$1&amp;""&amp;L87&amp;"CE","LTP")</f>
        <v>14.85</v>
      </c>
      <c r="H87" s="63">
        <f>RTD("nest.scriprtd",,"nse_fo|"&amp;$A$77&amp;""&amp;$G$1&amp;""&amp;L87&amp;"CE","ATP")</f>
        <v>17.03</v>
      </c>
      <c r="I87" s="63">
        <f>RTD("nest.scriprtd",,"nse_fo|"&amp;$A$77&amp;""&amp;$G$1&amp;""&amp;L87&amp;"CE","Volume Traded Today")</f>
        <v>590000</v>
      </c>
      <c r="J87" s="63">
        <f>RTD("nest.scriprtd",,"nse_fo|"&amp;$A$77&amp;""&amp;$G$1&amp;""&amp;L87&amp;"CE","% Change")</f>
        <v>-10.54</v>
      </c>
      <c r="K87" s="63">
        <f>RTD("nest.scriprtd",,"nse_fo|"&amp;$A$77&amp;""&amp;$G$1&amp;""&amp;L87&amp;"CE","Net Change")</f>
        <v>-1.75</v>
      </c>
      <c r="L87" s="63">
        <f t="shared" si="40"/>
        <v>610</v>
      </c>
      <c r="M87" s="63" t="str">
        <f>RTD("nest.scriprtd",,"nse_fo|"&amp;$A$77&amp;""&amp;$G$1&amp;""&amp;L87&amp;"CE","Option Type")</f>
        <v>CE</v>
      </c>
      <c r="N87" s="58">
        <f t="shared" ref="N87:N89" si="41">MIN($S$78,G87)</f>
        <v>14.85</v>
      </c>
      <c r="Q87" s="58">
        <f t="shared" ref="Q87:Q89" si="42">+P87+O87</f>
        <v>0</v>
      </c>
      <c r="R87" s="58">
        <f t="shared" ref="R87:R89" si="43">+Q87*N87</f>
        <v>0</v>
      </c>
      <c r="Z87" s="58">
        <f t="shared" ref="Z87:Z89" si="44">+O87*K87</f>
        <v>0</v>
      </c>
    </row>
    <row r="88" spans="1:27" ht="15" x14ac:dyDescent="0.25">
      <c r="A88" s="63" t="str">
        <f>RTD("nest.scriprtd",,"nse_fo|"&amp;$A$77&amp;""&amp;$G$1&amp;""&amp;L88&amp;"CE","Symbol")</f>
        <v>BSOFT</v>
      </c>
      <c r="B88" s="63" t="str">
        <f>RTD("nest.scriprtd",,"nse_fo|"&amp;$A$77&amp;""&amp;$G$1&amp;""&amp;L88&amp;"CE","Series/Expiry")</f>
        <v>26Dec2024</v>
      </c>
      <c r="C88" s="63">
        <f>RTD("nest.scriprtd",,"nse_fo|"&amp;$A$77&amp;""&amp;$G$1&amp;""&amp;L88&amp;"CE","Bid Qty")</f>
        <v>5000</v>
      </c>
      <c r="D88" s="63">
        <f>RTD("nest.scriprtd",,"nse_fo|"&amp;$A$77&amp;""&amp;$G$1&amp;""&amp;L88&amp;"CE","Bid Rate")</f>
        <v>10.55</v>
      </c>
      <c r="E88" s="63">
        <f>RTD("nest.scriprtd",,"nse_fo|"&amp;$A$77&amp;""&amp;$G$1&amp;""&amp;L88&amp;"CE","Ask Rate")</f>
        <v>10.75</v>
      </c>
      <c r="F88" s="63">
        <f>RTD("nest.scriprtd",,"nse_fo|"&amp;$A$77&amp;""&amp;$G$1&amp;""&amp;L88&amp;"CE","Ask Qty")</f>
        <v>2000</v>
      </c>
      <c r="G88" s="84">
        <f>RTD("nest.scriprtd",,"nse_fo|"&amp;$A$77&amp;""&amp;$G$1&amp;""&amp;L88&amp;"CE","LTP")</f>
        <v>10.6</v>
      </c>
      <c r="H88" s="63">
        <f>RTD("nest.scriprtd",,"nse_fo|"&amp;$A$77&amp;""&amp;$G$1&amp;""&amp;L88&amp;"CE","ATP")</f>
        <v>12.53</v>
      </c>
      <c r="I88" s="63">
        <f>RTD("nest.scriprtd",,"nse_fo|"&amp;$A$77&amp;""&amp;$G$1&amp;""&amp;L88&amp;"CE","Volume Traded Today")</f>
        <v>641000</v>
      </c>
      <c r="J88" s="63">
        <f>RTD("nest.scriprtd",,"nse_fo|"&amp;$A$77&amp;""&amp;$G$1&amp;""&amp;L88&amp;"CE","% Change")</f>
        <v>-12.76</v>
      </c>
      <c r="K88" s="63">
        <f>RTD("nest.scriprtd",,"nse_fo|"&amp;$A$77&amp;""&amp;$G$1&amp;""&amp;L88&amp;"CE","Net Change")</f>
        <v>-1.55</v>
      </c>
      <c r="L88" s="63">
        <f t="shared" si="40"/>
        <v>620</v>
      </c>
      <c r="M88" s="63" t="str">
        <f>RTD("nest.scriprtd",,"nse_fo|"&amp;$A$77&amp;""&amp;$G$1&amp;""&amp;L88&amp;"CE","Option Type")</f>
        <v>CE</v>
      </c>
      <c r="N88" s="58">
        <f t="shared" si="41"/>
        <v>10.6</v>
      </c>
      <c r="Q88" s="58">
        <f t="shared" si="42"/>
        <v>0</v>
      </c>
      <c r="R88" s="58">
        <f t="shared" si="43"/>
        <v>0</v>
      </c>
      <c r="Z88" s="58">
        <f t="shared" si="44"/>
        <v>0</v>
      </c>
    </row>
    <row r="89" spans="1:27" ht="15" x14ac:dyDescent="0.25">
      <c r="A89" s="63" t="str">
        <f>RTD("nest.scriprtd",,"nse_fo|"&amp;$A$77&amp;""&amp;$G$1&amp;""&amp;L89&amp;"CE","Symbol")</f>
        <v>BSOFT</v>
      </c>
      <c r="B89" s="63" t="str">
        <f>RTD("nest.scriprtd",,"nse_fo|"&amp;$A$77&amp;""&amp;$G$1&amp;""&amp;L89&amp;"CE","Series/Expiry")</f>
        <v>26Dec2024</v>
      </c>
      <c r="C89" s="63">
        <f>RTD("nest.scriprtd",,"nse_fo|"&amp;$A$77&amp;""&amp;$G$1&amp;""&amp;L89&amp;"CE","Bid Qty")</f>
        <v>1000</v>
      </c>
      <c r="D89" s="63">
        <f>RTD("nest.scriprtd",,"nse_fo|"&amp;$A$77&amp;""&amp;$G$1&amp;""&amp;L89&amp;"CE","Bid Rate")</f>
        <v>7.3</v>
      </c>
      <c r="E89" s="63">
        <f>RTD("nest.scriprtd",,"nse_fo|"&amp;$A$77&amp;""&amp;$G$1&amp;""&amp;L89&amp;"CE","Ask Rate")</f>
        <v>7.45</v>
      </c>
      <c r="F89" s="63">
        <f>RTD("nest.scriprtd",,"nse_fo|"&amp;$A$77&amp;""&amp;$G$1&amp;""&amp;L89&amp;"CE","Ask Qty")</f>
        <v>2000</v>
      </c>
      <c r="G89" s="84">
        <f>RTD("nest.scriprtd",,"nse_fo|"&amp;$A$77&amp;""&amp;$G$1&amp;""&amp;L89&amp;"CE","LTP")</f>
        <v>7.3</v>
      </c>
      <c r="H89" s="63">
        <f>RTD("nest.scriprtd",,"nse_fo|"&amp;$A$77&amp;""&amp;$G$1&amp;""&amp;L89&amp;"CE","ATP")</f>
        <v>8.26</v>
      </c>
      <c r="I89" s="63">
        <f>RTD("nest.scriprtd",,"nse_fo|"&amp;$A$77&amp;""&amp;$G$1&amp;""&amp;L89&amp;"CE","Volume Traded Today")</f>
        <v>537000</v>
      </c>
      <c r="J89" s="63">
        <f>RTD("nest.scriprtd",,"nse_fo|"&amp;$A$77&amp;""&amp;$G$1&amp;""&amp;L89&amp;"CE","% Change")</f>
        <v>-16.57</v>
      </c>
      <c r="K89" s="63">
        <f>RTD("nest.scriprtd",,"nse_fo|"&amp;$A$77&amp;""&amp;$G$1&amp;""&amp;L89&amp;"CE","Net Change")</f>
        <v>-1.45</v>
      </c>
      <c r="L89" s="63">
        <f t="shared" si="40"/>
        <v>630</v>
      </c>
      <c r="M89" s="63" t="str">
        <f>RTD("nest.scriprtd",,"nse_fo|"&amp;$A$77&amp;""&amp;$G$1&amp;""&amp;L89&amp;"CE","Option Type")</f>
        <v>CE</v>
      </c>
      <c r="N89" s="58">
        <f t="shared" si="41"/>
        <v>7.3</v>
      </c>
      <c r="Q89" s="58">
        <f t="shared" si="42"/>
        <v>0</v>
      </c>
      <c r="R89" s="58">
        <f t="shared" si="43"/>
        <v>0</v>
      </c>
      <c r="Z89" s="58">
        <f t="shared" si="44"/>
        <v>0</v>
      </c>
    </row>
    <row r="90" spans="1:27" ht="15" x14ac:dyDescent="0.25">
      <c r="A90" s="63" t="str">
        <f>RTD("nest.scriprtd",,"nse_fo|"&amp;$A$77&amp;""&amp;$G$1&amp;""&amp;L90&amp;"CE","Symbol")</f>
        <v>BSOFT</v>
      </c>
      <c r="B90" s="63" t="str">
        <f>RTD("nest.scriprtd",,"nse_fo|"&amp;$A$77&amp;""&amp;$G$1&amp;""&amp;L90&amp;"CE","Series/Expiry")</f>
        <v>26Dec2024</v>
      </c>
      <c r="C90" s="63">
        <f>RTD("nest.scriprtd",,"nse_fo|"&amp;$A$77&amp;""&amp;$G$1&amp;""&amp;L90&amp;"CE","Bid Qty")</f>
        <v>4000</v>
      </c>
      <c r="D90" s="63">
        <f>RTD("nest.scriprtd",,"nse_fo|"&amp;$A$77&amp;""&amp;$G$1&amp;""&amp;L90&amp;"CE","Bid Rate")</f>
        <v>5.0999999999999996</v>
      </c>
      <c r="E90" s="63">
        <f>RTD("nest.scriprtd",,"nse_fo|"&amp;$A$77&amp;""&amp;$G$1&amp;""&amp;L90&amp;"CE","Ask Rate")</f>
        <v>5.2</v>
      </c>
      <c r="F90" s="63">
        <f>RTD("nest.scriprtd",,"nse_fo|"&amp;$A$77&amp;""&amp;$G$1&amp;""&amp;L90&amp;"CE","Ask Qty")</f>
        <v>4000</v>
      </c>
      <c r="G90" s="84">
        <f>RTD("nest.scriprtd",,"nse_fo|"&amp;$A$77&amp;""&amp;$G$1&amp;""&amp;L90&amp;"CE","LTP")</f>
        <v>5.2</v>
      </c>
      <c r="H90" s="63">
        <f>RTD("nest.scriprtd",,"nse_fo|"&amp;$A$77&amp;""&amp;$G$1&amp;""&amp;L90&amp;"CE","ATP")</f>
        <v>6.31</v>
      </c>
      <c r="I90" s="63">
        <f>RTD("nest.scriprtd",,"nse_fo|"&amp;$A$77&amp;""&amp;$G$1&amp;""&amp;L90&amp;"CE","Volume Traded Today")</f>
        <v>342000</v>
      </c>
      <c r="J90" s="63">
        <f>RTD("nest.scriprtd",,"nse_fo|"&amp;$A$77&amp;""&amp;$G$1&amp;""&amp;L90&amp;"CE","% Change")</f>
        <v>-15.45</v>
      </c>
      <c r="K90" s="63">
        <f>RTD("nest.scriprtd",,"nse_fo|"&amp;$A$77&amp;""&amp;$G$1&amp;""&amp;L90&amp;"CE","Net Change")</f>
        <v>-0.95</v>
      </c>
      <c r="L90" s="63">
        <f t="shared" si="40"/>
        <v>640</v>
      </c>
      <c r="M90" s="63" t="str">
        <f>RTD("nest.scriprtd",,"nse_fo|"&amp;$A$77&amp;""&amp;$G$1&amp;""&amp;L90&amp;"CE","Option Type")</f>
        <v>CE</v>
      </c>
      <c r="N90" s="58">
        <f t="shared" si="39"/>
        <v>5.2</v>
      </c>
      <c r="Q90" s="58">
        <f t="shared" si="36"/>
        <v>0</v>
      </c>
      <c r="R90" s="58">
        <f t="shared" si="37"/>
        <v>0</v>
      </c>
      <c r="Z90" s="58">
        <f t="shared" si="38"/>
        <v>0</v>
      </c>
    </row>
    <row r="91" spans="1:27" ht="15" x14ac:dyDescent="0.25">
      <c r="A91" s="63" t="str">
        <f>RTD("nest.scriprtd",,"nse_fo|"&amp;$A$77&amp;""&amp;$G$1&amp;""&amp;L91&amp;"CE","Symbol")</f>
        <v>BSOFT</v>
      </c>
      <c r="B91" s="63" t="str">
        <f>RTD("nest.scriprtd",,"nse_fo|"&amp;$A$77&amp;""&amp;$G$1&amp;""&amp;L91&amp;"PE","Series/Expiry")</f>
        <v>26Dec2024</v>
      </c>
      <c r="C91" s="63">
        <f>RTD("nest.scriprtd",,"nse_fo|"&amp;$A$77&amp;""&amp;$G$1&amp;""&amp;L91&amp;"PE","Bid Qty")</f>
        <v>1000</v>
      </c>
      <c r="D91" s="63">
        <f>RTD("nest.scriprtd",,"nse_fo|"&amp;$A$77&amp;""&amp;$G$1&amp;""&amp;L91&amp;"PE","Bid Rate")</f>
        <v>0.35</v>
      </c>
      <c r="E91" s="63">
        <f>RTD("nest.scriprtd",,"nse_fo|"&amp;$A$77&amp;""&amp;$G$1&amp;""&amp;L91&amp;"PE","Ask Rate")</f>
        <v>0.55000000000000004</v>
      </c>
      <c r="F91" s="63">
        <f>RTD("nest.scriprtd",,"nse_fo|"&amp;$A$77&amp;""&amp;$G$1&amp;""&amp;L91&amp;"PE","Ask Qty")</f>
        <v>2000</v>
      </c>
      <c r="G91" s="84">
        <f>RTD("nest.scriprtd",,"nse_fo|"&amp;$A$77&amp;""&amp;$G$1&amp;""&amp;L91&amp;"PE","LTP")</f>
        <v>0.3</v>
      </c>
      <c r="H91" s="63">
        <f>RTD("nest.scriprtd",,"nse_fo|"&amp;$A$77&amp;""&amp;$G$1&amp;""&amp;L91&amp;"PE","ATP")</f>
        <v>0.5</v>
      </c>
      <c r="I91" s="63">
        <f>RTD("nest.scriprtd",,"nse_fo|"&amp;$A$77&amp;""&amp;$G$1&amp;""&amp;L91&amp;"PE","Volume Traded Today")</f>
        <v>20000</v>
      </c>
      <c r="J91" s="63">
        <f>RTD("nest.scriprtd",,"nse_fo|"&amp;$A$77&amp;""&amp;$G$1&amp;""&amp;L91&amp;"PE","% Change")</f>
        <v>-53.85</v>
      </c>
      <c r="K91" s="63">
        <f>RTD("nest.scriprtd",,"nse_fo|"&amp;$A$77&amp;""&amp;$G$1&amp;""&amp;L91&amp;"PE","Net Change")</f>
        <v>-0.35</v>
      </c>
      <c r="L91" s="63">
        <v>520</v>
      </c>
      <c r="M91" s="82" t="str">
        <f>RTD("nest.scriprtd",,"nse_fo|"&amp;$A$77&amp;""&amp;$G$1&amp;""&amp;L91&amp;"PE","Option Type")</f>
        <v>PE</v>
      </c>
      <c r="N91" s="58">
        <f t="shared" si="39"/>
        <v>0.3</v>
      </c>
      <c r="Q91" s="58">
        <f t="shared" si="36"/>
        <v>0</v>
      </c>
      <c r="R91" s="58">
        <f t="shared" si="37"/>
        <v>0</v>
      </c>
      <c r="Z91" s="58">
        <f t="shared" si="38"/>
        <v>0</v>
      </c>
    </row>
    <row r="92" spans="1:27" ht="15" x14ac:dyDescent="0.25">
      <c r="A92" s="63" t="str">
        <f>RTD("nest.scriprtd",,"nse_fo|"&amp;$A$77&amp;""&amp;$G$1&amp;""&amp;L92&amp;"CE","Symbol")</f>
        <v>BSOFT</v>
      </c>
      <c r="B92" s="63" t="str">
        <f>RTD("nest.scriprtd",,"nse_fo|"&amp;$A$77&amp;""&amp;$G$1&amp;""&amp;L92&amp;"PE","Series/Expiry")</f>
        <v>26Dec2024</v>
      </c>
      <c r="C92" s="63">
        <f>RTD("nest.scriprtd",,"nse_fo|"&amp;$A$77&amp;""&amp;$G$1&amp;""&amp;L92&amp;"PE","Bid Qty")</f>
        <v>9000</v>
      </c>
      <c r="D92" s="63">
        <f>RTD("nest.scriprtd",,"nse_fo|"&amp;$A$77&amp;""&amp;$G$1&amp;""&amp;L92&amp;"PE","Bid Rate")</f>
        <v>0.6</v>
      </c>
      <c r="E92" s="63">
        <f>RTD("nest.scriprtd",,"nse_fo|"&amp;$A$77&amp;""&amp;$G$1&amp;""&amp;L92&amp;"PE","Ask Rate")</f>
        <v>0.75</v>
      </c>
      <c r="F92" s="63">
        <f>RTD("nest.scriprtd",,"nse_fo|"&amp;$A$77&amp;""&amp;$G$1&amp;""&amp;L92&amp;"PE","Ask Qty")</f>
        <v>2000</v>
      </c>
      <c r="G92" s="84">
        <f>RTD("nest.scriprtd",,"nse_fo|"&amp;$A$77&amp;""&amp;$G$1&amp;""&amp;L92&amp;"PE","LTP")</f>
        <v>0.65</v>
      </c>
      <c r="H92" s="63">
        <f>RTD("nest.scriprtd",,"nse_fo|"&amp;$A$77&amp;""&amp;$G$1&amp;""&amp;L92&amp;"PE","ATP")</f>
        <v>0.73</v>
      </c>
      <c r="I92" s="63">
        <f>RTD("nest.scriprtd",,"nse_fo|"&amp;$A$77&amp;""&amp;$G$1&amp;""&amp;L92&amp;"PE","Volume Traded Today")</f>
        <v>24000</v>
      </c>
      <c r="J92" s="63">
        <f>RTD("nest.scriprtd",,"nse_fo|"&amp;$A$77&amp;""&amp;$G$1&amp;""&amp;L92&amp;"PE","% Change")</f>
        <v>-27.78</v>
      </c>
      <c r="K92" s="63">
        <f>RTD("nest.scriprtd",,"nse_fo|"&amp;$A$77&amp;""&amp;$G$1&amp;""&amp;L92&amp;"PE","Net Change")</f>
        <v>-0.25</v>
      </c>
      <c r="L92" s="63">
        <f t="shared" si="40"/>
        <v>530</v>
      </c>
      <c r="M92" s="63" t="str">
        <f>RTD("nest.scriprtd",,"nse_fo|"&amp;$A$77&amp;""&amp;$G$1&amp;""&amp;L92&amp;"PE","Option Type")</f>
        <v>PE</v>
      </c>
      <c r="N92" s="58">
        <f t="shared" si="39"/>
        <v>0.65</v>
      </c>
      <c r="Q92" s="58">
        <f t="shared" si="36"/>
        <v>0</v>
      </c>
      <c r="R92" s="58">
        <f t="shared" si="37"/>
        <v>0</v>
      </c>
      <c r="Z92" s="58">
        <f t="shared" si="38"/>
        <v>0</v>
      </c>
    </row>
    <row r="93" spans="1:27" ht="15" x14ac:dyDescent="0.25">
      <c r="A93" s="63" t="str">
        <f>RTD("nest.scriprtd",,"nse_fo|"&amp;$A$77&amp;""&amp;$G$1&amp;""&amp;L93&amp;"CE","Symbol")</f>
        <v>BSOFT</v>
      </c>
      <c r="B93" s="63" t="str">
        <f>RTD("nest.scriprtd",,"nse_fo|"&amp;$A$77&amp;""&amp;$G$1&amp;""&amp;L93&amp;"PE","Series/Expiry")</f>
        <v>26Dec2024</v>
      </c>
      <c r="C93" s="63">
        <f>RTD("nest.scriprtd",,"nse_fo|"&amp;$A$77&amp;""&amp;$G$1&amp;""&amp;L93&amp;"PE","Bid Qty")</f>
        <v>18000</v>
      </c>
      <c r="D93" s="63">
        <f>RTD("nest.scriprtd",,"nse_fo|"&amp;$A$77&amp;""&amp;$G$1&amp;""&amp;L93&amp;"PE","Bid Rate")</f>
        <v>0.95</v>
      </c>
      <c r="E93" s="63">
        <f>RTD("nest.scriprtd",,"nse_fo|"&amp;$A$77&amp;""&amp;$G$1&amp;""&amp;L93&amp;"PE","Ask Rate")</f>
        <v>1.05</v>
      </c>
      <c r="F93" s="63">
        <f>RTD("nest.scriprtd",,"nse_fo|"&amp;$A$77&amp;""&amp;$G$1&amp;""&amp;L93&amp;"PE","Ask Qty")</f>
        <v>10000</v>
      </c>
      <c r="G93" s="84">
        <f>RTD("nest.scriprtd",,"nse_fo|"&amp;$A$77&amp;""&amp;$G$1&amp;""&amp;L93&amp;"PE","LTP")</f>
        <v>1</v>
      </c>
      <c r="H93" s="63">
        <f>RTD("nest.scriprtd",,"nse_fo|"&amp;$A$77&amp;""&amp;$G$1&amp;""&amp;L93&amp;"PE","ATP")</f>
        <v>1.03</v>
      </c>
      <c r="I93" s="63">
        <f>RTD("nest.scriprtd",,"nse_fo|"&amp;$A$77&amp;""&amp;$G$1&amp;""&amp;L93&amp;"PE","Volume Traded Today")</f>
        <v>105000</v>
      </c>
      <c r="J93" s="63">
        <f>RTD("nest.scriprtd",,"nse_fo|"&amp;$A$77&amp;""&amp;$G$1&amp;""&amp;L93&amp;"PE","% Change")</f>
        <v>-20</v>
      </c>
      <c r="K93" s="63">
        <f>RTD("nest.scriprtd",,"nse_fo|"&amp;$A$77&amp;""&amp;$G$1&amp;""&amp;L93&amp;"PE","Net Change")</f>
        <v>-0.25</v>
      </c>
      <c r="L93" s="63">
        <f t="shared" si="40"/>
        <v>540</v>
      </c>
      <c r="M93" s="63" t="str">
        <f>RTD("nest.scriprtd",,"nse_fo|"&amp;$A$77&amp;""&amp;$G$1&amp;""&amp;L93&amp;"PE","Option Type")</f>
        <v>PE</v>
      </c>
      <c r="N93" s="58">
        <f t="shared" si="39"/>
        <v>1</v>
      </c>
      <c r="Q93" s="58">
        <f t="shared" si="36"/>
        <v>0</v>
      </c>
      <c r="R93" s="58">
        <f t="shared" si="37"/>
        <v>0</v>
      </c>
      <c r="Z93" s="58">
        <f t="shared" si="38"/>
        <v>0</v>
      </c>
    </row>
    <row r="94" spans="1:27" ht="15" x14ac:dyDescent="0.25">
      <c r="A94" s="63" t="str">
        <f>RTD("nest.scriprtd",,"nse_fo|"&amp;$A$77&amp;""&amp;$G$1&amp;""&amp;L94&amp;"CE","Symbol")</f>
        <v>BSOFT</v>
      </c>
      <c r="B94" s="63" t="str">
        <f>RTD("nest.scriprtd",,"nse_fo|"&amp;$A$77&amp;""&amp;$G$1&amp;""&amp;L94&amp;"PE","Series/Expiry")</f>
        <v>26Dec2024</v>
      </c>
      <c r="C94" s="63">
        <f>RTD("nest.scriprtd",,"nse_fo|"&amp;$A$77&amp;""&amp;$G$1&amp;""&amp;L94&amp;"PE","Bid Qty")</f>
        <v>17000</v>
      </c>
      <c r="D94" s="63">
        <f>RTD("nest.scriprtd",,"nse_fo|"&amp;$A$77&amp;""&amp;$G$1&amp;""&amp;L94&amp;"PE","Bid Rate")</f>
        <v>1.3</v>
      </c>
      <c r="E94" s="63">
        <f>RTD("nest.scriprtd",,"nse_fo|"&amp;$A$77&amp;""&amp;$G$1&amp;""&amp;L94&amp;"PE","Ask Rate")</f>
        <v>1.4</v>
      </c>
      <c r="F94" s="63">
        <f>RTD("nest.scriprtd",,"nse_fo|"&amp;$A$77&amp;""&amp;$G$1&amp;""&amp;L94&amp;"PE","Ask Qty")</f>
        <v>7000</v>
      </c>
      <c r="G94" s="84">
        <f>RTD("nest.scriprtd",,"nse_fo|"&amp;$A$77&amp;""&amp;$G$1&amp;""&amp;L94&amp;"PE","LTP")</f>
        <v>1.4</v>
      </c>
      <c r="H94" s="63">
        <f>RTD("nest.scriprtd",,"nse_fo|"&amp;$A$77&amp;""&amp;$G$1&amp;""&amp;L94&amp;"PE","ATP")</f>
        <v>1.34</v>
      </c>
      <c r="I94" s="63">
        <f>RTD("nest.scriprtd",,"nse_fo|"&amp;$A$77&amp;""&amp;$G$1&amp;""&amp;L94&amp;"PE","Volume Traded Today")</f>
        <v>201000</v>
      </c>
      <c r="J94" s="63">
        <f>RTD("nest.scriprtd",,"nse_fo|"&amp;$A$77&amp;""&amp;$G$1&amp;""&amp;L94&amp;"PE","% Change")</f>
        <v>-12.5</v>
      </c>
      <c r="K94" s="63">
        <f>RTD("nest.scriprtd",,"nse_fo|"&amp;$A$77&amp;""&amp;$G$1&amp;""&amp;L94&amp;"PE","Net Change")</f>
        <v>-0.2</v>
      </c>
      <c r="L94" s="63">
        <f t="shared" si="40"/>
        <v>550</v>
      </c>
      <c r="M94" s="63" t="str">
        <f>RTD("nest.scriprtd",,"nse_fo|"&amp;$A$77&amp;""&amp;$G$1&amp;""&amp;L94&amp;"PE","Option Type")</f>
        <v>PE</v>
      </c>
      <c r="N94" s="58">
        <f t="shared" si="39"/>
        <v>1.4</v>
      </c>
      <c r="Q94" s="58">
        <f t="shared" si="36"/>
        <v>0</v>
      </c>
      <c r="R94" s="58">
        <f t="shared" si="37"/>
        <v>0</v>
      </c>
      <c r="Z94" s="58">
        <f t="shared" si="38"/>
        <v>0</v>
      </c>
    </row>
    <row r="95" spans="1:27" ht="15" x14ac:dyDescent="0.25">
      <c r="A95" s="63" t="str">
        <f>RTD("nest.scriprtd",,"nse_fo|"&amp;$A$77&amp;""&amp;$G$1&amp;""&amp;L95&amp;"CE","Symbol")</f>
        <v>BSOFT</v>
      </c>
      <c r="B95" s="63" t="str">
        <f>RTD("nest.scriprtd",,"nse_fo|"&amp;$A$77&amp;""&amp;$G$1&amp;""&amp;L95&amp;"PE","Series/Expiry")</f>
        <v>26Dec2024</v>
      </c>
      <c r="C95" s="63">
        <f>RTD("nest.scriprtd",,"nse_fo|"&amp;$A$77&amp;""&amp;$G$1&amp;""&amp;L95&amp;"PE","Bid Qty")</f>
        <v>4000</v>
      </c>
      <c r="D95" s="63">
        <f>RTD("nest.scriprtd",,"nse_fo|"&amp;$A$77&amp;""&amp;$G$1&amp;""&amp;L95&amp;"PE","Bid Rate")</f>
        <v>1.95</v>
      </c>
      <c r="E95" s="63">
        <f>RTD("nest.scriprtd",,"nse_fo|"&amp;$A$77&amp;""&amp;$G$1&amp;""&amp;L95&amp;"PE","Ask Rate")</f>
        <v>2.0499999999999998</v>
      </c>
      <c r="F95" s="63">
        <f>RTD("nest.scriprtd",,"nse_fo|"&amp;$A$77&amp;""&amp;$G$1&amp;""&amp;L95&amp;"PE","Ask Qty")</f>
        <v>12000</v>
      </c>
      <c r="G95" s="84">
        <f>RTD("nest.scriprtd",,"nse_fo|"&amp;$A$77&amp;""&amp;$G$1&amp;""&amp;L95&amp;"PE","LTP")</f>
        <v>2</v>
      </c>
      <c r="H95" s="63">
        <f>RTD("nest.scriprtd",,"nse_fo|"&amp;$A$77&amp;""&amp;$G$1&amp;""&amp;L95&amp;"PE","ATP")</f>
        <v>1.92</v>
      </c>
      <c r="I95" s="63">
        <f>RTD("nest.scriprtd",,"nse_fo|"&amp;$A$77&amp;""&amp;$G$1&amp;""&amp;L95&amp;"PE","Volume Traded Today")</f>
        <v>115000</v>
      </c>
      <c r="J95" s="63">
        <f>RTD("nest.scriprtd",,"nse_fo|"&amp;$A$77&amp;""&amp;$G$1&amp;""&amp;L95&amp;"PE","% Change")</f>
        <v>-13.04</v>
      </c>
      <c r="K95" s="63">
        <f>RTD("nest.scriprtd",,"nse_fo|"&amp;$A$77&amp;""&amp;$G$1&amp;""&amp;L95&amp;"PE","Net Change")</f>
        <v>-0.3</v>
      </c>
      <c r="L95" s="63">
        <f t="shared" si="40"/>
        <v>560</v>
      </c>
      <c r="M95" s="63" t="str">
        <f>RTD("nest.scriprtd",,"nse_fo|"&amp;$A$77&amp;""&amp;$G$1&amp;""&amp;L95&amp;"PE","Option Type")</f>
        <v>PE</v>
      </c>
      <c r="N95" s="58">
        <f t="shared" si="39"/>
        <v>2</v>
      </c>
      <c r="Q95" s="58">
        <f t="shared" si="36"/>
        <v>0</v>
      </c>
      <c r="R95" s="58">
        <f t="shared" si="37"/>
        <v>0</v>
      </c>
      <c r="S95" s="58">
        <f>+SUM(R78:R90)-SUM(R91:R95)</f>
        <v>0</v>
      </c>
      <c r="T95" s="58">
        <f>SUM(R80:R95)-R93</f>
        <v>0</v>
      </c>
      <c r="U95" s="63" t="e">
        <f>+S95/T95</f>
        <v>#DIV/0!</v>
      </c>
      <c r="Z95" s="58">
        <f t="shared" si="38"/>
        <v>0</v>
      </c>
      <c r="AA95" s="58">
        <f>SUM(Z78:Z95)</f>
        <v>0</v>
      </c>
    </row>
    <row r="97" spans="1:26" ht="15" x14ac:dyDescent="0.25">
      <c r="A97" s="58" t="s">
        <v>134</v>
      </c>
      <c r="B97" s="58" t="str">
        <f>$A$97&amp;"-EQ"</f>
        <v>FEDERALBNK-EQ</v>
      </c>
      <c r="C97" s="58" t="s">
        <v>168</v>
      </c>
      <c r="D97" s="63">
        <v>2.5</v>
      </c>
      <c r="E97" s="57">
        <v>5000</v>
      </c>
      <c r="F97" s="63"/>
      <c r="G97" s="85"/>
      <c r="K97" s="63"/>
      <c r="L97" s="63"/>
      <c r="M97" s="63"/>
    </row>
    <row r="98" spans="1:26" ht="15" x14ac:dyDescent="0.25">
      <c r="A98" s="63" t="str">
        <f>RTD("nest.scriprtd",,"nse_fo|"&amp;$A$97&amp;""&amp;$G$1&amp;""&amp;C97&amp;"","Symbol")</f>
        <v>FEDERALBNK</v>
      </c>
      <c r="B98" s="63" t="str">
        <f>RTD("nest.scriprtd",,"nse_fo|"&amp;$A$97&amp;""&amp;$G$1&amp;""&amp;C97&amp;"","Series/Expiry")</f>
        <v>26Dec2024</v>
      </c>
      <c r="C98" s="63">
        <f>RTD("nest.scriprtd",,"nse_fo|"&amp;$A$97&amp;""&amp;$G$1&amp;""&amp;C97&amp;"","Bid Qty")</f>
        <v>10000</v>
      </c>
      <c r="D98" s="63">
        <f>RTD("nest.scriprtd",,"nse_fo|"&amp;$A$97&amp;""&amp;$G$1&amp;""&amp;C97&amp;"","Bid Rate")</f>
        <v>214.2</v>
      </c>
      <c r="E98" s="63">
        <f>RTD("nest.scriprtd",,"nse_fo|"&amp;$A$97&amp;""&amp;$G$1&amp;""&amp;C97&amp;"","Ask Rate")</f>
        <v>214.33</v>
      </c>
      <c r="F98" s="63">
        <f>RTD("nest.scriprtd",,"nse_fo|"&amp;$A$97&amp;""&amp;$G$1&amp;""&amp;C97&amp;"","Ask Qty")</f>
        <v>5000</v>
      </c>
      <c r="G98" s="84">
        <f>RTD("nest.scriprtd",,"nse_fo|"&amp;$A$97&amp;""&amp;$G$1&amp;""&amp;C97&amp;"","LTP")</f>
        <v>214.25</v>
      </c>
      <c r="H98" s="63">
        <f>RTD("nest.scriprtd",,"nse_fo|"&amp;$A$97&amp;""&amp;$G$1&amp;""&amp;C97&amp;"","ATP")</f>
        <v>213.98</v>
      </c>
      <c r="I98" s="63">
        <f>RTD("nest.scriprtd",,"nse_fo|"&amp;$A$97&amp;""&amp;$G$1&amp;""&amp;C97&amp;"","Volume Traded Today")</f>
        <v>11720000</v>
      </c>
      <c r="J98" s="63">
        <f>RTD("nest.scriprtd",,"nse_fo|"&amp;$A$97&amp;""&amp;$G$1&amp;""&amp;C97&amp;"","% Change")</f>
        <v>0.22</v>
      </c>
      <c r="K98" s="63">
        <f>RTD("nest.scriprtd",,"nse_fo|"&amp;$A$97&amp;""&amp;$G$1&amp;""&amp;C97&amp;"","Net Change")</f>
        <v>0.48</v>
      </c>
      <c r="L98" s="63">
        <f>RTD("nest.scriprtd",,"nse_fo|"&amp;$A$97&amp;""&amp;$G$1&amp;""&amp;C97&amp;"","Strike Price")</f>
        <v>0</v>
      </c>
      <c r="M98" s="63"/>
      <c r="N98" s="58">
        <f>MIN($S$98,G98)</f>
        <v>9.5500000000000007</v>
      </c>
      <c r="Q98" s="58">
        <f t="shared" ref="Q98:Q114" si="45">+P98+O98</f>
        <v>0</v>
      </c>
      <c r="R98" s="58">
        <f t="shared" ref="R98:R114" si="46">+Q98*N98</f>
        <v>0</v>
      </c>
      <c r="S98" s="58">
        <f>+$Q$2*T98</f>
        <v>9.5500000000000007</v>
      </c>
      <c r="T98" s="80">
        <f>+FACTOR!G22</f>
        <v>9.5500000000000007</v>
      </c>
      <c r="Z98" s="58">
        <f t="shared" ref="Z98:Z114" si="47">+O98*K98</f>
        <v>0</v>
      </c>
    </row>
    <row r="99" spans="1:26" ht="15" x14ac:dyDescent="0.25">
      <c r="A99" s="63" t="str">
        <f>RTD("nest.scriprtd",,"nse_cm|"&amp;B97&amp;"","Symbol")</f>
        <v>FEDERALBNK</v>
      </c>
      <c r="B99" s="63" t="str">
        <f>RTD("nest.scriprtd",,"nse_cm|"&amp;B97&amp;"","Series/Expiry")</f>
        <v>EQ</v>
      </c>
      <c r="C99" s="63">
        <f>RTD("nest.scriprtd",,"nse_cm|"&amp;B97&amp;"","Bid Qty")</f>
        <v>2</v>
      </c>
      <c r="D99" s="63">
        <f>RTD("nest.scriprtd",,"nse_cm|"&amp;B97&amp;"","Bid Rate")</f>
        <v>214.06</v>
      </c>
      <c r="E99" s="63">
        <f>RTD("nest.scriprtd",,"nse_cm|"&amp;B97&amp;"","Ask Rate")</f>
        <v>214.07</v>
      </c>
      <c r="F99" s="63">
        <f>RTD("nest.scriprtd",,"nse_cm|"&amp;B97&amp;"","Ask Qty")</f>
        <v>1</v>
      </c>
      <c r="G99" s="84">
        <f>RTD("nest.scriprtd",,"nse_cm|"&amp;B97&amp;"","LTP")</f>
        <v>214.06</v>
      </c>
      <c r="H99" s="63">
        <f>RTD("nest.scriprtd",,"nse_cm|"&amp;B97&amp;"","ATP")</f>
        <v>213.76</v>
      </c>
      <c r="I99" s="63">
        <f>RTD("nest.scriprtd",,"nse_cm|"&amp;B97&amp;"","Volume Traded Today")</f>
        <v>3247900</v>
      </c>
      <c r="J99" s="63">
        <f>RTD("nest.scriprtd",,"nse_cm|"&amp;B97&amp;"","% Change")</f>
        <v>0.31</v>
      </c>
      <c r="K99" s="63">
        <f>RTD("nest.scriprtd",,"nse_cm|"&amp;B97&amp;"","Net Change")</f>
        <v>0.66</v>
      </c>
      <c r="L99" s="63">
        <f>RTD("nest.scriprtd",,"nse_cm|"&amp;B97&amp;"","Strike Price")</f>
        <v>0</v>
      </c>
      <c r="M99" s="63"/>
      <c r="N99" s="58">
        <f t="shared" ref="N99:N114" si="48">MIN($S$98,G99)</f>
        <v>9.5500000000000007</v>
      </c>
      <c r="Q99" s="58">
        <f t="shared" si="45"/>
        <v>0</v>
      </c>
      <c r="R99" s="58">
        <f t="shared" si="46"/>
        <v>0</v>
      </c>
      <c r="Z99" s="58">
        <f t="shared" si="47"/>
        <v>0</v>
      </c>
    </row>
    <row r="100" spans="1:26" ht="15" x14ac:dyDescent="0.25">
      <c r="A100" s="63" t="str">
        <f>RTD("nest.scriprtd",,"nse_fo|"&amp;$A$97&amp;""&amp;$G$1&amp;""&amp;L100&amp;"CE","Symbol")</f>
        <v>FEDERALBNK</v>
      </c>
      <c r="B100" s="63" t="str">
        <f>RTD("nest.scriprtd",,"nse_fo|"&amp;$A$97&amp;""&amp;$G$1&amp;""&amp;L100&amp;"CE","Series/Expiry")</f>
        <v>26Dec2024</v>
      </c>
      <c r="C100" s="63">
        <f>RTD("nest.scriprtd",,"nse_fo|"&amp;$A$97&amp;""&amp;$G$1&amp;""&amp;L100&amp;"CE","Bid Qty")</f>
        <v>5000</v>
      </c>
      <c r="D100" s="63">
        <f>RTD("nest.scriprtd",,"nse_fo|"&amp;$A$97&amp;""&amp;$G$1&amp;""&amp;L100&amp;"CE","Bid Rate")</f>
        <v>15.05</v>
      </c>
      <c r="E100" s="63">
        <f>RTD("nest.scriprtd",,"nse_fo|"&amp;$A$97&amp;""&amp;$G$1&amp;""&amp;L100&amp;"CE","Ask Rate")</f>
        <v>15.25</v>
      </c>
      <c r="F100" s="63">
        <f>RTD("nest.scriprtd",,"nse_fo|"&amp;$A$97&amp;""&amp;$G$1&amp;""&amp;L100&amp;"CE","Ask Qty")</f>
        <v>10000</v>
      </c>
      <c r="G100" s="84">
        <f>RTD("nest.scriprtd",,"nse_fo|"&amp;$A$97&amp;""&amp;$G$1&amp;""&amp;L100&amp;"CE","LTP")</f>
        <v>14.65</v>
      </c>
      <c r="H100" s="63">
        <f>RTD("nest.scriprtd",,"nse_fo|"&amp;$A$97&amp;""&amp;$G$1&amp;""&amp;L100&amp;"CE","ATP")</f>
        <v>14.94</v>
      </c>
      <c r="I100" s="63">
        <f>RTD("nest.scriprtd",,"nse_fo|"&amp;$A$97&amp;""&amp;$G$1&amp;""&amp;L100&amp;"CE","Volume Traded Today")</f>
        <v>180000</v>
      </c>
      <c r="J100" s="63">
        <f>RTD("nest.scriprtd",,"nse_fo|"&amp;$A$97&amp;""&amp;$G$1&amp;""&amp;L100&amp;"CE","% Change")</f>
        <v>-0.68</v>
      </c>
      <c r="K100" s="63">
        <f>RTD("nest.scriprtd",,"nse_fo|"&amp;$A$97&amp;""&amp;$G$1&amp;""&amp;L100&amp;"CE","Net Change")</f>
        <v>-0.1</v>
      </c>
      <c r="L100" s="63">
        <v>200</v>
      </c>
      <c r="M100" s="82" t="str">
        <f>RTD("nest.scriprtd",,"nse_fo|"&amp;$A$97&amp;""&amp;$G$1&amp;""&amp;L100&amp;"CE","Option Type")</f>
        <v>CE</v>
      </c>
      <c r="N100" s="58">
        <f t="shared" si="48"/>
        <v>9.5500000000000007</v>
      </c>
      <c r="Q100" s="58">
        <f t="shared" si="45"/>
        <v>0</v>
      </c>
      <c r="R100" s="58">
        <f t="shared" si="46"/>
        <v>0</v>
      </c>
      <c r="Z100" s="58">
        <f t="shared" si="47"/>
        <v>0</v>
      </c>
    </row>
    <row r="101" spans="1:26" ht="15" x14ac:dyDescent="0.25">
      <c r="A101" s="63" t="str">
        <f>RTD("nest.scriprtd",,"nse_fo|"&amp;$A$97&amp;""&amp;$G$1&amp;""&amp;L101&amp;"CE","Symbol")</f>
        <v>FEDERALBNK</v>
      </c>
      <c r="B101" s="63" t="str">
        <f>RTD("nest.scriprtd",,"nse_fo|"&amp;$A$97&amp;""&amp;$G$1&amp;""&amp;L101&amp;"CE","Series/Expiry")</f>
        <v>26Dec2024</v>
      </c>
      <c r="C101" s="63">
        <f>RTD("nest.scriprtd",,"nse_fo|"&amp;$A$97&amp;""&amp;$G$1&amp;""&amp;L101&amp;"CE","Bid Qty")</f>
        <v>5000</v>
      </c>
      <c r="D101" s="63">
        <f>RTD("nest.scriprtd",,"nse_fo|"&amp;$A$97&amp;""&amp;$G$1&amp;""&amp;L101&amp;"CE","Bid Rate")</f>
        <v>12.85</v>
      </c>
      <c r="E101" s="63">
        <f>RTD("nest.scriprtd",,"nse_fo|"&amp;$A$97&amp;""&amp;$G$1&amp;""&amp;L101&amp;"CE","Ask Rate")</f>
        <v>13.05</v>
      </c>
      <c r="F101" s="63">
        <f>RTD("nest.scriprtd",,"nse_fo|"&amp;$A$97&amp;""&amp;$G$1&amp;""&amp;L101&amp;"CE","Ask Qty")</f>
        <v>10000</v>
      </c>
      <c r="G101" s="84">
        <f>RTD("nest.scriprtd",,"nse_fo|"&amp;$A$97&amp;""&amp;$G$1&amp;""&amp;L101&amp;"CE","LTP")</f>
        <v>13.1</v>
      </c>
      <c r="H101" s="63">
        <f>RTD("nest.scriprtd",,"nse_fo|"&amp;$A$97&amp;""&amp;$G$1&amp;""&amp;L101&amp;"CE","ATP")</f>
        <v>12.96</v>
      </c>
      <c r="I101" s="63">
        <f>RTD("nest.scriprtd",,"nse_fo|"&amp;$A$97&amp;""&amp;$G$1&amp;""&amp;L101&amp;"CE","Volume Traded Today")</f>
        <v>35000</v>
      </c>
      <c r="J101" s="63">
        <f>RTD("nest.scriprtd",,"nse_fo|"&amp;$A$97&amp;""&amp;$G$1&amp;""&amp;L101&amp;"CE","% Change")</f>
        <v>6.07</v>
      </c>
      <c r="K101" s="63">
        <f>RTD("nest.scriprtd",,"nse_fo|"&amp;$A$97&amp;""&amp;$G$1&amp;""&amp;L101&amp;"CE","Net Change")</f>
        <v>0.75</v>
      </c>
      <c r="L101" s="63">
        <f>+L100+$D$97</f>
        <v>202.5</v>
      </c>
      <c r="M101" s="63" t="str">
        <f>RTD("nest.scriprtd",,"nse_fo|"&amp;$A$97&amp;""&amp;$G$1&amp;""&amp;L101&amp;"CE","Option Type")</f>
        <v>CE</v>
      </c>
      <c r="N101" s="58">
        <f t="shared" si="48"/>
        <v>9.5500000000000007</v>
      </c>
      <c r="Q101" s="58">
        <f t="shared" si="45"/>
        <v>0</v>
      </c>
      <c r="R101" s="58">
        <f t="shared" si="46"/>
        <v>0</v>
      </c>
      <c r="Z101" s="58">
        <f t="shared" si="47"/>
        <v>0</v>
      </c>
    </row>
    <row r="102" spans="1:26" ht="15" x14ac:dyDescent="0.25">
      <c r="A102" s="63" t="str">
        <f>RTD("nest.scriprtd",,"nse_fo|"&amp;$A$97&amp;""&amp;$G$1&amp;""&amp;L102&amp;"CE","Symbol")</f>
        <v>FEDERALBNK</v>
      </c>
      <c r="B102" s="63" t="str">
        <f>RTD("nest.scriprtd",,"nse_fo|"&amp;$A$97&amp;""&amp;$G$1&amp;""&amp;L102&amp;"CE","Series/Expiry")</f>
        <v>26Dec2024</v>
      </c>
      <c r="C102" s="63">
        <f>RTD("nest.scriprtd",,"nse_fo|"&amp;$A$97&amp;""&amp;$G$1&amp;""&amp;L102&amp;"CE","Bid Qty")</f>
        <v>10000</v>
      </c>
      <c r="D102" s="63">
        <f>RTD("nest.scriprtd",,"nse_fo|"&amp;$A$97&amp;""&amp;$G$1&amp;""&amp;L102&amp;"CE","Bid Rate")</f>
        <v>10.8</v>
      </c>
      <c r="E102" s="63">
        <f>RTD("nest.scriprtd",,"nse_fo|"&amp;$A$97&amp;""&amp;$G$1&amp;""&amp;L102&amp;"CE","Ask Rate")</f>
        <v>10.95</v>
      </c>
      <c r="F102" s="63">
        <f>RTD("nest.scriprtd",,"nse_fo|"&amp;$A$97&amp;""&amp;$G$1&amp;""&amp;L102&amp;"CE","Ask Qty")</f>
        <v>5000</v>
      </c>
      <c r="G102" s="84">
        <f>RTD("nest.scriprtd",,"nse_fo|"&amp;$A$97&amp;""&amp;$G$1&amp;""&amp;L102&amp;"CE","LTP")</f>
        <v>10.65</v>
      </c>
      <c r="H102" s="63">
        <f>RTD("nest.scriprtd",,"nse_fo|"&amp;$A$97&amp;""&amp;$G$1&amp;""&amp;L102&amp;"CE","ATP")</f>
        <v>11.04</v>
      </c>
      <c r="I102" s="63">
        <f>RTD("nest.scriprtd",,"nse_fo|"&amp;$A$97&amp;""&amp;$G$1&amp;""&amp;L102&amp;"CE","Volume Traded Today")</f>
        <v>110000</v>
      </c>
      <c r="J102" s="63">
        <f>RTD("nest.scriprtd",,"nse_fo|"&amp;$A$97&amp;""&amp;$G$1&amp;""&amp;L102&amp;"CE","% Change")</f>
        <v>-0.47</v>
      </c>
      <c r="K102" s="63">
        <f>RTD("nest.scriprtd",,"nse_fo|"&amp;$A$97&amp;""&amp;$G$1&amp;""&amp;L102&amp;"CE","Net Change")</f>
        <v>-0.05</v>
      </c>
      <c r="L102" s="63">
        <f t="shared" ref="L102:L114" si="49">+L101+$D$97</f>
        <v>205</v>
      </c>
      <c r="M102" s="63" t="str">
        <f>RTD("nest.scriprtd",,"nse_fo|"&amp;$A$97&amp;""&amp;$G$1&amp;""&amp;L102&amp;"CE","Option Type")</f>
        <v>CE</v>
      </c>
      <c r="N102" s="58">
        <f t="shared" si="48"/>
        <v>9.5500000000000007</v>
      </c>
      <c r="Q102" s="58">
        <f t="shared" si="45"/>
        <v>0</v>
      </c>
      <c r="R102" s="58">
        <f t="shared" si="46"/>
        <v>0</v>
      </c>
      <c r="Z102" s="58">
        <f t="shared" si="47"/>
        <v>0</v>
      </c>
    </row>
    <row r="103" spans="1:26" ht="15" x14ac:dyDescent="0.25">
      <c r="A103" s="63" t="str">
        <f>RTD("nest.scriprtd",,"nse_fo|"&amp;$A$97&amp;""&amp;$G$1&amp;""&amp;L103&amp;"CE","Symbol")</f>
        <v>FEDERALBNK</v>
      </c>
      <c r="B103" s="63" t="str">
        <f>RTD("nest.scriprtd",,"nse_fo|"&amp;$A$97&amp;""&amp;$G$1&amp;""&amp;L103&amp;"CE","Series/Expiry")</f>
        <v>26Dec2024</v>
      </c>
      <c r="C103" s="63">
        <f>RTD("nest.scriprtd",,"nse_fo|"&amp;$A$97&amp;""&amp;$G$1&amp;""&amp;L103&amp;"CE","Bid Qty")</f>
        <v>10000</v>
      </c>
      <c r="D103" s="63">
        <f>RTD("nest.scriprtd",,"nse_fo|"&amp;$A$97&amp;""&amp;$G$1&amp;""&amp;L103&amp;"CE","Bid Rate")</f>
        <v>8.85</v>
      </c>
      <c r="E103" s="63">
        <f>RTD("nest.scriprtd",,"nse_fo|"&amp;$A$97&amp;""&amp;$G$1&amp;""&amp;L103&amp;"CE","Ask Rate")</f>
        <v>9</v>
      </c>
      <c r="F103" s="63">
        <f>RTD("nest.scriprtd",,"nse_fo|"&amp;$A$97&amp;""&amp;$G$1&amp;""&amp;L103&amp;"CE","Ask Qty")</f>
        <v>5000</v>
      </c>
      <c r="G103" s="84">
        <f>RTD("nest.scriprtd",,"nse_fo|"&amp;$A$97&amp;""&amp;$G$1&amp;""&amp;L103&amp;"CE","LTP")</f>
        <v>8.5500000000000007</v>
      </c>
      <c r="H103" s="63">
        <f>RTD("nest.scriprtd",,"nse_fo|"&amp;$A$97&amp;""&amp;$G$1&amp;""&amp;L103&amp;"CE","ATP")</f>
        <v>8.7799999999999994</v>
      </c>
      <c r="I103" s="63">
        <f>RTD("nest.scriprtd",,"nse_fo|"&amp;$A$97&amp;""&amp;$G$1&amp;""&amp;L103&amp;"CE","Volume Traded Today")</f>
        <v>155000</v>
      </c>
      <c r="J103" s="63">
        <f>RTD("nest.scriprtd",,"nse_fo|"&amp;$A$97&amp;""&amp;$G$1&amp;""&amp;L103&amp;"CE","% Change")</f>
        <v>-2.84</v>
      </c>
      <c r="K103" s="63">
        <f>RTD("nest.scriprtd",,"nse_fo|"&amp;$A$97&amp;""&amp;$G$1&amp;""&amp;L103&amp;"CE","Net Change")</f>
        <v>-0.25</v>
      </c>
      <c r="L103" s="63">
        <f t="shared" si="49"/>
        <v>207.5</v>
      </c>
      <c r="M103" s="63" t="str">
        <f>RTD("nest.scriprtd",,"nse_fo|"&amp;$A$97&amp;""&amp;$G$1&amp;""&amp;L103&amp;"CE","Option Type")</f>
        <v>CE</v>
      </c>
      <c r="N103" s="58">
        <f t="shared" si="48"/>
        <v>8.5500000000000007</v>
      </c>
      <c r="Q103" s="58">
        <f t="shared" si="45"/>
        <v>0</v>
      </c>
      <c r="R103" s="58">
        <f t="shared" si="46"/>
        <v>0</v>
      </c>
      <c r="Z103" s="58">
        <f t="shared" si="47"/>
        <v>0</v>
      </c>
    </row>
    <row r="104" spans="1:26" ht="15" x14ac:dyDescent="0.25">
      <c r="A104" s="63" t="str">
        <f>RTD("nest.scriprtd",,"nse_fo|"&amp;$A$97&amp;""&amp;$G$1&amp;""&amp;L104&amp;"CE","Symbol")</f>
        <v>FEDERALBNK</v>
      </c>
      <c r="B104" s="63" t="str">
        <f>RTD("nest.scriprtd",,"nse_fo|"&amp;$A$97&amp;""&amp;$G$1&amp;""&amp;L104&amp;"CE","Series/Expiry")</f>
        <v>26Dec2024</v>
      </c>
      <c r="C104" s="63">
        <f>RTD("nest.scriprtd",,"nse_fo|"&amp;$A$97&amp;""&amp;$G$1&amp;""&amp;L104&amp;"CE","Bid Qty")</f>
        <v>15000</v>
      </c>
      <c r="D104" s="63">
        <f>RTD("nest.scriprtd",,"nse_fo|"&amp;$A$97&amp;""&amp;$G$1&amp;""&amp;L104&amp;"CE","Bid Rate")</f>
        <v>7.2</v>
      </c>
      <c r="E104" s="63">
        <f>RTD("nest.scriprtd",,"nse_fo|"&amp;$A$97&amp;""&amp;$G$1&amp;""&amp;L104&amp;"CE","Ask Rate")</f>
        <v>7.3</v>
      </c>
      <c r="F104" s="63">
        <f>RTD("nest.scriprtd",,"nse_fo|"&amp;$A$97&amp;""&amp;$G$1&amp;""&amp;L104&amp;"CE","Ask Qty")</f>
        <v>15000</v>
      </c>
      <c r="G104" s="84">
        <f>RTD("nest.scriprtd",,"nse_fo|"&amp;$A$97&amp;""&amp;$G$1&amp;""&amp;L104&amp;"CE","LTP")</f>
        <v>7.2</v>
      </c>
      <c r="H104" s="63">
        <f>RTD("nest.scriprtd",,"nse_fo|"&amp;$A$97&amp;""&amp;$G$1&amp;""&amp;L104&amp;"CE","ATP")</f>
        <v>7.2</v>
      </c>
      <c r="I104" s="63">
        <f>RTD("nest.scriprtd",,"nse_fo|"&amp;$A$97&amp;""&amp;$G$1&amp;""&amp;L104&amp;"CE","Volume Traded Today")</f>
        <v>2910000</v>
      </c>
      <c r="J104" s="63">
        <f>RTD("nest.scriprtd",,"nse_fo|"&amp;$A$97&amp;""&amp;$G$1&amp;""&amp;L104&amp;"CE","% Change")</f>
        <v>0.7</v>
      </c>
      <c r="K104" s="63">
        <f>RTD("nest.scriprtd",,"nse_fo|"&amp;$A$97&amp;""&amp;$G$1&amp;""&amp;L104&amp;"CE","Net Change")</f>
        <v>0.05</v>
      </c>
      <c r="L104" s="63">
        <f t="shared" si="49"/>
        <v>210</v>
      </c>
      <c r="M104" s="63" t="str">
        <f>RTD("nest.scriprtd",,"nse_fo|"&amp;$A$97&amp;""&amp;$G$1&amp;""&amp;L104&amp;"CE","Option Type")</f>
        <v>CE</v>
      </c>
      <c r="N104" s="58">
        <f t="shared" si="48"/>
        <v>7.2</v>
      </c>
      <c r="Q104" s="58">
        <f t="shared" si="45"/>
        <v>0</v>
      </c>
      <c r="R104" s="58">
        <f t="shared" si="46"/>
        <v>0</v>
      </c>
      <c r="V104" s="98"/>
      <c r="Z104" s="58">
        <f t="shared" si="47"/>
        <v>0</v>
      </c>
    </row>
    <row r="105" spans="1:26" ht="15" x14ac:dyDescent="0.25">
      <c r="A105" s="63" t="str">
        <f>RTD("nest.scriprtd",,"nse_fo|"&amp;$A$97&amp;""&amp;$G$1&amp;""&amp;L105&amp;"CE","Symbol")</f>
        <v>FEDERALBNK</v>
      </c>
      <c r="B105" s="63" t="str">
        <f>RTD("nest.scriprtd",,"nse_fo|"&amp;$A$97&amp;""&amp;$G$1&amp;""&amp;L105&amp;"CE","Series/Expiry")</f>
        <v>26Dec2024</v>
      </c>
      <c r="C105" s="63">
        <f>RTD("nest.scriprtd",,"nse_fo|"&amp;$A$97&amp;""&amp;$G$1&amp;""&amp;L105&amp;"CE","Bid Qty")</f>
        <v>45000</v>
      </c>
      <c r="D105" s="63">
        <f>RTD("nest.scriprtd",,"nse_fo|"&amp;$A$97&amp;""&amp;$G$1&amp;""&amp;L105&amp;"CE","Bid Rate")</f>
        <v>5.65</v>
      </c>
      <c r="E105" s="63">
        <f>RTD("nest.scriprtd",,"nse_fo|"&amp;$A$97&amp;""&amp;$G$1&amp;""&amp;L105&amp;"CE","Ask Rate")</f>
        <v>5.75</v>
      </c>
      <c r="F105" s="63">
        <f>RTD("nest.scriprtd",,"nse_fo|"&amp;$A$97&amp;""&amp;$G$1&amp;""&amp;L105&amp;"CE","Ask Qty")</f>
        <v>15000</v>
      </c>
      <c r="G105" s="84">
        <f>RTD("nest.scriprtd",,"nse_fo|"&amp;$A$97&amp;""&amp;$G$1&amp;""&amp;L105&amp;"CE","LTP")</f>
        <v>5.75</v>
      </c>
      <c r="H105" s="63">
        <f>RTD("nest.scriprtd",,"nse_fo|"&amp;$A$97&amp;""&amp;$G$1&amp;""&amp;L105&amp;"CE","ATP")</f>
        <v>5.74</v>
      </c>
      <c r="I105" s="63">
        <f>RTD("nest.scriprtd",,"nse_fo|"&amp;$A$97&amp;""&amp;$G$1&amp;""&amp;L105&amp;"CE","Volume Traded Today")</f>
        <v>1685000</v>
      </c>
      <c r="J105" s="63">
        <f>RTD("nest.scriprtd",,"nse_fo|"&amp;$A$97&amp;""&amp;$G$1&amp;""&amp;L105&amp;"CE","% Change")</f>
        <v>-0.86</v>
      </c>
      <c r="K105" s="63">
        <f>RTD("nest.scriprtd",,"nse_fo|"&amp;$A$97&amp;""&amp;$G$1&amp;""&amp;L105&amp;"CE","Net Change")</f>
        <v>-0.05</v>
      </c>
      <c r="L105" s="63">
        <f t="shared" si="49"/>
        <v>212.5</v>
      </c>
      <c r="M105" s="63" t="str">
        <f>RTD("nest.scriprtd",,"nse_fo|"&amp;$A$97&amp;""&amp;$G$1&amp;""&amp;L105&amp;"CE","Option Type")</f>
        <v>CE</v>
      </c>
      <c r="N105" s="58">
        <f t="shared" ref="N105:N106" si="50">MIN($S$98,G105)</f>
        <v>5.75</v>
      </c>
      <c r="Q105" s="58">
        <f t="shared" ref="Q105:Q106" si="51">+P105+O105</f>
        <v>0</v>
      </c>
      <c r="R105" s="58">
        <f t="shared" ref="R105:R106" si="52">+Q105*N105</f>
        <v>0</v>
      </c>
      <c r="V105" s="98"/>
      <c r="Z105" s="58">
        <f t="shared" ref="Z105:Z106" si="53">+O105*K105</f>
        <v>0</v>
      </c>
    </row>
    <row r="106" spans="1:26" ht="15" x14ac:dyDescent="0.25">
      <c r="A106" s="63" t="str">
        <f>RTD("nest.scriprtd",,"nse_fo|"&amp;$A$97&amp;""&amp;$G$1&amp;""&amp;L106&amp;"CE","Symbol")</f>
        <v>FEDERALBNK</v>
      </c>
      <c r="B106" s="63" t="str">
        <f>RTD("nest.scriprtd",,"nse_fo|"&amp;$A$97&amp;""&amp;$G$1&amp;""&amp;L106&amp;"CE","Series/Expiry")</f>
        <v>26Dec2024</v>
      </c>
      <c r="C106" s="63">
        <f>RTD("nest.scriprtd",,"nse_fo|"&amp;$A$97&amp;""&amp;$G$1&amp;""&amp;L106&amp;"CE","Bid Qty")</f>
        <v>85000</v>
      </c>
      <c r="D106" s="63">
        <f>RTD("nest.scriprtd",,"nse_fo|"&amp;$A$97&amp;""&amp;$G$1&amp;""&amp;L106&amp;"CE","Bid Rate")</f>
        <v>4.4000000000000004</v>
      </c>
      <c r="E106" s="63">
        <f>RTD("nest.scriprtd",,"nse_fo|"&amp;$A$97&amp;""&amp;$G$1&amp;""&amp;L106&amp;"CE","Ask Rate")</f>
        <v>4.5</v>
      </c>
      <c r="F106" s="63">
        <f>RTD("nest.scriprtd",,"nse_fo|"&amp;$A$97&amp;""&amp;$G$1&amp;""&amp;L106&amp;"CE","Ask Qty")</f>
        <v>65000</v>
      </c>
      <c r="G106" s="84">
        <f>RTD("nest.scriprtd",,"nse_fo|"&amp;$A$97&amp;""&amp;$G$1&amp;""&amp;L106&amp;"CE","LTP")</f>
        <v>4.45</v>
      </c>
      <c r="H106" s="63">
        <f>RTD("nest.scriprtd",,"nse_fo|"&amp;$A$97&amp;""&amp;$G$1&amp;""&amp;L106&amp;"CE","ATP")</f>
        <v>4.45</v>
      </c>
      <c r="I106" s="63">
        <f>RTD("nest.scriprtd",,"nse_fo|"&amp;$A$97&amp;""&amp;$G$1&amp;""&amp;L106&amp;"CE","Volume Traded Today")</f>
        <v>8600000</v>
      </c>
      <c r="J106" s="63">
        <f>RTD("nest.scriprtd",,"nse_fo|"&amp;$A$97&amp;""&amp;$G$1&amp;""&amp;L106&amp;"CE","% Change")</f>
        <v>-1.1100000000000001</v>
      </c>
      <c r="K106" s="63">
        <f>RTD("nest.scriprtd",,"nse_fo|"&amp;$A$97&amp;""&amp;$G$1&amp;""&amp;L106&amp;"CE","Net Change")</f>
        <v>-0.05</v>
      </c>
      <c r="L106" s="63">
        <f t="shared" si="49"/>
        <v>215</v>
      </c>
      <c r="M106" s="63" t="str">
        <f>RTD("nest.scriprtd",,"nse_fo|"&amp;$A$97&amp;""&amp;$G$1&amp;""&amp;L106&amp;"CE","Option Type")</f>
        <v>CE</v>
      </c>
      <c r="N106" s="58">
        <f t="shared" si="50"/>
        <v>4.45</v>
      </c>
      <c r="Q106" s="58">
        <f t="shared" si="51"/>
        <v>0</v>
      </c>
      <c r="R106" s="58">
        <f t="shared" si="52"/>
        <v>0</v>
      </c>
      <c r="V106" s="98"/>
      <c r="Z106" s="58">
        <f t="shared" si="53"/>
        <v>0</v>
      </c>
    </row>
    <row r="107" spans="1:26" ht="15" x14ac:dyDescent="0.25">
      <c r="A107" s="63" t="str">
        <f>RTD("nest.scriprtd",,"nse_fo|"&amp;$A$97&amp;""&amp;$G$1&amp;""&amp;L107&amp;"CE","Symbol")</f>
        <v>FEDERALBNK</v>
      </c>
      <c r="B107" s="63" t="str">
        <f>RTD("nest.scriprtd",,"nse_fo|"&amp;$A$97&amp;""&amp;$G$1&amp;""&amp;L107&amp;"CE","Series/Expiry")</f>
        <v>26Dec2024</v>
      </c>
      <c r="C107" s="63">
        <f>RTD("nest.scriprtd",,"nse_fo|"&amp;$A$97&amp;""&amp;$G$1&amp;""&amp;L107&amp;"CE","Bid Qty")</f>
        <v>75000</v>
      </c>
      <c r="D107" s="63">
        <f>RTD("nest.scriprtd",,"nse_fo|"&amp;$A$97&amp;""&amp;$G$1&amp;""&amp;L107&amp;"CE","Bid Rate")</f>
        <v>3.3</v>
      </c>
      <c r="E107" s="63">
        <f>RTD("nest.scriprtd",,"nse_fo|"&amp;$A$97&amp;""&amp;$G$1&amp;""&amp;L107&amp;"CE","Ask Rate")</f>
        <v>3.4</v>
      </c>
      <c r="F107" s="63">
        <f>RTD("nest.scriprtd",,"nse_fo|"&amp;$A$97&amp;""&amp;$G$1&amp;""&amp;L107&amp;"CE","Ask Qty")</f>
        <v>40000</v>
      </c>
      <c r="G107" s="84">
        <f>RTD("nest.scriprtd",,"nse_fo|"&amp;$A$97&amp;""&amp;$G$1&amp;""&amp;L107&amp;"CE","LTP")</f>
        <v>3.4</v>
      </c>
      <c r="H107" s="63">
        <f>RTD("nest.scriprtd",,"nse_fo|"&amp;$A$97&amp;""&amp;$G$1&amp;""&amp;L107&amp;"CE","ATP")</f>
        <v>3.44</v>
      </c>
      <c r="I107" s="63">
        <f>RTD("nest.scriprtd",,"nse_fo|"&amp;$A$97&amp;""&amp;$G$1&amp;""&amp;L107&amp;"CE","Volume Traded Today")</f>
        <v>2170000</v>
      </c>
      <c r="J107" s="63">
        <f>RTD("nest.scriprtd",,"nse_fo|"&amp;$A$97&amp;""&amp;$G$1&amp;""&amp;L107&amp;"CE","% Change")</f>
        <v>-2.86</v>
      </c>
      <c r="K107" s="63">
        <f>RTD("nest.scriprtd",,"nse_fo|"&amp;$A$97&amp;""&amp;$G$1&amp;""&amp;L107&amp;"CE","Net Change")</f>
        <v>-0.1</v>
      </c>
      <c r="L107" s="63">
        <f t="shared" si="49"/>
        <v>217.5</v>
      </c>
      <c r="M107" s="63" t="str">
        <f>RTD("nest.scriprtd",,"nse_fo|"&amp;$A$97&amp;""&amp;$G$1&amp;""&amp;L107&amp;"CE","Option Type")</f>
        <v>CE</v>
      </c>
      <c r="N107" s="58">
        <f t="shared" si="48"/>
        <v>3.4</v>
      </c>
      <c r="Q107" s="58">
        <f t="shared" si="45"/>
        <v>0</v>
      </c>
      <c r="R107" s="58">
        <f t="shared" si="46"/>
        <v>0</v>
      </c>
      <c r="Z107" s="58">
        <f t="shared" si="47"/>
        <v>0</v>
      </c>
    </row>
    <row r="108" spans="1:26" ht="15" x14ac:dyDescent="0.25">
      <c r="A108" s="63" t="str">
        <f>RTD("nest.scriprtd",,"nse_fo|"&amp;$A$97&amp;""&amp;$G$1&amp;""&amp;L108&amp;"CE","Symbol")</f>
        <v>FEDERALBNK</v>
      </c>
      <c r="B108" s="63" t="str">
        <f>RTD("nest.scriprtd",,"nse_fo|"&amp;$A$97&amp;""&amp;$G$1&amp;""&amp;L108&amp;"CE","Series/Expiry")</f>
        <v>26Dec2024</v>
      </c>
      <c r="C108" s="63">
        <f>RTD("nest.scriprtd",,"nse_fo|"&amp;$A$97&amp;""&amp;$G$1&amp;""&amp;L108&amp;"CE","Bid Qty")</f>
        <v>55000</v>
      </c>
      <c r="D108" s="63">
        <f>RTD("nest.scriprtd",,"nse_fo|"&amp;$A$97&amp;""&amp;$G$1&amp;""&amp;L108&amp;"CE","Bid Rate")</f>
        <v>2.5</v>
      </c>
      <c r="E108" s="63">
        <f>RTD("nest.scriprtd",,"nse_fo|"&amp;$A$97&amp;""&amp;$G$1&amp;""&amp;L108&amp;"CE","Ask Rate")</f>
        <v>2.5499999999999998</v>
      </c>
      <c r="F108" s="63">
        <f>RTD("nest.scriprtd",,"nse_fo|"&amp;$A$97&amp;""&amp;$G$1&amp;""&amp;L108&amp;"CE","Ask Qty")</f>
        <v>45000</v>
      </c>
      <c r="G108" s="84">
        <f>RTD("nest.scriprtd",,"nse_fo|"&amp;$A$97&amp;""&amp;$G$1&amp;""&amp;L108&amp;"CE","LTP")</f>
        <v>2.5</v>
      </c>
      <c r="H108" s="63">
        <f>RTD("nest.scriprtd",,"nse_fo|"&amp;$A$97&amp;""&amp;$G$1&amp;""&amp;L108&amp;"CE","ATP")</f>
        <v>2.6</v>
      </c>
      <c r="I108" s="63">
        <f>RTD("nest.scriprtd",,"nse_fo|"&amp;$A$97&amp;""&amp;$G$1&amp;""&amp;L108&amp;"CE","Volume Traded Today")</f>
        <v>5825000</v>
      </c>
      <c r="J108" s="63">
        <f>RTD("nest.scriprtd",,"nse_fo|"&amp;$A$97&amp;""&amp;$G$1&amp;""&amp;L108&amp;"CE","% Change")</f>
        <v>-5.66</v>
      </c>
      <c r="K108" s="63">
        <f>RTD("nest.scriprtd",,"nse_fo|"&amp;$A$97&amp;""&amp;$G$1&amp;""&amp;L108&amp;"CE","Net Change")</f>
        <v>-0.15</v>
      </c>
      <c r="L108" s="63">
        <f t="shared" si="49"/>
        <v>220</v>
      </c>
      <c r="M108" s="63" t="str">
        <f>RTD("nest.scriprtd",,"nse_fo|"&amp;$A$97&amp;""&amp;$G$1&amp;""&amp;L108&amp;"CE","Option Type")</f>
        <v>CE</v>
      </c>
      <c r="N108" s="58">
        <f t="shared" si="48"/>
        <v>2.5</v>
      </c>
      <c r="Q108" s="58">
        <f t="shared" si="45"/>
        <v>0</v>
      </c>
      <c r="R108" s="58">
        <f t="shared" si="46"/>
        <v>0</v>
      </c>
      <c r="Z108" s="58">
        <f t="shared" si="47"/>
        <v>0</v>
      </c>
    </row>
    <row r="109" spans="1:26" ht="15" x14ac:dyDescent="0.25">
      <c r="A109" s="63" t="str">
        <f>RTD("nest.scriprtd",,"nse_fo|"&amp;$A$97&amp;""&amp;$G$1&amp;""&amp;L109&amp;"CE","Symbol")</f>
        <v>FEDERALBNK</v>
      </c>
      <c r="B109" s="63" t="str">
        <f>RTD("nest.scriprtd",,"nse_fo|"&amp;$A$97&amp;""&amp;$G$1&amp;""&amp;L109&amp;"CE","Series/Expiry")</f>
        <v>26Dec2024</v>
      </c>
      <c r="C109" s="63">
        <f>RTD("nest.scriprtd",,"nse_fo|"&amp;$A$97&amp;""&amp;$G$1&amp;""&amp;L109&amp;"CE","Bid Qty")</f>
        <v>95000</v>
      </c>
      <c r="D109" s="63">
        <f>RTD("nest.scriprtd",,"nse_fo|"&amp;$A$97&amp;""&amp;$G$1&amp;""&amp;L109&amp;"CE","Bid Rate")</f>
        <v>1.8</v>
      </c>
      <c r="E109" s="63">
        <f>RTD("nest.scriprtd",,"nse_fo|"&amp;$A$97&amp;""&amp;$G$1&amp;""&amp;L109&amp;"CE","Ask Rate")</f>
        <v>1.85</v>
      </c>
      <c r="F109" s="63">
        <f>RTD("nest.scriprtd",,"nse_fo|"&amp;$A$97&amp;""&amp;$G$1&amp;""&amp;L109&amp;"CE","Ask Qty")</f>
        <v>80000</v>
      </c>
      <c r="G109" s="84">
        <f>RTD("nest.scriprtd",,"nse_fo|"&amp;$A$97&amp;""&amp;$G$1&amp;""&amp;L109&amp;"CE","LTP")</f>
        <v>1.85</v>
      </c>
      <c r="H109" s="63">
        <f>RTD("nest.scriprtd",,"nse_fo|"&amp;$A$97&amp;""&amp;$G$1&amp;""&amp;L109&amp;"CE","ATP")</f>
        <v>1.89</v>
      </c>
      <c r="I109" s="63">
        <f>RTD("nest.scriprtd",,"nse_fo|"&amp;$A$97&amp;""&amp;$G$1&amp;""&amp;L109&amp;"CE","Volume Traded Today")</f>
        <v>2275000</v>
      </c>
      <c r="J109" s="63">
        <f>RTD("nest.scriprtd",,"nse_fo|"&amp;$A$97&amp;""&amp;$G$1&amp;""&amp;L109&amp;"CE","% Change")</f>
        <v>-7.5</v>
      </c>
      <c r="K109" s="63">
        <f>RTD("nest.scriprtd",,"nse_fo|"&amp;$A$97&amp;""&amp;$G$1&amp;""&amp;L109&amp;"CE","Net Change")</f>
        <v>-0.15</v>
      </c>
      <c r="L109" s="63">
        <f t="shared" si="49"/>
        <v>222.5</v>
      </c>
      <c r="M109" s="63" t="str">
        <f>RTD("nest.scriprtd",,"nse_fo|"&amp;$A$97&amp;""&amp;$G$1&amp;""&amp;L109&amp;"CE","Option Type")</f>
        <v>CE</v>
      </c>
      <c r="N109" s="58">
        <f t="shared" si="48"/>
        <v>1.85</v>
      </c>
      <c r="Q109" s="58">
        <f t="shared" si="45"/>
        <v>0</v>
      </c>
      <c r="R109" s="58">
        <f t="shared" si="46"/>
        <v>0</v>
      </c>
      <c r="Z109" s="58">
        <f t="shared" si="47"/>
        <v>0</v>
      </c>
    </row>
    <row r="110" spans="1:26" ht="15" x14ac:dyDescent="0.25">
      <c r="A110" s="63" t="str">
        <f>RTD("nest.scriprtd",,"nse_fo|"&amp;$A$97&amp;""&amp;$G$1&amp;""&amp;L110&amp;"CE","Symbol")</f>
        <v>FEDERALBNK</v>
      </c>
      <c r="B110" s="63" t="str">
        <f>RTD("nest.scriprtd",,"nse_fo|"&amp;$A$97&amp;""&amp;$G$1&amp;""&amp;L110&amp;"PE","Series/Expiry")</f>
        <v>26Dec2024</v>
      </c>
      <c r="C110" s="63">
        <f>RTD("nest.scriprtd",,"nse_fo|"&amp;$A$97&amp;""&amp;$G$1&amp;""&amp;L110&amp;"PE","Bid Qty")</f>
        <v>75000</v>
      </c>
      <c r="D110" s="63">
        <f>RTD("nest.scriprtd",,"nse_fo|"&amp;$A$97&amp;""&amp;$G$1&amp;""&amp;L110&amp;"PE","Bid Rate")</f>
        <v>0.85</v>
      </c>
      <c r="E110" s="63">
        <f>RTD("nest.scriprtd",,"nse_fo|"&amp;$A$97&amp;""&amp;$G$1&amp;""&amp;L110&amp;"PE","Ask Rate")</f>
        <v>0.9</v>
      </c>
      <c r="F110" s="63">
        <f>RTD("nest.scriprtd",,"nse_fo|"&amp;$A$97&amp;""&amp;$G$1&amp;""&amp;L110&amp;"PE","Ask Qty")</f>
        <v>210000</v>
      </c>
      <c r="G110" s="84">
        <f>RTD("nest.scriprtd",,"nse_fo|"&amp;$A$97&amp;""&amp;$G$1&amp;""&amp;L110&amp;"PE","LTP")</f>
        <v>0.85</v>
      </c>
      <c r="H110" s="63">
        <f>RTD("nest.scriprtd",,"nse_fo|"&amp;$A$97&amp;""&amp;$G$1&amp;""&amp;L110&amp;"PE","ATP")</f>
        <v>0.94</v>
      </c>
      <c r="I110" s="63">
        <f>RTD("nest.scriprtd",,"nse_fo|"&amp;$A$97&amp;""&amp;$G$1&amp;""&amp;L110&amp;"PE","Volume Traded Today")</f>
        <v>1935000</v>
      </c>
      <c r="J110" s="63">
        <f>RTD("nest.scriprtd",,"nse_fo|"&amp;$A$97&amp;""&amp;$G$1&amp;""&amp;L110&amp;"PE","% Change")</f>
        <v>-19.05</v>
      </c>
      <c r="K110" s="63">
        <f>RTD("nest.scriprtd",,"nse_fo|"&amp;$A$97&amp;""&amp;$G$1&amp;""&amp;L110&amp;"PE","Net Change")</f>
        <v>-0.2</v>
      </c>
      <c r="L110" s="63">
        <v>200</v>
      </c>
      <c r="M110" s="82" t="str">
        <f>RTD("nest.scriprtd",,"nse_fo|"&amp;$A$97&amp;""&amp;$G$1&amp;""&amp;L110&amp;"PE","Option Type")</f>
        <v>PE</v>
      </c>
      <c r="N110" s="58">
        <f t="shared" si="48"/>
        <v>0.85</v>
      </c>
      <c r="Q110" s="58">
        <f t="shared" si="45"/>
        <v>0</v>
      </c>
      <c r="R110" s="58">
        <f t="shared" si="46"/>
        <v>0</v>
      </c>
      <c r="Z110" s="58">
        <f t="shared" si="47"/>
        <v>0</v>
      </c>
    </row>
    <row r="111" spans="1:26" ht="15" x14ac:dyDescent="0.25">
      <c r="A111" s="63" t="str">
        <f>RTD("nest.scriprtd",,"nse_fo|"&amp;$A$97&amp;""&amp;$G$1&amp;""&amp;L111&amp;"CE","Symbol")</f>
        <v>FEDERALBNK</v>
      </c>
      <c r="B111" s="63" t="str">
        <f>RTD("nest.scriprtd",,"nse_fo|"&amp;$A$97&amp;""&amp;$G$1&amp;""&amp;L111&amp;"PE","Series/Expiry")</f>
        <v>26Dec2024</v>
      </c>
      <c r="C111" s="63">
        <f>RTD("nest.scriprtd",,"nse_fo|"&amp;$A$97&amp;""&amp;$G$1&amp;""&amp;L111&amp;"PE","Bid Qty")</f>
        <v>160000</v>
      </c>
      <c r="D111" s="63">
        <f>RTD("nest.scriprtd",,"nse_fo|"&amp;$A$97&amp;""&amp;$G$1&amp;""&amp;L111&amp;"PE","Bid Rate")</f>
        <v>1.1000000000000001</v>
      </c>
      <c r="E111" s="63">
        <f>RTD("nest.scriprtd",,"nse_fo|"&amp;$A$97&amp;""&amp;$G$1&amp;""&amp;L111&amp;"PE","Ask Rate")</f>
        <v>1.2</v>
      </c>
      <c r="F111" s="63">
        <f>RTD("nest.scriprtd",,"nse_fo|"&amp;$A$97&amp;""&amp;$G$1&amp;""&amp;L111&amp;"PE","Ask Qty")</f>
        <v>115000</v>
      </c>
      <c r="G111" s="84">
        <f>RTD("nest.scriprtd",,"nse_fo|"&amp;$A$97&amp;""&amp;$G$1&amp;""&amp;L111&amp;"PE","LTP")</f>
        <v>1.1499999999999999</v>
      </c>
      <c r="H111" s="63">
        <f>RTD("nest.scriprtd",,"nse_fo|"&amp;$A$97&amp;""&amp;$G$1&amp;""&amp;L111&amp;"PE","ATP")</f>
        <v>1.28</v>
      </c>
      <c r="I111" s="63">
        <f>RTD("nest.scriprtd",,"nse_fo|"&amp;$A$97&amp;""&amp;$G$1&amp;""&amp;L111&amp;"PE","Volume Traded Today")</f>
        <v>1745000</v>
      </c>
      <c r="J111" s="63">
        <f>RTD("nest.scriprtd",,"nse_fo|"&amp;$A$97&amp;""&amp;$G$1&amp;""&amp;L111&amp;"PE","% Change")</f>
        <v>-17.86</v>
      </c>
      <c r="K111" s="63">
        <f>RTD("nest.scriprtd",,"nse_fo|"&amp;$A$97&amp;""&amp;$G$1&amp;""&amp;L111&amp;"PE","Net Change")</f>
        <v>-0.25</v>
      </c>
      <c r="L111" s="63">
        <f t="shared" si="49"/>
        <v>202.5</v>
      </c>
      <c r="M111" s="63" t="str">
        <f>RTD("nest.scriprtd",,"nse_fo|"&amp;$A$97&amp;""&amp;$G$1&amp;""&amp;L111&amp;"PE","Option Type")</f>
        <v>PE</v>
      </c>
      <c r="N111" s="58">
        <f t="shared" si="48"/>
        <v>1.1499999999999999</v>
      </c>
      <c r="Q111" s="58">
        <f t="shared" si="45"/>
        <v>0</v>
      </c>
      <c r="R111" s="58">
        <f t="shared" si="46"/>
        <v>0</v>
      </c>
      <c r="Z111" s="58">
        <f t="shared" si="47"/>
        <v>0</v>
      </c>
    </row>
    <row r="112" spans="1:26" ht="15" x14ac:dyDescent="0.25">
      <c r="A112" s="63" t="str">
        <f>RTD("nest.scriprtd",,"nse_fo|"&amp;$A$97&amp;""&amp;$G$1&amp;""&amp;L112&amp;"CE","Symbol")</f>
        <v>FEDERALBNK</v>
      </c>
      <c r="B112" s="63" t="str">
        <f>RTD("nest.scriprtd",,"nse_fo|"&amp;$A$97&amp;""&amp;$G$1&amp;""&amp;L112&amp;"PE","Series/Expiry")</f>
        <v>26Dec2024</v>
      </c>
      <c r="C112" s="63">
        <f>RTD("nest.scriprtd",,"nse_fo|"&amp;$A$97&amp;""&amp;$G$1&amp;""&amp;L112&amp;"PE","Bid Qty")</f>
        <v>115000</v>
      </c>
      <c r="D112" s="63">
        <f>RTD("nest.scriprtd",,"nse_fo|"&amp;$A$97&amp;""&amp;$G$1&amp;""&amp;L112&amp;"PE","Bid Rate")</f>
        <v>1.55</v>
      </c>
      <c r="E112" s="63">
        <f>RTD("nest.scriprtd",,"nse_fo|"&amp;$A$97&amp;""&amp;$G$1&amp;""&amp;L112&amp;"PE","Ask Rate")</f>
        <v>1.6</v>
      </c>
      <c r="F112" s="63">
        <f>RTD("nest.scriprtd",,"nse_fo|"&amp;$A$97&amp;""&amp;$G$1&amp;""&amp;L112&amp;"PE","Ask Qty")</f>
        <v>135000</v>
      </c>
      <c r="G112" s="84">
        <f>RTD("nest.scriprtd",,"nse_fo|"&amp;$A$97&amp;""&amp;$G$1&amp;""&amp;L112&amp;"PE","LTP")</f>
        <v>1.55</v>
      </c>
      <c r="H112" s="63">
        <f>RTD("nest.scriprtd",,"nse_fo|"&amp;$A$97&amp;""&amp;$G$1&amp;""&amp;L112&amp;"PE","ATP")</f>
        <v>1.72</v>
      </c>
      <c r="I112" s="63">
        <f>RTD("nest.scriprtd",,"nse_fo|"&amp;$A$97&amp;""&amp;$G$1&amp;""&amp;L112&amp;"PE","Volume Traded Today")</f>
        <v>2540000</v>
      </c>
      <c r="J112" s="63">
        <f>RTD("nest.scriprtd",,"nse_fo|"&amp;$A$97&amp;""&amp;$G$1&amp;""&amp;L112&amp;"PE","% Change")</f>
        <v>-18.420000000000002</v>
      </c>
      <c r="K112" s="63">
        <f>RTD("nest.scriprtd",,"nse_fo|"&amp;$A$97&amp;""&amp;$G$1&amp;""&amp;L112&amp;"PE","Net Change")</f>
        <v>-0.35</v>
      </c>
      <c r="L112" s="63">
        <f t="shared" si="49"/>
        <v>205</v>
      </c>
      <c r="M112" s="63" t="str">
        <f>RTD("nest.scriprtd",,"nse_fo|"&amp;$A$97&amp;""&amp;$G$1&amp;""&amp;L112&amp;"PE","Option Type")</f>
        <v>PE</v>
      </c>
      <c r="N112" s="58">
        <f t="shared" si="48"/>
        <v>1.55</v>
      </c>
      <c r="Q112" s="58">
        <f t="shared" si="45"/>
        <v>0</v>
      </c>
      <c r="R112" s="58">
        <f t="shared" si="46"/>
        <v>0</v>
      </c>
      <c r="Z112" s="58">
        <f t="shared" si="47"/>
        <v>0</v>
      </c>
    </row>
    <row r="113" spans="1:27" ht="15" x14ac:dyDescent="0.25">
      <c r="A113" s="63" t="str">
        <f>RTD("nest.scriprtd",,"nse_fo|"&amp;$A$97&amp;""&amp;$G$1&amp;""&amp;L113&amp;"CE","Symbol")</f>
        <v>FEDERALBNK</v>
      </c>
      <c r="B113" s="63" t="str">
        <f>RTD("nest.scriprtd",,"nse_fo|"&amp;$A$97&amp;""&amp;$G$1&amp;""&amp;L113&amp;"PE","Series/Expiry")</f>
        <v>26Dec2024</v>
      </c>
      <c r="C113" s="63">
        <f>RTD("nest.scriprtd",,"nse_fo|"&amp;$A$97&amp;""&amp;$G$1&amp;""&amp;L113&amp;"PE","Bid Qty")</f>
        <v>75000</v>
      </c>
      <c r="D113" s="63">
        <f>RTD("nest.scriprtd",,"nse_fo|"&amp;$A$97&amp;""&amp;$G$1&amp;""&amp;L113&amp;"PE","Bid Rate")</f>
        <v>2.1</v>
      </c>
      <c r="E113" s="63">
        <f>RTD("nest.scriprtd",,"nse_fo|"&amp;$A$97&amp;""&amp;$G$1&amp;""&amp;L113&amp;"PE","Ask Rate")</f>
        <v>2.15</v>
      </c>
      <c r="F113" s="63">
        <f>RTD("nest.scriprtd",,"nse_fo|"&amp;$A$97&amp;""&amp;$G$1&amp;""&amp;L113&amp;"PE","Ask Qty")</f>
        <v>55000</v>
      </c>
      <c r="G113" s="84">
        <f>RTD("nest.scriprtd",,"nse_fo|"&amp;$A$97&amp;""&amp;$G$1&amp;""&amp;L113&amp;"PE","LTP")</f>
        <v>2.15</v>
      </c>
      <c r="H113" s="63">
        <f>RTD("nest.scriprtd",,"nse_fo|"&amp;$A$97&amp;""&amp;$G$1&amp;""&amp;L113&amp;"PE","ATP")</f>
        <v>2.34</v>
      </c>
      <c r="I113" s="63">
        <f>RTD("nest.scriprtd",,"nse_fo|"&amp;$A$97&amp;""&amp;$G$1&amp;""&amp;L113&amp;"PE","Volume Traded Today")</f>
        <v>1075000</v>
      </c>
      <c r="J113" s="63">
        <f>RTD("nest.scriprtd",,"nse_fo|"&amp;$A$97&amp;""&amp;$G$1&amp;""&amp;L113&amp;"PE","% Change")</f>
        <v>-14</v>
      </c>
      <c r="K113" s="63">
        <f>RTD("nest.scriprtd",,"nse_fo|"&amp;$A$97&amp;""&amp;$G$1&amp;""&amp;L113&amp;"PE","Net Change")</f>
        <v>-0.35</v>
      </c>
      <c r="L113" s="63">
        <f t="shared" si="49"/>
        <v>207.5</v>
      </c>
      <c r="M113" s="63" t="str">
        <f>RTD("nest.scriprtd",,"nse_fo|"&amp;$A$97&amp;""&amp;$G$1&amp;""&amp;L113&amp;"PE","Option Type")</f>
        <v>PE</v>
      </c>
      <c r="N113" s="58">
        <f t="shared" si="48"/>
        <v>2.15</v>
      </c>
      <c r="Q113" s="58">
        <f t="shared" si="45"/>
        <v>0</v>
      </c>
      <c r="R113" s="58">
        <f t="shared" si="46"/>
        <v>0</v>
      </c>
      <c r="Z113" s="58">
        <f t="shared" si="47"/>
        <v>0</v>
      </c>
    </row>
    <row r="114" spans="1:27" ht="15" x14ac:dyDescent="0.25">
      <c r="A114" s="63" t="str">
        <f>RTD("nest.scriprtd",,"nse_fo|"&amp;$A$97&amp;""&amp;$G$1&amp;""&amp;L114&amp;"CE","Symbol")</f>
        <v>FEDERALBNK</v>
      </c>
      <c r="B114" s="63" t="str">
        <f>RTD("nest.scriprtd",,"nse_fo|"&amp;$A$97&amp;""&amp;$G$1&amp;""&amp;L114&amp;"PE","Series/Expiry")</f>
        <v>26Dec2024</v>
      </c>
      <c r="C114" s="63">
        <f>RTD("nest.scriprtd",,"nse_fo|"&amp;$A$97&amp;""&amp;$G$1&amp;""&amp;L114&amp;"PE","Bid Qty")</f>
        <v>10000</v>
      </c>
      <c r="D114" s="63">
        <f>RTD("nest.scriprtd",,"nse_fo|"&amp;$A$97&amp;""&amp;$G$1&amp;""&amp;L114&amp;"PE","Bid Rate")</f>
        <v>2.9</v>
      </c>
      <c r="E114" s="63">
        <f>RTD("nest.scriprtd",,"nse_fo|"&amp;$A$97&amp;""&amp;$G$1&amp;""&amp;L114&amp;"PE","Ask Rate")</f>
        <v>2.95</v>
      </c>
      <c r="F114" s="63">
        <f>RTD("nest.scriprtd",,"nse_fo|"&amp;$A$97&amp;""&amp;$G$1&amp;""&amp;L114&amp;"PE","Ask Qty")</f>
        <v>80000</v>
      </c>
      <c r="G114" s="84">
        <f>RTD("nest.scriprtd",,"nse_fo|"&amp;$A$97&amp;""&amp;$G$1&amp;""&amp;L114&amp;"PE","LTP")</f>
        <v>2.9</v>
      </c>
      <c r="H114" s="63">
        <f>RTD("nest.scriprtd",,"nse_fo|"&amp;$A$97&amp;""&amp;$G$1&amp;""&amp;L114&amp;"PE","ATP")</f>
        <v>3.1</v>
      </c>
      <c r="I114" s="63">
        <f>RTD("nest.scriprtd",,"nse_fo|"&amp;$A$97&amp;""&amp;$G$1&amp;""&amp;L114&amp;"PE","Volume Traded Today")</f>
        <v>3820000</v>
      </c>
      <c r="J114" s="63">
        <f>RTD("nest.scriprtd",,"nse_fo|"&amp;$A$97&amp;""&amp;$G$1&amp;""&amp;L114&amp;"PE","% Change")</f>
        <v>-13.43</v>
      </c>
      <c r="K114" s="63">
        <f>RTD("nest.scriprtd",,"nse_fo|"&amp;$A$97&amp;""&amp;$G$1&amp;""&amp;L114&amp;"PE","Net Change")</f>
        <v>-0.45</v>
      </c>
      <c r="L114" s="63">
        <f t="shared" si="49"/>
        <v>210</v>
      </c>
      <c r="M114" s="63" t="str">
        <f>RTD("nest.scriprtd",,"nse_fo|"&amp;$A$97&amp;""&amp;$G$1&amp;""&amp;L114&amp;"PE","Option Type")</f>
        <v>PE</v>
      </c>
      <c r="N114" s="58">
        <f t="shared" si="48"/>
        <v>2.9</v>
      </c>
      <c r="Q114" s="58">
        <f t="shared" si="45"/>
        <v>0</v>
      </c>
      <c r="R114" s="58">
        <f t="shared" si="46"/>
        <v>0</v>
      </c>
      <c r="S114" s="58">
        <f>+SUM(R98:R109)-SUM(R110:R114)</f>
        <v>0</v>
      </c>
      <c r="T114" s="58">
        <f>SUM(R100:R114)-R112</f>
        <v>0</v>
      </c>
      <c r="U114" s="63" t="e">
        <f>+S114/T114</f>
        <v>#DIV/0!</v>
      </c>
      <c r="Z114" s="58">
        <f t="shared" si="47"/>
        <v>0</v>
      </c>
      <c r="AA114" s="58">
        <f>SUM(Z98:Z114)</f>
        <v>0</v>
      </c>
    </row>
    <row r="116" spans="1:27" ht="15" x14ac:dyDescent="0.25">
      <c r="A116" s="58" t="s">
        <v>187</v>
      </c>
      <c r="B116" s="58" t="str">
        <f>$A$116&amp;"-EQ"</f>
        <v>HDFCAMC-EQ</v>
      </c>
      <c r="C116" s="58" t="s">
        <v>168</v>
      </c>
      <c r="D116" s="63">
        <v>50</v>
      </c>
      <c r="E116" s="57">
        <v>150</v>
      </c>
      <c r="F116" s="63"/>
      <c r="G116" s="85"/>
      <c r="K116" s="63"/>
      <c r="L116" s="63"/>
      <c r="M116" s="63"/>
    </row>
    <row r="117" spans="1:27" ht="15" x14ac:dyDescent="0.25">
      <c r="A117" s="63" t="str">
        <f>RTD("nest.scriprtd",,"nse_fo|"&amp;$A$116&amp;""&amp;$G$1&amp;""&amp;C116&amp;"","Symbol")</f>
        <v>HDFCAMC</v>
      </c>
      <c r="B117" s="63" t="str">
        <f>RTD("nest.scriprtd",,"nse_fo|"&amp;$A$116&amp;""&amp;$G$1&amp;""&amp;C116&amp;"","Series/Expiry")</f>
        <v>26Dec2024</v>
      </c>
      <c r="C117" s="63">
        <f>RTD("nest.scriprtd",,"nse_fo|"&amp;$A$116&amp;""&amp;$G$1&amp;""&amp;C116&amp;"","Bid Qty")</f>
        <v>150</v>
      </c>
      <c r="D117" s="63">
        <f>RTD("nest.scriprtd",,"nse_fo|"&amp;$A$116&amp;""&amp;$G$1&amp;""&amp;C116&amp;"","Bid Rate")</f>
        <v>4504.05</v>
      </c>
      <c r="E117" s="63">
        <f>RTD("nest.scriprtd",,"nse_fo|"&amp;$A$116&amp;""&amp;$G$1&amp;""&amp;C116&amp;"","Ask Rate")</f>
        <v>4509</v>
      </c>
      <c r="F117" s="63">
        <f>RTD("nest.scriprtd",,"nse_fo|"&amp;$A$116&amp;""&amp;$G$1&amp;""&amp;C116&amp;"","Ask Qty")</f>
        <v>150</v>
      </c>
      <c r="G117" s="84">
        <f>RTD("nest.scriprtd",,"nse_fo|"&amp;$A$116&amp;""&amp;$G$1&amp;""&amp;C116&amp;"","LTP")</f>
        <v>4507.25</v>
      </c>
      <c r="H117" s="63">
        <f>RTD("nest.scriprtd",,"nse_fo|"&amp;$A$116&amp;""&amp;$G$1&amp;""&amp;C116&amp;"","ATP")</f>
        <v>4459.92</v>
      </c>
      <c r="I117" s="63">
        <f>RTD("nest.scriprtd",,"nse_fo|"&amp;$A$116&amp;""&amp;$G$1&amp;""&amp;C116&amp;"","Volume Traded Today")</f>
        <v>612750</v>
      </c>
      <c r="J117" s="63">
        <f>RTD("nest.scriprtd",,"nse_fo|"&amp;$A$116&amp;""&amp;$G$1&amp;""&amp;C116&amp;"","% Change")</f>
        <v>2.73</v>
      </c>
      <c r="K117" s="63">
        <f>RTD("nest.scriprtd",,"nse_fo|"&amp;$A$116&amp;""&amp;$G$1&amp;""&amp;C116&amp;"","Net Change")</f>
        <v>119.65</v>
      </c>
      <c r="L117" s="63">
        <f>RTD("nest.scriprtd",,"nse_fo|"&amp;$A$116&amp;""&amp;$G$1&amp;""&amp;C116&amp;"","Strike Price")</f>
        <v>0</v>
      </c>
      <c r="M117" s="63"/>
      <c r="N117" s="58">
        <f>MIN($S$117,G117)</f>
        <v>85.1</v>
      </c>
      <c r="Q117" s="58">
        <f t="shared" ref="Q117:Q131" si="54">+P117+O117</f>
        <v>0</v>
      </c>
      <c r="R117" s="58">
        <f t="shared" ref="R117:R131" si="55">+Q117*N117</f>
        <v>0</v>
      </c>
      <c r="S117" s="58">
        <f>+$Q$2*T117</f>
        <v>85.1</v>
      </c>
      <c r="T117" s="80">
        <f>+FACTOR!G27</f>
        <v>85.1</v>
      </c>
      <c r="Z117" s="58">
        <f t="shared" ref="Z117:Z131" si="56">+O117*K117</f>
        <v>0</v>
      </c>
    </row>
    <row r="118" spans="1:27" ht="15" x14ac:dyDescent="0.25">
      <c r="A118" s="63" t="str">
        <f>RTD("nest.scriprtd",,"nse_cm|"&amp;B116&amp;"","Symbol")</f>
        <v>HDFCAMC</v>
      </c>
      <c r="B118" s="63" t="str">
        <f>RTD("nest.scriprtd",,"nse_cm|"&amp;B116&amp;"","Series/Expiry")</f>
        <v>EQ</v>
      </c>
      <c r="C118" s="63">
        <f>RTD("nest.scriprtd",,"nse_cm|"&amp;B116&amp;"","Bid Qty")</f>
        <v>5</v>
      </c>
      <c r="D118" s="63">
        <f>RTD("nest.scriprtd",,"nse_cm|"&amp;B116&amp;"","Bid Rate")</f>
        <v>4496.1000000000004</v>
      </c>
      <c r="E118" s="63">
        <f>RTD("nest.scriprtd",,"nse_cm|"&amp;B116&amp;"","Ask Rate")</f>
        <v>4496.3999999999996</v>
      </c>
      <c r="F118" s="63">
        <f>RTD("nest.scriprtd",,"nse_cm|"&amp;B116&amp;"","Ask Qty")</f>
        <v>4</v>
      </c>
      <c r="G118" s="84">
        <f>RTD("nest.scriprtd",,"nse_cm|"&amp;B116&amp;"","LTP")</f>
        <v>4495.8</v>
      </c>
      <c r="H118" s="63">
        <f>RTD("nest.scriprtd",,"nse_cm|"&amp;B116&amp;"","ATP")</f>
        <v>4442.4399999999996</v>
      </c>
      <c r="I118" s="63">
        <f>RTD("nest.scriprtd",,"nse_cm|"&amp;B116&amp;"","Volume Traded Today")</f>
        <v>440085</v>
      </c>
      <c r="J118" s="63">
        <f>RTD("nest.scriprtd",,"nse_cm|"&amp;B116&amp;"","% Change")</f>
        <v>3.02</v>
      </c>
      <c r="K118" s="63">
        <f>RTD("nest.scriprtd",,"nse_cm|"&amp;B116&amp;"","Net Change")</f>
        <v>131.9</v>
      </c>
      <c r="L118" s="63">
        <f>RTD("nest.scriprtd",,"nse_cm|"&amp;B116&amp;"","Strike Price")</f>
        <v>0</v>
      </c>
      <c r="M118" s="63"/>
      <c r="N118" s="58">
        <f t="shared" ref="N118:N131" si="57">MIN($S$117,G118)</f>
        <v>85.1</v>
      </c>
      <c r="Q118" s="58">
        <f t="shared" si="54"/>
        <v>0</v>
      </c>
      <c r="R118" s="58">
        <f t="shared" si="55"/>
        <v>0</v>
      </c>
      <c r="Z118" s="58">
        <f t="shared" si="56"/>
        <v>0</v>
      </c>
    </row>
    <row r="119" spans="1:27" ht="15" x14ac:dyDescent="0.25">
      <c r="A119" s="63" t="str">
        <f>RTD("nest.scriprtd",,"nse_fo|"&amp;$A$116&amp;""&amp;$G$1&amp;""&amp;L119&amp;"CE","Symbol")</f>
        <v>HDFCAMC</v>
      </c>
      <c r="B119" s="63" t="str">
        <f>RTD("nest.scriprtd",,"nse_fo|"&amp;$A$116&amp;""&amp;$G$1&amp;""&amp;L119&amp;"CE","Series/Expiry")</f>
        <v>26Dec2024</v>
      </c>
      <c r="C119" s="63">
        <f>RTD("nest.scriprtd",,"nse_fo|"&amp;$A$116&amp;""&amp;$G$1&amp;""&amp;L119&amp;"CE","Bid Qty")</f>
        <v>150</v>
      </c>
      <c r="D119" s="63">
        <f>RTD("nest.scriprtd",,"nse_fo|"&amp;$A$116&amp;""&amp;$G$1&amp;""&amp;L119&amp;"CE","Bid Rate")</f>
        <v>319.39999999999998</v>
      </c>
      <c r="E119" s="63">
        <f>RTD("nest.scriprtd",,"nse_fo|"&amp;$A$116&amp;""&amp;$G$1&amp;""&amp;L119&amp;"CE","Ask Rate")</f>
        <v>326.8</v>
      </c>
      <c r="F119" s="63">
        <f>RTD("nest.scriprtd",,"nse_fo|"&amp;$A$116&amp;""&amp;$G$1&amp;""&amp;L119&amp;"CE","Ask Qty")</f>
        <v>150</v>
      </c>
      <c r="G119" s="84">
        <f>RTD("nest.scriprtd",,"nse_fo|"&amp;$A$116&amp;""&amp;$G$1&amp;""&amp;L119&amp;"CE","LTP")</f>
        <v>334.15</v>
      </c>
      <c r="H119" s="63">
        <f>RTD("nest.scriprtd",,"nse_fo|"&amp;$A$116&amp;""&amp;$G$1&amp;""&amp;L119&amp;"CE","ATP")</f>
        <v>293.63</v>
      </c>
      <c r="I119" s="63">
        <f>RTD("nest.scriprtd",,"nse_fo|"&amp;$A$116&amp;""&amp;$G$1&amp;""&amp;L119&amp;"CE","Volume Traded Today")</f>
        <v>6000</v>
      </c>
      <c r="J119" s="63">
        <f>RTD("nest.scriprtd",,"nse_fo|"&amp;$A$116&amp;""&amp;$G$1&amp;""&amp;L119&amp;"CE","% Change")</f>
        <v>51.89</v>
      </c>
      <c r="K119" s="63">
        <f>RTD("nest.scriprtd",,"nse_fo|"&amp;$A$116&amp;""&amp;$G$1&amp;""&amp;L119&amp;"CE","Net Change")</f>
        <v>114.15</v>
      </c>
      <c r="L119" s="63">
        <v>4200</v>
      </c>
      <c r="M119" s="82" t="str">
        <f>RTD("nest.scriprtd",,"nse_fo|"&amp;$A$116&amp;""&amp;$G$1&amp;""&amp;L119&amp;"CE","Option Type")</f>
        <v>CE</v>
      </c>
      <c r="N119" s="58">
        <f t="shared" si="57"/>
        <v>85.1</v>
      </c>
      <c r="Q119" s="58">
        <f t="shared" si="54"/>
        <v>0</v>
      </c>
      <c r="R119" s="58">
        <f t="shared" si="55"/>
        <v>0</v>
      </c>
      <c r="Z119" s="58">
        <f t="shared" si="56"/>
        <v>0</v>
      </c>
    </row>
    <row r="120" spans="1:27" ht="15" x14ac:dyDescent="0.25">
      <c r="A120" s="63" t="str">
        <f>RTD("nest.scriprtd",,"nse_fo|"&amp;$A$116&amp;""&amp;$G$1&amp;""&amp;L120&amp;"CE","Symbol")</f>
        <v>HDFCAMC</v>
      </c>
      <c r="B120" s="63" t="str">
        <f>RTD("nest.scriprtd",,"nse_fo|"&amp;$A$116&amp;""&amp;$G$1&amp;""&amp;L120&amp;"CE","Series/Expiry")</f>
        <v>26Dec2024</v>
      </c>
      <c r="C120" s="63">
        <f>RTD("nest.scriprtd",,"nse_fo|"&amp;$A$116&amp;""&amp;$G$1&amp;""&amp;L120&amp;"CE","Bid Qty")</f>
        <v>150</v>
      </c>
      <c r="D120" s="63">
        <f>RTD("nest.scriprtd",,"nse_fo|"&amp;$A$116&amp;""&amp;$G$1&amp;""&amp;L120&amp;"CE","Bid Rate")</f>
        <v>272.35000000000002</v>
      </c>
      <c r="E120" s="63">
        <f>RTD("nest.scriprtd",,"nse_fo|"&amp;$A$116&amp;""&amp;$G$1&amp;""&amp;L120&amp;"CE","Ask Rate")</f>
        <v>285.85000000000002</v>
      </c>
      <c r="F120" s="63">
        <f>RTD("nest.scriprtd",,"nse_fo|"&amp;$A$116&amp;""&amp;$G$1&amp;""&amp;L120&amp;"CE","Ask Qty")</f>
        <v>150</v>
      </c>
      <c r="G120" s="84">
        <f>RTD("nest.scriprtd",,"nse_fo|"&amp;$A$116&amp;""&amp;$G$1&amp;""&amp;L120&amp;"CE","LTP")</f>
        <v>253</v>
      </c>
      <c r="H120" s="63">
        <f>RTD("nest.scriprtd",,"nse_fo|"&amp;$A$116&amp;""&amp;$G$1&amp;""&amp;L120&amp;"CE","ATP")</f>
        <v>245.34</v>
      </c>
      <c r="I120" s="63">
        <f>RTD("nest.scriprtd",,"nse_fo|"&amp;$A$116&amp;""&amp;$G$1&amp;""&amp;L120&amp;"CE","Volume Traded Today")</f>
        <v>1500</v>
      </c>
      <c r="J120" s="63">
        <f>RTD("nest.scriprtd",,"nse_fo|"&amp;$A$116&amp;""&amp;$G$1&amp;""&amp;L120&amp;"CE","% Change")</f>
        <v>30.48</v>
      </c>
      <c r="K120" s="63">
        <f>RTD("nest.scriprtd",,"nse_fo|"&amp;$A$116&amp;""&amp;$G$1&amp;""&amp;L120&amp;"CE","Net Change")</f>
        <v>59.1</v>
      </c>
      <c r="L120" s="63">
        <f>+L119+D116</f>
        <v>4250</v>
      </c>
      <c r="M120" s="63" t="str">
        <f>RTD("nest.scriprtd",,"nse_fo|"&amp;$A$116&amp;""&amp;$G$1&amp;""&amp;L120&amp;"CE","Option Type")</f>
        <v>CE</v>
      </c>
      <c r="N120" s="58">
        <f t="shared" si="57"/>
        <v>85.1</v>
      </c>
      <c r="Q120" s="58">
        <f t="shared" si="54"/>
        <v>0</v>
      </c>
      <c r="R120" s="58">
        <f t="shared" si="55"/>
        <v>0</v>
      </c>
      <c r="Z120" s="58">
        <f t="shared" si="56"/>
        <v>0</v>
      </c>
    </row>
    <row r="121" spans="1:27" ht="15" x14ac:dyDescent="0.25">
      <c r="A121" s="63" t="str">
        <f>RTD("nest.scriprtd",,"nse_fo|"&amp;$A$116&amp;""&amp;$G$1&amp;""&amp;L121&amp;"CE","Symbol")</f>
        <v>HDFCAMC</v>
      </c>
      <c r="B121" s="63" t="str">
        <f>RTD("nest.scriprtd",,"nse_fo|"&amp;$A$116&amp;""&amp;$G$1&amp;""&amp;L121&amp;"CE","Series/Expiry")</f>
        <v>26Dec2024</v>
      </c>
      <c r="C121" s="63">
        <f>RTD("nest.scriprtd",,"nse_fo|"&amp;$A$116&amp;""&amp;$G$1&amp;""&amp;L121&amp;"CE","Bid Qty")</f>
        <v>150</v>
      </c>
      <c r="D121" s="63">
        <f>RTD("nest.scriprtd",,"nse_fo|"&amp;$A$116&amp;""&amp;$G$1&amp;""&amp;L121&amp;"CE","Bid Rate")</f>
        <v>236.65</v>
      </c>
      <c r="E121" s="63">
        <f>RTD("nest.scriprtd",,"nse_fo|"&amp;$A$116&amp;""&amp;$G$1&amp;""&amp;L121&amp;"CE","Ask Rate")</f>
        <v>241.2</v>
      </c>
      <c r="F121" s="63">
        <f>RTD("nest.scriprtd",,"nse_fo|"&amp;$A$116&amp;""&amp;$G$1&amp;""&amp;L121&amp;"CE","Ask Qty")</f>
        <v>150</v>
      </c>
      <c r="G121" s="84">
        <f>RTD("nest.scriprtd",,"nse_fo|"&amp;$A$116&amp;""&amp;$G$1&amp;""&amp;L121&amp;"CE","LTP")</f>
        <v>245.8</v>
      </c>
      <c r="H121" s="63">
        <f>RTD("nest.scriprtd",,"nse_fo|"&amp;$A$116&amp;""&amp;$G$1&amp;""&amp;L121&amp;"CE","ATP")</f>
        <v>172.89</v>
      </c>
      <c r="I121" s="63">
        <f>RTD("nest.scriprtd",,"nse_fo|"&amp;$A$116&amp;""&amp;$G$1&amp;""&amp;L121&amp;"CE","Volume Traded Today")</f>
        <v>45600</v>
      </c>
      <c r="J121" s="63">
        <f>RTD("nest.scriprtd",,"nse_fo|"&amp;$A$116&amp;""&amp;$G$1&amp;""&amp;L121&amp;"CE","% Change")</f>
        <v>61.07</v>
      </c>
      <c r="K121" s="63">
        <f>RTD("nest.scriprtd",,"nse_fo|"&amp;$A$116&amp;""&amp;$G$1&amp;""&amp;L121&amp;"CE","Net Change")</f>
        <v>93.2</v>
      </c>
      <c r="L121" s="63">
        <f>+L120+D116</f>
        <v>4300</v>
      </c>
      <c r="M121" s="63" t="str">
        <f>RTD("nest.scriprtd",,"nse_fo|"&amp;$A$116&amp;""&amp;$G$1&amp;""&amp;L121&amp;"CE","Option Type")</f>
        <v>CE</v>
      </c>
      <c r="N121" s="58">
        <f t="shared" si="57"/>
        <v>85.1</v>
      </c>
      <c r="Q121" s="58">
        <f t="shared" si="54"/>
        <v>0</v>
      </c>
      <c r="R121" s="58">
        <f t="shared" si="55"/>
        <v>0</v>
      </c>
      <c r="Z121" s="58">
        <f t="shared" si="56"/>
        <v>0</v>
      </c>
    </row>
    <row r="122" spans="1:27" ht="15" x14ac:dyDescent="0.25">
      <c r="A122" s="63" t="str">
        <f>RTD("nest.scriprtd",,"nse_fo|"&amp;$A$116&amp;""&amp;$G$1&amp;""&amp;L122&amp;"CE","Symbol")</f>
        <v>HDFCAMC</v>
      </c>
      <c r="B122" s="63" t="str">
        <f>RTD("nest.scriprtd",,"nse_fo|"&amp;$A$116&amp;""&amp;$G$1&amp;""&amp;L122&amp;"CE","Series/Expiry")</f>
        <v>26Dec2024</v>
      </c>
      <c r="C122" s="63">
        <f>RTD("nest.scriprtd",,"nse_fo|"&amp;$A$116&amp;""&amp;$G$1&amp;""&amp;L122&amp;"CE","Bid Qty")</f>
        <v>150</v>
      </c>
      <c r="D122" s="63">
        <f>RTD("nest.scriprtd",,"nse_fo|"&amp;$A$116&amp;""&amp;$G$1&amp;""&amp;L122&amp;"CE","Bid Rate")</f>
        <v>198.2</v>
      </c>
      <c r="E122" s="63">
        <f>RTD("nest.scriprtd",,"nse_fo|"&amp;$A$116&amp;""&amp;$G$1&amp;""&amp;L122&amp;"CE","Ask Rate")</f>
        <v>201.85</v>
      </c>
      <c r="F122" s="63">
        <f>RTD("nest.scriprtd",,"nse_fo|"&amp;$A$116&amp;""&amp;$G$1&amp;""&amp;L122&amp;"CE","Ask Qty")</f>
        <v>150</v>
      </c>
      <c r="G122" s="84">
        <f>RTD("nest.scriprtd",,"nse_fo|"&amp;$A$116&amp;""&amp;$G$1&amp;""&amp;L122&amp;"CE","LTP")</f>
        <v>200</v>
      </c>
      <c r="H122" s="63">
        <f>RTD("nest.scriprtd",,"nse_fo|"&amp;$A$116&amp;""&amp;$G$1&amp;""&amp;L122&amp;"CE","ATP")</f>
        <v>143.78</v>
      </c>
      <c r="I122" s="63">
        <f>RTD("nest.scriprtd",,"nse_fo|"&amp;$A$116&amp;""&amp;$G$1&amp;""&amp;L122&amp;"CE","Volume Traded Today")</f>
        <v>70350</v>
      </c>
      <c r="J122" s="63">
        <f>RTD("nest.scriprtd",,"nse_fo|"&amp;$A$116&amp;""&amp;$G$1&amp;""&amp;L122&amp;"CE","% Change")</f>
        <v>63.4</v>
      </c>
      <c r="K122" s="63">
        <f>RTD("nest.scriprtd",,"nse_fo|"&amp;$A$116&amp;""&amp;$G$1&amp;""&amp;L122&amp;"CE","Net Change")</f>
        <v>77.599999999999994</v>
      </c>
      <c r="L122" s="63">
        <f>+L121+D116</f>
        <v>4350</v>
      </c>
      <c r="M122" s="63" t="str">
        <f>RTD("nest.scriprtd",,"nse_fo|"&amp;$A$116&amp;""&amp;$G$1&amp;""&amp;L122&amp;"CE","Option Type")</f>
        <v>CE</v>
      </c>
      <c r="N122" s="58">
        <f t="shared" si="57"/>
        <v>85.1</v>
      </c>
      <c r="Q122" s="58">
        <f t="shared" si="54"/>
        <v>0</v>
      </c>
      <c r="R122" s="58">
        <f t="shared" si="55"/>
        <v>0</v>
      </c>
      <c r="Z122" s="58">
        <f t="shared" si="56"/>
        <v>0</v>
      </c>
    </row>
    <row r="123" spans="1:27" ht="15" x14ac:dyDescent="0.25">
      <c r="A123" s="63" t="str">
        <f>RTD("nest.scriprtd",,"nse_fo|"&amp;$A$116&amp;""&amp;$G$1&amp;""&amp;L123&amp;"CE","Symbol")</f>
        <v>HDFCAMC</v>
      </c>
      <c r="B123" s="63" t="str">
        <f>RTD("nest.scriprtd",,"nse_fo|"&amp;$A$116&amp;""&amp;$G$1&amp;""&amp;L123&amp;"CE","Series/Expiry")</f>
        <v>26Dec2024</v>
      </c>
      <c r="C123" s="63">
        <f>RTD("nest.scriprtd",,"nse_fo|"&amp;$A$116&amp;""&amp;$G$1&amp;""&amp;L123&amp;"CE","Bid Qty")</f>
        <v>150</v>
      </c>
      <c r="D123" s="63">
        <f>RTD("nest.scriprtd",,"nse_fo|"&amp;$A$116&amp;""&amp;$G$1&amp;""&amp;L123&amp;"CE","Bid Rate")</f>
        <v>164.75</v>
      </c>
      <c r="E123" s="63">
        <f>RTD("nest.scriprtd",,"nse_fo|"&amp;$A$116&amp;""&amp;$G$1&amp;""&amp;L123&amp;"CE","Ask Rate")</f>
        <v>165.95</v>
      </c>
      <c r="F123" s="63">
        <f>RTD("nest.scriprtd",,"nse_fo|"&amp;$A$116&amp;""&amp;$G$1&amp;""&amp;L123&amp;"CE","Ask Qty")</f>
        <v>150</v>
      </c>
      <c r="G123" s="84">
        <f>RTD("nest.scriprtd",,"nse_fo|"&amp;$A$116&amp;""&amp;$G$1&amp;""&amp;L123&amp;"CE","LTP")</f>
        <v>165.45</v>
      </c>
      <c r="H123" s="63">
        <f>RTD("nest.scriprtd",,"nse_fo|"&amp;$A$116&amp;""&amp;$G$1&amp;""&amp;L123&amp;"CE","ATP")</f>
        <v>129.69999999999999</v>
      </c>
      <c r="I123" s="63">
        <f>RTD("nest.scriprtd",,"nse_fo|"&amp;$A$116&amp;""&amp;$G$1&amp;""&amp;L123&amp;"CE","Volume Traded Today")</f>
        <v>593700</v>
      </c>
      <c r="J123" s="63">
        <f>RTD("nest.scriprtd",,"nse_fo|"&amp;$A$116&amp;""&amp;$G$1&amp;""&amp;L123&amp;"CE","% Change")</f>
        <v>68.569999999999993</v>
      </c>
      <c r="K123" s="63">
        <f>RTD("nest.scriprtd",,"nse_fo|"&amp;$A$116&amp;""&amp;$G$1&amp;""&amp;L123&amp;"CE","Net Change")</f>
        <v>67.3</v>
      </c>
      <c r="L123" s="63">
        <f>+L122+D116</f>
        <v>4400</v>
      </c>
      <c r="M123" s="63" t="str">
        <f>RTD("nest.scriprtd",,"nse_fo|"&amp;$A$116&amp;""&amp;$G$1&amp;""&amp;L123&amp;"CE","Option Type")</f>
        <v>CE</v>
      </c>
      <c r="N123" s="58">
        <f t="shared" si="57"/>
        <v>85.1</v>
      </c>
      <c r="Q123" s="58">
        <f t="shared" si="54"/>
        <v>0</v>
      </c>
      <c r="R123" s="58">
        <f t="shared" si="55"/>
        <v>0</v>
      </c>
      <c r="Z123" s="58">
        <f t="shared" si="56"/>
        <v>0</v>
      </c>
    </row>
    <row r="124" spans="1:27" ht="15" x14ac:dyDescent="0.25">
      <c r="A124" s="63" t="str">
        <f>RTD("nest.scriprtd",,"nse_fo|"&amp;$A$116&amp;""&amp;$G$1&amp;""&amp;L124&amp;"CE","Symbol")</f>
        <v>HDFCAMC</v>
      </c>
      <c r="B124" s="63" t="str">
        <f>RTD("nest.scriprtd",,"nse_fo|"&amp;$A$116&amp;""&amp;$G$1&amp;""&amp;L124&amp;"CE","Series/Expiry")</f>
        <v>26Dec2024</v>
      </c>
      <c r="C124" s="63">
        <f>RTD("nest.scriprtd",,"nse_fo|"&amp;$A$116&amp;""&amp;$G$1&amp;""&amp;L124&amp;"CE","Bid Qty")</f>
        <v>150</v>
      </c>
      <c r="D124" s="63">
        <f>RTD("nest.scriprtd",,"nse_fo|"&amp;$A$116&amp;""&amp;$G$1&amp;""&amp;L124&amp;"CE","Bid Rate")</f>
        <v>134</v>
      </c>
      <c r="E124" s="63">
        <f>RTD("nest.scriprtd",,"nse_fo|"&amp;$A$116&amp;""&amp;$G$1&amp;""&amp;L124&amp;"CE","Ask Rate")</f>
        <v>135.85</v>
      </c>
      <c r="F124" s="63">
        <f>RTD("nest.scriprtd",,"nse_fo|"&amp;$A$116&amp;""&amp;$G$1&amp;""&amp;L124&amp;"CE","Ask Qty")</f>
        <v>150</v>
      </c>
      <c r="G124" s="84">
        <f>RTD("nest.scriprtd",,"nse_fo|"&amp;$A$116&amp;""&amp;$G$1&amp;""&amp;L124&amp;"CE","LTP")</f>
        <v>134.9</v>
      </c>
      <c r="H124" s="63">
        <f>RTD("nest.scriprtd",,"nse_fo|"&amp;$A$116&amp;""&amp;$G$1&amp;""&amp;L124&amp;"CE","ATP")</f>
        <v>110.17</v>
      </c>
      <c r="I124" s="63">
        <f>RTD("nest.scriprtd",,"nse_fo|"&amp;$A$116&amp;""&amp;$G$1&amp;""&amp;L124&amp;"CE","Volume Traded Today")</f>
        <v>234750</v>
      </c>
      <c r="J124" s="63">
        <f>RTD("nest.scriprtd",,"nse_fo|"&amp;$A$116&amp;""&amp;$G$1&amp;""&amp;L124&amp;"CE","% Change")</f>
        <v>75.08</v>
      </c>
      <c r="K124" s="63">
        <f>RTD("nest.scriprtd",,"nse_fo|"&amp;$A$116&amp;""&amp;$G$1&amp;""&amp;L124&amp;"CE","Net Change")</f>
        <v>57.85</v>
      </c>
      <c r="L124" s="63">
        <f>+L123+D116</f>
        <v>4450</v>
      </c>
      <c r="M124" s="63" t="str">
        <f>RTD("nest.scriprtd",,"nse_fo|"&amp;$A$116&amp;""&amp;$G$1&amp;""&amp;L124&amp;"CE","Option Type")</f>
        <v>CE</v>
      </c>
      <c r="N124" s="58">
        <f t="shared" si="57"/>
        <v>85.1</v>
      </c>
      <c r="Q124" s="58">
        <f t="shared" si="54"/>
        <v>0</v>
      </c>
      <c r="R124" s="58">
        <f t="shared" si="55"/>
        <v>0</v>
      </c>
      <c r="Z124" s="58">
        <f t="shared" si="56"/>
        <v>0</v>
      </c>
    </row>
    <row r="125" spans="1:27" ht="15" x14ac:dyDescent="0.25">
      <c r="A125" s="63" t="str">
        <f>RTD("nest.scriprtd",,"nse_fo|"&amp;$A$116&amp;""&amp;$G$1&amp;""&amp;L125&amp;"CE","Symbol")</f>
        <v>HDFCAMC</v>
      </c>
      <c r="B125" s="63" t="str">
        <f>RTD("nest.scriprtd",,"nse_fo|"&amp;$A$116&amp;""&amp;$G$1&amp;""&amp;L125&amp;"CE","Series/Expiry")</f>
        <v>26Dec2024</v>
      </c>
      <c r="C125" s="63">
        <f>RTD("nest.scriprtd",,"nse_fo|"&amp;$A$116&amp;""&amp;$G$1&amp;""&amp;L125&amp;"CE","Bid Qty")</f>
        <v>150</v>
      </c>
      <c r="D125" s="63">
        <f>RTD("nest.scriprtd",,"nse_fo|"&amp;$A$116&amp;""&amp;$G$1&amp;""&amp;L125&amp;"CE","Bid Rate")</f>
        <v>108.55</v>
      </c>
      <c r="E125" s="63">
        <f>RTD("nest.scriprtd",,"nse_fo|"&amp;$A$116&amp;""&amp;$G$1&amp;""&amp;L125&amp;"CE","Ask Rate")</f>
        <v>109.6</v>
      </c>
      <c r="F125" s="63">
        <f>RTD("nest.scriprtd",,"nse_fo|"&amp;$A$116&amp;""&amp;$G$1&amp;""&amp;L125&amp;"CE","Ask Qty")</f>
        <v>150</v>
      </c>
      <c r="G125" s="84">
        <f>RTD("nest.scriprtd",,"nse_fo|"&amp;$A$116&amp;""&amp;$G$1&amp;""&amp;L125&amp;"CE","LTP")</f>
        <v>109</v>
      </c>
      <c r="H125" s="63">
        <f>RTD("nest.scriprtd",,"nse_fo|"&amp;$A$116&amp;""&amp;$G$1&amp;""&amp;L125&amp;"CE","ATP")</f>
        <v>92.1</v>
      </c>
      <c r="I125" s="63">
        <f>RTD("nest.scriprtd",,"nse_fo|"&amp;$A$116&amp;""&amp;$G$1&amp;""&amp;L125&amp;"CE","Volume Traded Today")</f>
        <v>892650</v>
      </c>
      <c r="J125" s="63">
        <f>RTD("nest.scriprtd",,"nse_fo|"&amp;$A$116&amp;""&amp;$G$1&amp;""&amp;L125&amp;"CE","% Change")</f>
        <v>84.59</v>
      </c>
      <c r="K125" s="63">
        <f>RTD("nest.scriprtd",,"nse_fo|"&amp;$A$116&amp;""&amp;$G$1&amp;""&amp;L125&amp;"CE","Net Change")</f>
        <v>49.95</v>
      </c>
      <c r="L125" s="63">
        <f>+L124+D116</f>
        <v>4500</v>
      </c>
      <c r="M125" s="63" t="str">
        <f>RTD("nest.scriprtd",,"nse_fo|"&amp;$A$116&amp;""&amp;$G$1&amp;""&amp;L125&amp;"CE","Option Type")</f>
        <v>CE</v>
      </c>
      <c r="N125" s="58">
        <f t="shared" si="57"/>
        <v>85.1</v>
      </c>
      <c r="Q125" s="58">
        <f t="shared" si="54"/>
        <v>0</v>
      </c>
      <c r="R125" s="58">
        <f t="shared" si="55"/>
        <v>0</v>
      </c>
      <c r="Z125" s="58">
        <f t="shared" si="56"/>
        <v>0</v>
      </c>
    </row>
    <row r="126" spans="1:27" ht="15" x14ac:dyDescent="0.25">
      <c r="A126" s="63" t="str">
        <f>RTD("nest.scriprtd",,"nse_fo|"&amp;$A$116&amp;""&amp;$G$1&amp;""&amp;L126&amp;"CE","Symbol")</f>
        <v>HDFCAMC</v>
      </c>
      <c r="B126" s="63" t="str">
        <f>RTD("nest.scriprtd",,"nse_fo|"&amp;$A$116&amp;""&amp;$G$1&amp;""&amp;L126&amp;"CE","Series/Expiry")</f>
        <v>26Dec2024</v>
      </c>
      <c r="C126" s="63">
        <f>RTD("nest.scriprtd",,"nse_fo|"&amp;$A$116&amp;""&amp;$G$1&amp;""&amp;L126&amp;"CE","Bid Qty")</f>
        <v>150</v>
      </c>
      <c r="D126" s="63">
        <f>RTD("nest.scriprtd",,"nse_fo|"&amp;$A$116&amp;""&amp;$G$1&amp;""&amp;L126&amp;"CE","Bid Rate")</f>
        <v>85.35</v>
      </c>
      <c r="E126" s="63">
        <f>RTD("nest.scriprtd",,"nse_fo|"&amp;$A$116&amp;""&amp;$G$1&amp;""&amp;L126&amp;"CE","Ask Rate")</f>
        <v>86.6</v>
      </c>
      <c r="F126" s="63">
        <f>RTD("nest.scriprtd",,"nse_fo|"&amp;$A$116&amp;""&amp;$G$1&amp;""&amp;L126&amp;"CE","Ask Qty")</f>
        <v>150</v>
      </c>
      <c r="G126" s="84">
        <f>RTD("nest.scriprtd",,"nse_fo|"&amp;$A$116&amp;""&amp;$G$1&amp;""&amp;L126&amp;"CE","LTP")</f>
        <v>85.1</v>
      </c>
      <c r="H126" s="63">
        <f>RTD("nest.scriprtd",,"nse_fo|"&amp;$A$116&amp;""&amp;$G$1&amp;""&amp;L126&amp;"CE","ATP")</f>
        <v>79.430000000000007</v>
      </c>
      <c r="I126" s="63">
        <f>RTD("nest.scriprtd",,"nse_fo|"&amp;$A$116&amp;""&amp;$G$1&amp;""&amp;L126&amp;"CE","Volume Traded Today")</f>
        <v>82050</v>
      </c>
      <c r="J126" s="63">
        <f>RTD("nest.scriprtd",,"nse_fo|"&amp;$A$116&amp;""&amp;$G$1&amp;""&amp;L126&amp;"CE","% Change")</f>
        <v>93.41</v>
      </c>
      <c r="K126" s="63">
        <f>RTD("nest.scriprtd",,"nse_fo|"&amp;$A$116&amp;""&amp;$G$1&amp;""&amp;L126&amp;"CE","Net Change")</f>
        <v>41.1</v>
      </c>
      <c r="L126" s="63">
        <f>+L125+D116</f>
        <v>4550</v>
      </c>
      <c r="M126" s="63" t="str">
        <f>RTD("nest.scriprtd",,"nse_fo|"&amp;$A$116&amp;""&amp;$G$1&amp;""&amp;L126&amp;"CE","Option Type")</f>
        <v>CE</v>
      </c>
      <c r="N126" s="58">
        <f t="shared" si="57"/>
        <v>85.1</v>
      </c>
      <c r="Q126" s="58">
        <f t="shared" si="54"/>
        <v>0</v>
      </c>
      <c r="R126" s="58">
        <f t="shared" si="55"/>
        <v>0</v>
      </c>
      <c r="Z126" s="58">
        <f t="shared" si="56"/>
        <v>0</v>
      </c>
    </row>
    <row r="127" spans="1:27" ht="15" x14ac:dyDescent="0.25">
      <c r="A127" s="63" t="str">
        <f>RTD("nest.scriprtd",,"nse_fo|"&amp;$A$116&amp;""&amp;$G$1&amp;""&amp;L127&amp;"CE","Symbol")</f>
        <v>HDFCAMC</v>
      </c>
      <c r="B127" s="63" t="str">
        <f>RTD("nest.scriprtd",,"nse_fo|"&amp;$A$116&amp;""&amp;$G$1&amp;""&amp;L127&amp;"PE","Series/Expiry")</f>
        <v>26Dec2024</v>
      </c>
      <c r="C127" s="63">
        <f>RTD("nest.scriprtd",,"nse_fo|"&amp;$A$116&amp;""&amp;$G$1&amp;""&amp;L127&amp;"PE","Bid Qty")</f>
        <v>300</v>
      </c>
      <c r="D127" s="63">
        <f>RTD("nest.scriprtd",,"nse_fo|"&amp;$A$116&amp;""&amp;$G$1&amp;""&amp;L127&amp;"PE","Bid Rate")</f>
        <v>5.65</v>
      </c>
      <c r="E127" s="63">
        <f>RTD("nest.scriprtd",,"nse_fo|"&amp;$A$116&amp;""&amp;$G$1&amp;""&amp;L127&amp;"PE","Ask Rate")</f>
        <v>5.8</v>
      </c>
      <c r="F127" s="63">
        <f>RTD("nest.scriprtd",,"nse_fo|"&amp;$A$116&amp;""&amp;$G$1&amp;""&amp;L127&amp;"PE","Ask Qty")</f>
        <v>150</v>
      </c>
      <c r="G127" s="84">
        <f>RTD("nest.scriprtd",,"nse_fo|"&amp;$A$116&amp;""&amp;$G$1&amp;""&amp;L127&amp;"PE","LTP")</f>
        <v>5.8</v>
      </c>
      <c r="H127" s="63">
        <f>RTD("nest.scriprtd",,"nse_fo|"&amp;$A$116&amp;""&amp;$G$1&amp;""&amp;L127&amp;"PE","ATP")</f>
        <v>7.44</v>
      </c>
      <c r="I127" s="63">
        <f>RTD("nest.scriprtd",,"nse_fo|"&amp;$A$116&amp;""&amp;$G$1&amp;""&amp;L127&amp;"PE","Volume Traded Today")</f>
        <v>33600</v>
      </c>
      <c r="J127" s="63">
        <f>RTD("nest.scriprtd",,"nse_fo|"&amp;$A$116&amp;""&amp;$G$1&amp;""&amp;L127&amp;"PE","% Change")</f>
        <v>-46.54</v>
      </c>
      <c r="K127" s="63">
        <f>RTD("nest.scriprtd",,"nse_fo|"&amp;$A$116&amp;""&amp;$G$1&amp;""&amp;L127&amp;"PE","Net Change")</f>
        <v>-5.05</v>
      </c>
      <c r="L127" s="63">
        <v>4000</v>
      </c>
      <c r="M127" s="82" t="str">
        <f>RTD("nest.scriprtd",,"nse_fo|"&amp;$A$116&amp;""&amp;$G$1&amp;""&amp;L127&amp;"PE","Option Type")</f>
        <v>PE</v>
      </c>
      <c r="N127" s="58">
        <f t="shared" si="57"/>
        <v>5.8</v>
      </c>
      <c r="Q127" s="58">
        <f t="shared" si="54"/>
        <v>0</v>
      </c>
      <c r="R127" s="58">
        <f t="shared" si="55"/>
        <v>0</v>
      </c>
      <c r="Z127" s="58">
        <f t="shared" si="56"/>
        <v>0</v>
      </c>
    </row>
    <row r="128" spans="1:27" ht="15" x14ac:dyDescent="0.25">
      <c r="A128" s="63" t="str">
        <f>RTD("nest.scriprtd",,"nse_fo|"&amp;$A$116&amp;""&amp;$G$1&amp;""&amp;L128&amp;"CE","Symbol")</f>
        <v>HDFCAMC</v>
      </c>
      <c r="B128" s="63" t="str">
        <f>RTD("nest.scriprtd",,"nse_fo|"&amp;$A$116&amp;""&amp;$G$1&amp;""&amp;L128&amp;"PE","Series/Expiry")</f>
        <v>26Dec2024</v>
      </c>
      <c r="C128" s="63">
        <f>RTD("nest.scriprtd",,"nse_fo|"&amp;$A$116&amp;""&amp;$G$1&amp;""&amp;L128&amp;"PE","Bid Qty")</f>
        <v>150</v>
      </c>
      <c r="D128" s="63">
        <f>RTD("nest.scriprtd",,"nse_fo|"&amp;$A$116&amp;""&amp;$G$1&amp;""&amp;L128&amp;"PE","Bid Rate")</f>
        <v>7.05</v>
      </c>
      <c r="E128" s="63">
        <f>RTD("nest.scriprtd",,"nse_fo|"&amp;$A$116&amp;""&amp;$G$1&amp;""&amp;L128&amp;"PE","Ask Rate")</f>
        <v>7.25</v>
      </c>
      <c r="F128" s="63">
        <f>RTD("nest.scriprtd",,"nse_fo|"&amp;$A$116&amp;""&amp;$G$1&amp;""&amp;L128&amp;"PE","Ask Qty")</f>
        <v>300</v>
      </c>
      <c r="G128" s="84">
        <f>RTD("nest.scriprtd",,"nse_fo|"&amp;$A$116&amp;""&amp;$G$1&amp;""&amp;L128&amp;"PE","LTP")</f>
        <v>7.25</v>
      </c>
      <c r="H128" s="63">
        <f>RTD("nest.scriprtd",,"nse_fo|"&amp;$A$116&amp;""&amp;$G$1&amp;""&amp;L128&amp;"PE","ATP")</f>
        <v>7.81</v>
      </c>
      <c r="I128" s="63">
        <f>RTD("nest.scriprtd",,"nse_fo|"&amp;$A$116&amp;""&amp;$G$1&amp;""&amp;L128&amp;"PE","Volume Traded Today")</f>
        <v>14550</v>
      </c>
      <c r="J128" s="63">
        <f>RTD("nest.scriprtd",,"nse_fo|"&amp;$A$116&amp;""&amp;$G$1&amp;""&amp;L128&amp;"PE","% Change")</f>
        <v>-48.58</v>
      </c>
      <c r="K128" s="63">
        <f>RTD("nest.scriprtd",,"nse_fo|"&amp;$A$116&amp;""&amp;$G$1&amp;""&amp;L128&amp;"PE","Net Change")</f>
        <v>-6.85</v>
      </c>
      <c r="L128" s="63">
        <f>+L127+D116</f>
        <v>4050</v>
      </c>
      <c r="M128" s="63" t="str">
        <f>RTD("nest.scriprtd",,"nse_fo|"&amp;$A$116&amp;""&amp;$G$1&amp;""&amp;L128&amp;"PE","Option Type")</f>
        <v>PE</v>
      </c>
      <c r="N128" s="58">
        <f t="shared" si="57"/>
        <v>7.25</v>
      </c>
      <c r="Q128" s="58">
        <f t="shared" si="54"/>
        <v>0</v>
      </c>
      <c r="R128" s="58">
        <f t="shared" si="55"/>
        <v>0</v>
      </c>
      <c r="Z128" s="58">
        <f t="shared" si="56"/>
        <v>0</v>
      </c>
    </row>
    <row r="129" spans="1:27" ht="15" x14ac:dyDescent="0.25">
      <c r="A129" s="63" t="str">
        <f>RTD("nest.scriprtd",,"nse_fo|"&amp;$A$116&amp;""&amp;$G$1&amp;""&amp;L129&amp;"CE","Symbol")</f>
        <v>HDFCAMC</v>
      </c>
      <c r="B129" s="63" t="str">
        <f>RTD("nest.scriprtd",,"nse_fo|"&amp;$A$116&amp;""&amp;$G$1&amp;""&amp;L129&amp;"PE","Series/Expiry")</f>
        <v>26Dec2024</v>
      </c>
      <c r="C129" s="63">
        <f>RTD("nest.scriprtd",,"nse_fo|"&amp;$A$116&amp;""&amp;$G$1&amp;""&amp;L129&amp;"PE","Bid Qty")</f>
        <v>150</v>
      </c>
      <c r="D129" s="63">
        <f>RTD("nest.scriprtd",,"nse_fo|"&amp;$A$116&amp;""&amp;$G$1&amp;""&amp;L129&amp;"PE","Bid Rate")</f>
        <v>9.1</v>
      </c>
      <c r="E129" s="63">
        <f>RTD("nest.scriprtd",,"nse_fo|"&amp;$A$116&amp;""&amp;$G$1&amp;""&amp;L129&amp;"PE","Ask Rate")</f>
        <v>9.35</v>
      </c>
      <c r="F129" s="63">
        <f>RTD("nest.scriprtd",,"nse_fo|"&amp;$A$116&amp;""&amp;$G$1&amp;""&amp;L129&amp;"PE","Ask Qty")</f>
        <v>1050</v>
      </c>
      <c r="G129" s="84">
        <f>RTD("nest.scriprtd",,"nse_fo|"&amp;$A$116&amp;""&amp;$G$1&amp;""&amp;L129&amp;"PE","LTP")</f>
        <v>9.25</v>
      </c>
      <c r="H129" s="63">
        <f>RTD("nest.scriprtd",,"nse_fo|"&amp;$A$116&amp;""&amp;$G$1&amp;""&amp;L129&amp;"PE","ATP")</f>
        <v>12.12</v>
      </c>
      <c r="I129" s="63">
        <f>RTD("nest.scriprtd",,"nse_fo|"&amp;$A$116&amp;""&amp;$G$1&amp;""&amp;L129&amp;"PE","Volume Traded Today")</f>
        <v>33000</v>
      </c>
      <c r="J129" s="63">
        <f>RTD("nest.scriprtd",,"nse_fo|"&amp;$A$116&amp;""&amp;$G$1&amp;""&amp;L129&amp;"PE","% Change")</f>
        <v>-51.32</v>
      </c>
      <c r="K129" s="63">
        <f>RTD("nest.scriprtd",,"nse_fo|"&amp;$A$116&amp;""&amp;$G$1&amp;""&amp;L129&amp;"PE","Net Change")</f>
        <v>-9.75</v>
      </c>
      <c r="L129" s="63">
        <f>+L128+D116</f>
        <v>4100</v>
      </c>
      <c r="M129" s="63" t="str">
        <f>RTD("nest.scriprtd",,"nse_fo|"&amp;$A$116&amp;""&amp;$G$1&amp;""&amp;L129&amp;"PE","Option Type")</f>
        <v>PE</v>
      </c>
      <c r="N129" s="58">
        <f t="shared" si="57"/>
        <v>9.25</v>
      </c>
      <c r="Q129" s="58">
        <f t="shared" si="54"/>
        <v>0</v>
      </c>
      <c r="R129" s="58">
        <f t="shared" si="55"/>
        <v>0</v>
      </c>
      <c r="Z129" s="58">
        <f t="shared" si="56"/>
        <v>0</v>
      </c>
    </row>
    <row r="130" spans="1:27" ht="15" x14ac:dyDescent="0.25">
      <c r="A130" s="63" t="str">
        <f>RTD("nest.scriprtd",,"nse_fo|"&amp;$A$116&amp;""&amp;$G$1&amp;""&amp;L130&amp;"CE","Symbol")</f>
        <v>HDFCAMC</v>
      </c>
      <c r="B130" s="63" t="str">
        <f>RTD("nest.scriprtd",,"nse_fo|"&amp;$A$116&amp;""&amp;$G$1&amp;""&amp;L130&amp;"PE","Series/Expiry")</f>
        <v>26Dec2024</v>
      </c>
      <c r="C130" s="63">
        <f>RTD("nest.scriprtd",,"nse_fo|"&amp;$A$116&amp;""&amp;$G$1&amp;""&amp;L130&amp;"PE","Bid Qty")</f>
        <v>750</v>
      </c>
      <c r="D130" s="63">
        <f>RTD("nest.scriprtd",,"nse_fo|"&amp;$A$116&amp;""&amp;$G$1&amp;""&amp;L130&amp;"PE","Bid Rate")</f>
        <v>11.85</v>
      </c>
      <c r="E130" s="63">
        <f>RTD("nest.scriprtd",,"nse_fo|"&amp;$A$116&amp;""&amp;$G$1&amp;""&amp;L130&amp;"PE","Ask Rate")</f>
        <v>12.4</v>
      </c>
      <c r="F130" s="63">
        <f>RTD("nest.scriprtd",,"nse_fo|"&amp;$A$116&amp;""&amp;$G$1&amp;""&amp;L130&amp;"PE","Ask Qty")</f>
        <v>150</v>
      </c>
      <c r="G130" s="84">
        <f>RTD("nest.scriprtd",,"nse_fo|"&amp;$A$116&amp;""&amp;$G$1&amp;""&amp;L130&amp;"PE","LTP")</f>
        <v>13.6</v>
      </c>
      <c r="H130" s="63">
        <f>RTD("nest.scriprtd",,"nse_fo|"&amp;$A$116&amp;""&amp;$G$1&amp;""&amp;L130&amp;"PE","ATP")</f>
        <v>13.71</v>
      </c>
      <c r="I130" s="63">
        <f>RTD("nest.scriprtd",,"nse_fo|"&amp;$A$116&amp;""&amp;$G$1&amp;""&amp;L130&amp;"PE","Volume Traded Today")</f>
        <v>10950</v>
      </c>
      <c r="J130" s="63">
        <f>RTD("nest.scriprtd",,"nse_fo|"&amp;$A$116&amp;""&amp;$G$1&amp;""&amp;L130&amp;"PE","% Change")</f>
        <v>-74.02</v>
      </c>
      <c r="K130" s="63">
        <f>RTD("nest.scriprtd",,"nse_fo|"&amp;$A$116&amp;""&amp;$G$1&amp;""&amp;L130&amp;"PE","Net Change")</f>
        <v>-38.75</v>
      </c>
      <c r="L130" s="63">
        <f>+L129+D116</f>
        <v>4150</v>
      </c>
      <c r="M130" s="63" t="str">
        <f>RTD("nest.scriprtd",,"nse_fo|"&amp;$A$116&amp;""&amp;$G$1&amp;""&amp;L130&amp;"PE","Option Type")</f>
        <v>PE</v>
      </c>
      <c r="N130" s="58">
        <f t="shared" si="57"/>
        <v>13.6</v>
      </c>
      <c r="Q130" s="58">
        <f t="shared" si="54"/>
        <v>0</v>
      </c>
      <c r="R130" s="58">
        <f t="shared" si="55"/>
        <v>0</v>
      </c>
      <c r="Z130" s="58">
        <f t="shared" si="56"/>
        <v>0</v>
      </c>
    </row>
    <row r="131" spans="1:27" ht="15" x14ac:dyDescent="0.25">
      <c r="A131" s="63" t="str">
        <f>RTD("nest.scriprtd",,"nse_fo|"&amp;$A$116&amp;""&amp;$G$1&amp;""&amp;L131&amp;"CE","Symbol")</f>
        <v>HDFCAMC</v>
      </c>
      <c r="B131" s="63" t="str">
        <f>RTD("nest.scriprtd",,"nse_fo|"&amp;$A$116&amp;""&amp;$G$1&amp;""&amp;L131&amp;"PE","Series/Expiry")</f>
        <v>26Dec2024</v>
      </c>
      <c r="C131" s="63">
        <f>RTD("nest.scriprtd",,"nse_fo|"&amp;$A$116&amp;""&amp;$G$1&amp;""&amp;L131&amp;"PE","Bid Qty")</f>
        <v>150</v>
      </c>
      <c r="D131" s="63">
        <f>RTD("nest.scriprtd",,"nse_fo|"&amp;$A$116&amp;""&amp;$G$1&amp;""&amp;L131&amp;"PE","Bid Rate")</f>
        <v>16.25</v>
      </c>
      <c r="E131" s="63">
        <f>RTD("nest.scriprtd",,"nse_fo|"&amp;$A$116&amp;""&amp;$G$1&amp;""&amp;L131&amp;"PE","Ask Rate")</f>
        <v>16.600000000000001</v>
      </c>
      <c r="F131" s="63">
        <f>RTD("nest.scriprtd",,"nse_fo|"&amp;$A$116&amp;""&amp;$G$1&amp;""&amp;L131&amp;"PE","Ask Qty")</f>
        <v>150</v>
      </c>
      <c r="G131" s="84">
        <f>RTD("nest.scriprtd",,"nse_fo|"&amp;$A$116&amp;""&amp;$G$1&amp;""&amp;L131&amp;"PE","LTP")</f>
        <v>16.350000000000001</v>
      </c>
      <c r="H131" s="63">
        <f>RTD("nest.scriprtd",,"nse_fo|"&amp;$A$116&amp;""&amp;$G$1&amp;""&amp;L131&amp;"PE","ATP")</f>
        <v>21.55</v>
      </c>
      <c r="I131" s="63">
        <f>RTD("nest.scriprtd",,"nse_fo|"&amp;$A$116&amp;""&amp;$G$1&amp;""&amp;L131&amp;"PE","Volume Traded Today")</f>
        <v>136350</v>
      </c>
      <c r="J131" s="63">
        <f>RTD("nest.scriprtd",,"nse_fo|"&amp;$A$116&amp;""&amp;$G$1&amp;""&amp;L131&amp;"PE","% Change")</f>
        <v>-53.02</v>
      </c>
      <c r="K131" s="63">
        <f>RTD("nest.scriprtd",,"nse_fo|"&amp;$A$116&amp;""&amp;$G$1&amp;""&amp;L131&amp;"PE","Net Change")</f>
        <v>-18.45</v>
      </c>
      <c r="L131" s="63">
        <f>+L130+D116</f>
        <v>4200</v>
      </c>
      <c r="M131" s="63" t="str">
        <f>RTD("nest.scriprtd",,"nse_fo|"&amp;$A$116&amp;""&amp;$G$1&amp;""&amp;L131&amp;"PE","Option Type")</f>
        <v>PE</v>
      </c>
      <c r="N131" s="58">
        <f t="shared" si="57"/>
        <v>16.350000000000001</v>
      </c>
      <c r="Q131" s="58">
        <f t="shared" si="54"/>
        <v>0</v>
      </c>
      <c r="R131" s="58">
        <f t="shared" si="55"/>
        <v>0</v>
      </c>
      <c r="S131" s="58">
        <f>+SUM(R117:R126)-SUM(R127:R131)</f>
        <v>0</v>
      </c>
      <c r="T131" s="58">
        <f>SUM(R119:R131)-R129</f>
        <v>0</v>
      </c>
      <c r="U131" s="63" t="e">
        <f>+S131/T131</f>
        <v>#DIV/0!</v>
      </c>
      <c r="Z131" s="58">
        <f t="shared" si="56"/>
        <v>0</v>
      </c>
      <c r="AA131" s="58">
        <f>SUM(Z117:Z131)</f>
        <v>0</v>
      </c>
    </row>
    <row r="133" spans="1:27" ht="15" x14ac:dyDescent="0.25">
      <c r="A133" s="58" t="s">
        <v>15</v>
      </c>
      <c r="B133" s="58" t="str">
        <f>$A$133&amp;"-EQ"</f>
        <v>JUBLFOOD-EQ</v>
      </c>
      <c r="C133" s="58" t="s">
        <v>168</v>
      </c>
      <c r="D133" s="63">
        <v>10</v>
      </c>
      <c r="E133" s="57">
        <v>1250</v>
      </c>
      <c r="F133" s="63"/>
      <c r="G133" s="85"/>
      <c r="K133" s="63"/>
      <c r="L133" s="63"/>
      <c r="M133" s="63"/>
    </row>
    <row r="134" spans="1:27" ht="15" x14ac:dyDescent="0.25">
      <c r="A134" s="63" t="str">
        <f>RTD("nest.scriprtd",,"nse_fo|"&amp;$A$133&amp;""&amp;$G$1&amp;""&amp;C133&amp;"","Symbol")</f>
        <v>JUBLFOOD</v>
      </c>
      <c r="B134" s="63" t="str">
        <f>RTD("nest.scriprtd",,"nse_fo|"&amp;$A$133&amp;""&amp;$G$1&amp;""&amp;C133&amp;"","Series/Expiry")</f>
        <v>26Dec2024</v>
      </c>
      <c r="C134" s="63">
        <f>RTD("nest.scriprtd",,"nse_fo|"&amp;$A$133&amp;""&amp;$G$1&amp;""&amp;C133&amp;"","Bid Qty")</f>
        <v>1250</v>
      </c>
      <c r="D134" s="63">
        <f>RTD("nest.scriprtd",,"nse_fo|"&amp;$A$133&amp;""&amp;$G$1&amp;""&amp;C133&amp;"","Bid Rate")</f>
        <v>694.55</v>
      </c>
      <c r="E134" s="63">
        <f>RTD("nest.scriprtd",,"nse_fo|"&amp;$A$133&amp;""&amp;$G$1&amp;""&amp;C133&amp;"","Ask Rate")</f>
        <v>695.1</v>
      </c>
      <c r="F134" s="63">
        <f>RTD("nest.scriprtd",,"nse_fo|"&amp;$A$133&amp;""&amp;$G$1&amp;""&amp;C133&amp;"","Ask Qty")</f>
        <v>1250</v>
      </c>
      <c r="G134" s="84">
        <f>RTD("nest.scriprtd",,"nse_fo|"&amp;$A$133&amp;""&amp;$G$1&amp;""&amp;C133&amp;"","LTP")</f>
        <v>694.65</v>
      </c>
      <c r="H134" s="63">
        <f>RTD("nest.scriprtd",,"nse_fo|"&amp;$A$133&amp;""&amp;$G$1&amp;""&amp;C133&amp;"","ATP")</f>
        <v>690.84</v>
      </c>
      <c r="I134" s="63">
        <f>RTD("nest.scriprtd",,"nse_fo|"&amp;$A$133&amp;""&amp;$G$1&amp;""&amp;C133&amp;"","Volume Traded Today")</f>
        <v>2091250</v>
      </c>
      <c r="J134" s="63">
        <f>RTD("nest.scriprtd",,"nse_fo|"&amp;$A$133&amp;""&amp;$G$1&amp;""&amp;C133&amp;"","% Change")</f>
        <v>-0.39</v>
      </c>
      <c r="K134" s="63">
        <f>RTD("nest.scriprtd",,"nse_fo|"&amp;$A$133&amp;""&amp;$G$1&amp;""&amp;C133&amp;"","Net Change")</f>
        <v>-2.7</v>
      </c>
      <c r="L134" s="63">
        <f>RTD("nest.scriprtd",,"nse_fo|"&amp;$A$133&amp;""&amp;$G$1&amp;""&amp;C133&amp;"","Strike Price")</f>
        <v>0</v>
      </c>
      <c r="M134" s="63"/>
      <c r="N134" s="58">
        <f>MIN($S$134,G134)</f>
        <v>33.049999999999997</v>
      </c>
      <c r="Q134" s="58">
        <f t="shared" ref="Q134:Q151" si="58">+P134+O134</f>
        <v>0</v>
      </c>
      <c r="R134" s="58">
        <f t="shared" ref="R134:R151" si="59">+Q134*N134</f>
        <v>0</v>
      </c>
      <c r="S134" s="58">
        <f>+$Q$2*T134</f>
        <v>33.049999999999997</v>
      </c>
      <c r="T134" s="80">
        <f>+FACTOR!G32</f>
        <v>33.049999999999997</v>
      </c>
      <c r="Z134" s="58">
        <f t="shared" ref="Z134:Z151" si="60">+O134*K134</f>
        <v>0</v>
      </c>
    </row>
    <row r="135" spans="1:27" ht="15" x14ac:dyDescent="0.25">
      <c r="A135" s="63" t="str">
        <f>RTD("nest.scriprtd",,"nse_cm|"&amp;B133&amp;"","Symbol")</f>
        <v>JUBLFOOD</v>
      </c>
      <c r="B135" s="63" t="str">
        <f>RTD("nest.scriprtd",,"nse_cm|"&amp;B133&amp;"","Series/Expiry")</f>
        <v>EQ</v>
      </c>
      <c r="C135" s="63">
        <f>RTD("nest.scriprtd",,"nse_cm|"&amp;B133&amp;"","Bid Qty")</f>
        <v>1</v>
      </c>
      <c r="D135" s="63">
        <f>RTD("nest.scriprtd",,"nse_cm|"&amp;B133&amp;"","Bid Rate")</f>
        <v>694.2</v>
      </c>
      <c r="E135" s="63">
        <f>RTD("nest.scriprtd",,"nse_cm|"&amp;B133&amp;"","Ask Rate")</f>
        <v>694.3</v>
      </c>
      <c r="F135" s="63">
        <f>RTD("nest.scriprtd",,"nse_cm|"&amp;B133&amp;"","Ask Qty")</f>
        <v>1</v>
      </c>
      <c r="G135" s="84">
        <f>RTD("nest.scriprtd",,"nse_cm|"&amp;B133&amp;"","LTP")</f>
        <v>694.3</v>
      </c>
      <c r="H135" s="63">
        <f>RTD("nest.scriprtd",,"nse_cm|"&amp;B133&amp;"","ATP")</f>
        <v>691.19</v>
      </c>
      <c r="I135" s="63">
        <f>RTD("nest.scriprtd",,"nse_cm|"&amp;B133&amp;"","Volume Traded Today")</f>
        <v>932766</v>
      </c>
      <c r="J135" s="63">
        <f>RTD("nest.scriprtd",,"nse_cm|"&amp;B133&amp;"","% Change")</f>
        <v>-0.03</v>
      </c>
      <c r="K135" s="63">
        <f>RTD("nest.scriprtd",,"nse_cm|"&amp;B133&amp;"","Net Change")</f>
        <v>-0.2</v>
      </c>
      <c r="L135" s="63">
        <f>RTD("nest.scriprtd",,"nse_cm|"&amp;B133&amp;"","Strike Price")</f>
        <v>0</v>
      </c>
      <c r="M135" s="63"/>
      <c r="N135" s="58">
        <f t="shared" ref="N135:N151" si="61">MIN($S$134,G135)</f>
        <v>33.049999999999997</v>
      </c>
      <c r="Q135" s="58">
        <f t="shared" si="58"/>
        <v>0</v>
      </c>
      <c r="R135" s="58">
        <f t="shared" si="59"/>
        <v>0</v>
      </c>
      <c r="Z135" s="58">
        <f t="shared" si="60"/>
        <v>0</v>
      </c>
    </row>
    <row r="136" spans="1:27" ht="15" x14ac:dyDescent="0.25">
      <c r="A136" s="63" t="str">
        <f>RTD("nest.scriprtd",,"nse_fo|"&amp;$A$133&amp;""&amp;$G$1&amp;""&amp;L136&amp;"CE","Symbol")</f>
        <v>JUBLFOOD</v>
      </c>
      <c r="B136" s="63" t="str">
        <f>RTD("nest.scriprtd",,"nse_fo|"&amp;$A$133&amp;""&amp;$G$1&amp;""&amp;L136&amp;"CE","Series/Expiry")</f>
        <v>26Dec2024</v>
      </c>
      <c r="C136" s="63">
        <f>RTD("nest.scriprtd",,"nse_fo|"&amp;$A$133&amp;""&amp;$G$1&amp;""&amp;L136&amp;"CE","Bid Qty")</f>
        <v>1250</v>
      </c>
      <c r="D136" s="63">
        <f>RTD("nest.scriprtd",,"nse_fo|"&amp;$A$133&amp;""&amp;$G$1&amp;""&amp;L136&amp;"CE","Bid Rate")</f>
        <v>93.95</v>
      </c>
      <c r="E136" s="63">
        <f>RTD("nest.scriprtd",,"nse_fo|"&amp;$A$133&amp;""&amp;$G$1&amp;""&amp;L136&amp;"CE","Ask Rate")</f>
        <v>95.9</v>
      </c>
      <c r="F136" s="63">
        <f>RTD("nest.scriprtd",,"nse_fo|"&amp;$A$133&amp;""&amp;$G$1&amp;""&amp;L136&amp;"CE","Ask Qty")</f>
        <v>1250</v>
      </c>
      <c r="G136" s="84">
        <f>RTD("nest.scriprtd",,"nse_fo|"&amp;$A$133&amp;""&amp;$G$1&amp;""&amp;L136&amp;"CE","LTP")</f>
        <v>96.65</v>
      </c>
      <c r="H136" s="63">
        <f>RTD("nest.scriprtd",,"nse_fo|"&amp;$A$133&amp;""&amp;$G$1&amp;""&amp;L136&amp;"CE","ATP")</f>
        <v>87.77</v>
      </c>
      <c r="I136" s="63">
        <f>RTD("nest.scriprtd",,"nse_fo|"&amp;$A$133&amp;""&amp;$G$1&amp;""&amp;L136&amp;"CE","Volume Traded Today")</f>
        <v>28750</v>
      </c>
      <c r="J136" s="63">
        <f>RTD("nest.scriprtd",,"nse_fo|"&amp;$A$133&amp;""&amp;$G$1&amp;""&amp;L136&amp;"CE","% Change")</f>
        <v>-1.78</v>
      </c>
      <c r="K136" s="63">
        <f>RTD("nest.scriprtd",,"nse_fo|"&amp;$A$133&amp;""&amp;$G$1&amp;""&amp;L136&amp;"CE","Net Change")</f>
        <v>-1.75</v>
      </c>
      <c r="L136" s="63">
        <v>600</v>
      </c>
      <c r="M136" s="82" t="str">
        <f>RTD("nest.scriprtd",,"nse_fo|"&amp;$A$133&amp;""&amp;$G$1&amp;""&amp;L136&amp;"CE","Option Type")</f>
        <v>CE</v>
      </c>
      <c r="N136" s="58">
        <f t="shared" si="61"/>
        <v>33.049999999999997</v>
      </c>
      <c r="Q136" s="58">
        <f t="shared" si="58"/>
        <v>0</v>
      </c>
      <c r="R136" s="58">
        <f t="shared" si="59"/>
        <v>0</v>
      </c>
      <c r="U136" s="58"/>
      <c r="Z136" s="58">
        <f t="shared" si="60"/>
        <v>0</v>
      </c>
    </row>
    <row r="137" spans="1:27" ht="15" x14ac:dyDescent="0.25">
      <c r="A137" s="63" t="str">
        <f>RTD("nest.scriprtd",,"nse_fo|"&amp;$A$133&amp;""&amp;$G$1&amp;""&amp;L137&amp;"CE","Symbol")</f>
        <v>JUBLFOOD</v>
      </c>
      <c r="B137" s="63" t="str">
        <f>RTD("nest.scriprtd",,"nse_fo|"&amp;$A$133&amp;""&amp;$G$1&amp;""&amp;L137&amp;"CE","Series/Expiry")</f>
        <v>26Dec2024</v>
      </c>
      <c r="C137" s="63">
        <f>RTD("nest.scriprtd",,"nse_fo|"&amp;$A$133&amp;""&amp;$G$1&amp;""&amp;L137&amp;"CE","Bid Qty")</f>
        <v>1250</v>
      </c>
      <c r="D137" s="63">
        <f>RTD("nest.scriprtd",,"nse_fo|"&amp;$A$133&amp;""&amp;$G$1&amp;""&amp;L137&amp;"CE","Bid Rate")</f>
        <v>83.35</v>
      </c>
      <c r="E137" s="63">
        <f>RTD("nest.scriprtd",,"nse_fo|"&amp;$A$133&amp;""&amp;$G$1&amp;""&amp;L137&amp;"CE","Ask Rate")</f>
        <v>89.55</v>
      </c>
      <c r="F137" s="63">
        <f>RTD("nest.scriprtd",,"nse_fo|"&amp;$A$133&amp;""&amp;$G$1&amp;""&amp;L137&amp;"CE","Ask Qty")</f>
        <v>3750</v>
      </c>
      <c r="G137" s="84">
        <f>RTD("nest.scriprtd",,"nse_fo|"&amp;$A$133&amp;""&amp;$G$1&amp;""&amp;L137&amp;"CE","LTP")</f>
        <v>49.2</v>
      </c>
      <c r="H137" s="63">
        <f>RTD("nest.scriprtd",,"nse_fo|"&amp;$A$133&amp;""&amp;$G$1&amp;""&amp;L137&amp;"CE","ATP")</f>
        <v>0</v>
      </c>
      <c r="I137" s="63">
        <f>RTD("nest.scriprtd",,"nse_fo|"&amp;$A$133&amp;""&amp;$G$1&amp;""&amp;L137&amp;"CE","Volume Traded Today")</f>
        <v>0</v>
      </c>
      <c r="J137" s="63">
        <f>RTD("nest.scriprtd",,"nse_fo|"&amp;$A$133&amp;""&amp;$G$1&amp;""&amp;L137&amp;"CE","% Change")</f>
        <v>0</v>
      </c>
      <c r="K137" s="63">
        <f>RTD("nest.scriprtd",,"nse_fo|"&amp;$A$133&amp;""&amp;$G$1&amp;""&amp;L137&amp;"CE","Net Change")</f>
        <v>0</v>
      </c>
      <c r="L137" s="63">
        <f>+L136+$D$133</f>
        <v>610</v>
      </c>
      <c r="M137" s="63" t="str">
        <f>RTD("nest.scriprtd",,"nse_fo|"&amp;$A$133&amp;""&amp;$G$1&amp;""&amp;L137&amp;"CE","Option Type")</f>
        <v>CE</v>
      </c>
      <c r="N137" s="58">
        <f t="shared" si="61"/>
        <v>33.049999999999997</v>
      </c>
      <c r="Q137" s="58">
        <f t="shared" si="58"/>
        <v>0</v>
      </c>
      <c r="R137" s="58">
        <f t="shared" si="59"/>
        <v>0</v>
      </c>
      <c r="U137" s="58"/>
      <c r="Z137" s="58">
        <f t="shared" si="60"/>
        <v>0</v>
      </c>
    </row>
    <row r="138" spans="1:27" ht="15" x14ac:dyDescent="0.25">
      <c r="A138" s="63" t="str">
        <f>RTD("nest.scriprtd",,"nse_fo|"&amp;$A$133&amp;""&amp;$G$1&amp;""&amp;L138&amp;"CE","Symbol")</f>
        <v>JUBLFOOD</v>
      </c>
      <c r="B138" s="63" t="str">
        <f>RTD("nest.scriprtd",,"nse_fo|"&amp;$A$133&amp;""&amp;$G$1&amp;""&amp;L138&amp;"CE","Series/Expiry")</f>
        <v>26Dec2024</v>
      </c>
      <c r="C138" s="63">
        <f>RTD("nest.scriprtd",,"nse_fo|"&amp;$A$133&amp;""&amp;$G$1&amp;""&amp;L138&amp;"CE","Bid Qty")</f>
        <v>1250</v>
      </c>
      <c r="D138" s="63">
        <f>RTD("nest.scriprtd",,"nse_fo|"&amp;$A$133&amp;""&amp;$G$1&amp;""&amp;L138&amp;"CE","Bid Rate")</f>
        <v>73.55</v>
      </c>
      <c r="E138" s="63">
        <f>RTD("nest.scriprtd",,"nse_fo|"&amp;$A$133&amp;""&amp;$G$1&amp;""&amp;L138&amp;"CE","Ask Rate")</f>
        <v>77.3</v>
      </c>
      <c r="F138" s="63">
        <f>RTD("nest.scriprtd",,"nse_fo|"&amp;$A$133&amp;""&amp;$G$1&amp;""&amp;L138&amp;"CE","Ask Qty")</f>
        <v>1250</v>
      </c>
      <c r="G138" s="84">
        <f>RTD("nest.scriprtd",,"nse_fo|"&amp;$A$133&amp;""&amp;$G$1&amp;""&amp;L138&amp;"CE","LTP")</f>
        <v>79.5</v>
      </c>
      <c r="H138" s="63">
        <f>RTD("nest.scriprtd",,"nse_fo|"&amp;$A$133&amp;""&amp;$G$1&amp;""&amp;L138&amp;"CE","ATP")</f>
        <v>0</v>
      </c>
      <c r="I138" s="63">
        <f>RTD("nest.scriprtd",,"nse_fo|"&amp;$A$133&amp;""&amp;$G$1&amp;""&amp;L138&amp;"CE","Volume Traded Today")</f>
        <v>0</v>
      </c>
      <c r="J138" s="63">
        <f>RTD("nest.scriprtd",,"nse_fo|"&amp;$A$133&amp;""&amp;$G$1&amp;""&amp;L138&amp;"CE","% Change")</f>
        <v>0</v>
      </c>
      <c r="K138" s="63">
        <f>RTD("nest.scriprtd",,"nse_fo|"&amp;$A$133&amp;""&amp;$G$1&amp;""&amp;L138&amp;"CE","Net Change")</f>
        <v>0</v>
      </c>
      <c r="L138" s="63">
        <f t="shared" ref="L138:L151" si="62">+L137+$D$133</f>
        <v>620</v>
      </c>
      <c r="M138" s="63" t="str">
        <f>RTD("nest.scriprtd",,"nse_fo|"&amp;$A$133&amp;""&amp;$G$1&amp;""&amp;L138&amp;"CE","Option Type")</f>
        <v>CE</v>
      </c>
      <c r="N138" s="58">
        <f t="shared" si="61"/>
        <v>33.049999999999997</v>
      </c>
      <c r="Q138" s="58">
        <f t="shared" si="58"/>
        <v>0</v>
      </c>
      <c r="R138" s="58">
        <f t="shared" si="59"/>
        <v>0</v>
      </c>
      <c r="U138" s="58"/>
      <c r="Z138" s="58">
        <f t="shared" si="60"/>
        <v>0</v>
      </c>
    </row>
    <row r="139" spans="1:27" ht="15" x14ac:dyDescent="0.25">
      <c r="A139" s="63" t="str">
        <f>RTD("nest.scriprtd",,"nse_fo|"&amp;$A$133&amp;""&amp;$G$1&amp;""&amp;L139&amp;"CE","Symbol")</f>
        <v>JUBLFOOD</v>
      </c>
      <c r="B139" s="63" t="str">
        <f>RTD("nest.scriprtd",,"nse_fo|"&amp;$A$133&amp;""&amp;$G$1&amp;""&amp;L139&amp;"CE","Series/Expiry")</f>
        <v>26Dec2024</v>
      </c>
      <c r="C139" s="63">
        <f>RTD("nest.scriprtd",,"nse_fo|"&amp;$A$133&amp;""&amp;$G$1&amp;""&amp;L139&amp;"CE","Bid Qty")</f>
        <v>1250</v>
      </c>
      <c r="D139" s="63">
        <f>RTD("nest.scriprtd",,"nse_fo|"&amp;$A$133&amp;""&amp;$G$1&amp;""&amp;L139&amp;"CE","Bid Rate")</f>
        <v>65.55</v>
      </c>
      <c r="E139" s="63">
        <f>RTD("nest.scriprtd",,"nse_fo|"&amp;$A$133&amp;""&amp;$G$1&amp;""&amp;L139&amp;"CE","Ask Rate")</f>
        <v>68.349999999999994</v>
      </c>
      <c r="F139" s="63">
        <f>RTD("nest.scriprtd",,"nse_fo|"&amp;$A$133&amp;""&amp;$G$1&amp;""&amp;L139&amp;"CE","Ask Qty")</f>
        <v>1250</v>
      </c>
      <c r="G139" s="84">
        <f>RTD("nest.scriprtd",,"nse_fo|"&amp;$A$133&amp;""&amp;$G$1&amp;""&amp;L139&amp;"CE","LTP")</f>
        <v>68.8</v>
      </c>
      <c r="H139" s="63">
        <f>RTD("nest.scriprtd",,"nse_fo|"&amp;$A$133&amp;""&amp;$G$1&amp;""&amp;L139&amp;"CE","ATP")</f>
        <v>0</v>
      </c>
      <c r="I139" s="63">
        <f>RTD("nest.scriprtd",,"nse_fo|"&amp;$A$133&amp;""&amp;$G$1&amp;""&amp;L139&amp;"CE","Volume Traded Today")</f>
        <v>0</v>
      </c>
      <c r="J139" s="63">
        <f>RTD("nest.scriprtd",,"nse_fo|"&amp;$A$133&amp;""&amp;$G$1&amp;""&amp;L139&amp;"CE","% Change")</f>
        <v>0</v>
      </c>
      <c r="K139" s="63">
        <f>RTD("nest.scriprtd",,"nse_fo|"&amp;$A$133&amp;""&amp;$G$1&amp;""&amp;L139&amp;"CE","Net Change")</f>
        <v>0</v>
      </c>
      <c r="L139" s="63">
        <f t="shared" si="62"/>
        <v>630</v>
      </c>
      <c r="M139" s="63" t="str">
        <f>RTD("nest.scriprtd",,"nse_fo|"&amp;$A$133&amp;""&amp;$G$1&amp;""&amp;L139&amp;"CE","Option Type")</f>
        <v>CE</v>
      </c>
      <c r="N139" s="58">
        <f t="shared" si="61"/>
        <v>33.049999999999997</v>
      </c>
      <c r="Q139" s="58">
        <f t="shared" si="58"/>
        <v>0</v>
      </c>
      <c r="R139" s="58">
        <f t="shared" si="59"/>
        <v>0</v>
      </c>
      <c r="U139" s="58"/>
      <c r="Z139" s="58">
        <f t="shared" si="60"/>
        <v>0</v>
      </c>
    </row>
    <row r="140" spans="1:27" ht="15" x14ac:dyDescent="0.25">
      <c r="A140" s="63" t="str">
        <f>RTD("nest.scriprtd",,"nse_fo|"&amp;$A$133&amp;""&amp;$G$1&amp;""&amp;L140&amp;"CE","Symbol")</f>
        <v>JUBLFOOD</v>
      </c>
      <c r="B140" s="63" t="str">
        <f>RTD("nest.scriprtd",,"nse_fo|"&amp;$A$133&amp;""&amp;$G$1&amp;""&amp;L140&amp;"CE","Series/Expiry")</f>
        <v>26Dec2024</v>
      </c>
      <c r="C140" s="63">
        <f>RTD("nest.scriprtd",,"nse_fo|"&amp;$A$133&amp;""&amp;$G$1&amp;""&amp;L140&amp;"CE","Bid Qty")</f>
        <v>1250</v>
      </c>
      <c r="D140" s="63">
        <f>RTD("nest.scriprtd",,"nse_fo|"&amp;$A$133&amp;""&amp;$G$1&amp;""&amp;L140&amp;"CE","Bid Rate")</f>
        <v>55.7</v>
      </c>
      <c r="E140" s="63">
        <f>RTD("nest.scriprtd",,"nse_fo|"&amp;$A$133&amp;""&amp;$G$1&amp;""&amp;L140&amp;"CE","Ask Rate")</f>
        <v>57.35</v>
      </c>
      <c r="F140" s="63">
        <f>RTD("nest.scriprtd",,"nse_fo|"&amp;$A$133&amp;""&amp;$G$1&amp;""&amp;L140&amp;"CE","Ask Qty")</f>
        <v>2500</v>
      </c>
      <c r="G140" s="84">
        <f>RTD("nest.scriprtd",,"nse_fo|"&amp;$A$133&amp;""&amp;$G$1&amp;""&amp;L140&amp;"CE","LTP")</f>
        <v>55.6</v>
      </c>
      <c r="H140" s="63">
        <f>RTD("nest.scriprtd",,"nse_fo|"&amp;$A$133&amp;""&amp;$G$1&amp;""&amp;L140&amp;"CE","ATP")</f>
        <v>53.45</v>
      </c>
      <c r="I140" s="63">
        <f>RTD("nest.scriprtd",,"nse_fo|"&amp;$A$133&amp;""&amp;$G$1&amp;""&amp;L140&amp;"CE","Volume Traded Today")</f>
        <v>2500</v>
      </c>
      <c r="J140" s="63">
        <f>RTD("nest.scriprtd",,"nse_fo|"&amp;$A$133&amp;""&amp;$G$1&amp;""&amp;L140&amp;"CE","% Change")</f>
        <v>-4.1399999999999997</v>
      </c>
      <c r="K140" s="63">
        <f>RTD("nest.scriprtd",,"nse_fo|"&amp;$A$133&amp;""&amp;$G$1&amp;""&amp;L140&amp;"CE","Net Change")</f>
        <v>-2.4</v>
      </c>
      <c r="L140" s="63">
        <f t="shared" si="62"/>
        <v>640</v>
      </c>
      <c r="M140" s="63" t="str">
        <f>RTD("nest.scriprtd",,"nse_fo|"&amp;$A$133&amp;""&amp;$G$1&amp;""&amp;L140&amp;"CE","Option Type")</f>
        <v>CE</v>
      </c>
      <c r="N140" s="58">
        <f t="shared" si="61"/>
        <v>33.049999999999997</v>
      </c>
      <c r="Q140" s="58">
        <f t="shared" si="58"/>
        <v>0</v>
      </c>
      <c r="R140" s="58">
        <f t="shared" si="59"/>
        <v>0</v>
      </c>
      <c r="U140" s="58"/>
      <c r="Z140" s="58">
        <f t="shared" si="60"/>
        <v>0</v>
      </c>
    </row>
    <row r="141" spans="1:27" ht="15" x14ac:dyDescent="0.25">
      <c r="A141" s="63" t="str">
        <f>RTD("nest.scriprtd",,"nse_fo|"&amp;$A$133&amp;""&amp;$G$1&amp;""&amp;L141&amp;"CE","Symbol")</f>
        <v>JUBLFOOD</v>
      </c>
      <c r="B141" s="63" t="str">
        <f>RTD("nest.scriprtd",,"nse_fo|"&amp;$A$133&amp;""&amp;$G$1&amp;""&amp;L141&amp;"CE","Series/Expiry")</f>
        <v>26Dec2024</v>
      </c>
      <c r="C141" s="63">
        <f>RTD("nest.scriprtd",,"nse_fo|"&amp;$A$133&amp;""&amp;$G$1&amp;""&amp;L141&amp;"CE","Bid Qty")</f>
        <v>1250</v>
      </c>
      <c r="D141" s="63">
        <f>RTD("nest.scriprtd",,"nse_fo|"&amp;$A$133&amp;""&amp;$G$1&amp;""&amp;L141&amp;"CE","Bid Rate")</f>
        <v>46.9</v>
      </c>
      <c r="E141" s="63">
        <f>RTD("nest.scriprtd",,"nse_fo|"&amp;$A$133&amp;""&amp;$G$1&amp;""&amp;L141&amp;"CE","Ask Rate")</f>
        <v>47.95</v>
      </c>
      <c r="F141" s="63">
        <f>RTD("nest.scriprtd",,"nse_fo|"&amp;$A$133&amp;""&amp;$G$1&amp;""&amp;L141&amp;"CE","Ask Qty")</f>
        <v>1250</v>
      </c>
      <c r="G141" s="84">
        <f>RTD("nest.scriprtd",,"nse_fo|"&amp;$A$133&amp;""&amp;$G$1&amp;""&amp;L141&amp;"CE","LTP")</f>
        <v>48</v>
      </c>
      <c r="H141" s="63">
        <f>RTD("nest.scriprtd",,"nse_fo|"&amp;$A$133&amp;""&amp;$G$1&amp;""&amp;L141&amp;"CE","ATP")</f>
        <v>44.27</v>
      </c>
      <c r="I141" s="63">
        <f>RTD("nest.scriprtd",,"nse_fo|"&amp;$A$133&amp;""&amp;$G$1&amp;""&amp;L141&amp;"CE","Volume Traded Today")</f>
        <v>40000</v>
      </c>
      <c r="J141" s="63">
        <f>RTD("nest.scriprtd",,"nse_fo|"&amp;$A$133&amp;""&amp;$G$1&amp;""&amp;L141&amp;"CE","% Change")</f>
        <v>-4.0999999999999996</v>
      </c>
      <c r="K141" s="63">
        <f>RTD("nest.scriprtd",,"nse_fo|"&amp;$A$133&amp;""&amp;$G$1&amp;""&amp;L141&amp;"CE","Net Change")</f>
        <v>-2.0499999999999998</v>
      </c>
      <c r="L141" s="63">
        <f t="shared" si="62"/>
        <v>650</v>
      </c>
      <c r="M141" s="63" t="str">
        <f>RTD("nest.scriprtd",,"nse_fo|"&amp;$A$133&amp;""&amp;$G$1&amp;""&amp;L141&amp;"CE","Option Type")</f>
        <v>CE</v>
      </c>
      <c r="N141" s="58">
        <f t="shared" si="61"/>
        <v>33.049999999999997</v>
      </c>
      <c r="Q141" s="58">
        <f t="shared" si="58"/>
        <v>0</v>
      </c>
      <c r="R141" s="58">
        <f t="shared" si="59"/>
        <v>0</v>
      </c>
      <c r="U141" s="58"/>
      <c r="Z141" s="58">
        <f t="shared" si="60"/>
        <v>0</v>
      </c>
    </row>
    <row r="142" spans="1:27" ht="15" x14ac:dyDescent="0.25">
      <c r="A142" s="63" t="str">
        <f>RTD("nest.scriprtd",,"nse_fo|"&amp;$A$133&amp;""&amp;$G$1&amp;""&amp;L142&amp;"CE","Symbol")</f>
        <v>JUBLFOOD</v>
      </c>
      <c r="B142" s="63" t="str">
        <f>RTD("nest.scriprtd",,"nse_fo|"&amp;$A$133&amp;""&amp;$G$1&amp;""&amp;L142&amp;"CE","Series/Expiry")</f>
        <v>26Dec2024</v>
      </c>
      <c r="C142" s="63">
        <f>RTD("nest.scriprtd",,"nse_fo|"&amp;$A$133&amp;""&amp;$G$1&amp;""&amp;L142&amp;"CE","Bid Qty")</f>
        <v>1250</v>
      </c>
      <c r="D142" s="63">
        <f>RTD("nest.scriprtd",,"nse_fo|"&amp;$A$133&amp;""&amp;$G$1&amp;""&amp;L142&amp;"CE","Bid Rate")</f>
        <v>38.700000000000003</v>
      </c>
      <c r="E142" s="63">
        <f>RTD("nest.scriprtd",,"nse_fo|"&amp;$A$133&amp;""&amp;$G$1&amp;""&amp;L142&amp;"CE","Ask Rate")</f>
        <v>39.75</v>
      </c>
      <c r="F142" s="63">
        <f>RTD("nest.scriprtd",,"nse_fo|"&amp;$A$133&amp;""&amp;$G$1&amp;""&amp;L142&amp;"CE","Ask Qty")</f>
        <v>1250</v>
      </c>
      <c r="G142" s="84">
        <f>RTD("nest.scriprtd",,"nse_fo|"&amp;$A$133&amp;""&amp;$G$1&amp;""&amp;L142&amp;"CE","LTP")</f>
        <v>37.85</v>
      </c>
      <c r="H142" s="63">
        <f>RTD("nest.scriprtd",,"nse_fo|"&amp;$A$133&amp;""&amp;$G$1&amp;""&amp;L142&amp;"CE","ATP")</f>
        <v>35.51</v>
      </c>
      <c r="I142" s="63">
        <f>RTD("nest.scriprtd",,"nse_fo|"&amp;$A$133&amp;""&amp;$G$1&amp;""&amp;L142&amp;"CE","Volume Traded Today")</f>
        <v>111250</v>
      </c>
      <c r="J142" s="63">
        <f>RTD("nest.scriprtd",,"nse_fo|"&amp;$A$133&amp;""&amp;$G$1&amp;""&amp;L142&amp;"CE","% Change")</f>
        <v>-8.9</v>
      </c>
      <c r="K142" s="63">
        <f>RTD("nest.scriprtd",,"nse_fo|"&amp;$A$133&amp;""&amp;$G$1&amp;""&amp;L142&amp;"CE","Net Change")</f>
        <v>-3.7</v>
      </c>
      <c r="L142" s="63">
        <f t="shared" si="62"/>
        <v>660</v>
      </c>
      <c r="M142" s="63" t="str">
        <f>RTD("nest.scriprtd",,"nse_fo|"&amp;$A$133&amp;""&amp;$G$1&amp;""&amp;L142&amp;"CE","Option Type")</f>
        <v>CE</v>
      </c>
      <c r="N142" s="58">
        <f t="shared" si="61"/>
        <v>33.049999999999997</v>
      </c>
      <c r="Q142" s="58">
        <f t="shared" si="58"/>
        <v>0</v>
      </c>
      <c r="R142" s="58">
        <f t="shared" si="59"/>
        <v>0</v>
      </c>
      <c r="Z142" s="58">
        <f t="shared" si="60"/>
        <v>0</v>
      </c>
    </row>
    <row r="143" spans="1:27" ht="15" x14ac:dyDescent="0.25">
      <c r="A143" s="63" t="str">
        <f>RTD("nest.scriprtd",,"nse_fo|"&amp;$A$133&amp;""&amp;$G$1&amp;""&amp;L143&amp;"CE","Symbol")</f>
        <v>JUBLFOOD</v>
      </c>
      <c r="B143" s="63" t="str">
        <f>RTD("nest.scriprtd",,"nse_fo|"&amp;$A$133&amp;""&amp;$G$1&amp;""&amp;L143&amp;"CE","Series/Expiry")</f>
        <v>26Dec2024</v>
      </c>
      <c r="C143" s="63">
        <f>RTD("nest.scriprtd",,"nse_fo|"&amp;$A$133&amp;""&amp;$G$1&amp;""&amp;L143&amp;"CE","Bid Qty")</f>
        <v>1250</v>
      </c>
      <c r="D143" s="63">
        <f>RTD("nest.scriprtd",,"nse_fo|"&amp;$A$133&amp;""&amp;$G$1&amp;""&amp;L143&amp;"CE","Bid Rate")</f>
        <v>30.75</v>
      </c>
      <c r="E143" s="63">
        <f>RTD("nest.scriprtd",,"nse_fo|"&amp;$A$133&amp;""&amp;$G$1&amp;""&amp;L143&amp;"CE","Ask Rate")</f>
        <v>31.85</v>
      </c>
      <c r="F143" s="63">
        <f>RTD("nest.scriprtd",,"nse_fo|"&amp;$A$133&amp;""&amp;$G$1&amp;""&amp;L143&amp;"CE","Ask Qty")</f>
        <v>1250</v>
      </c>
      <c r="G143" s="84">
        <f>RTD("nest.scriprtd",,"nse_fo|"&amp;$A$133&amp;""&amp;$G$1&amp;""&amp;L143&amp;"CE","LTP")</f>
        <v>31.65</v>
      </c>
      <c r="H143" s="63">
        <f>RTD("nest.scriprtd",,"nse_fo|"&amp;$A$133&amp;""&amp;$G$1&amp;""&amp;L143&amp;"CE","ATP")</f>
        <v>29.22</v>
      </c>
      <c r="I143" s="63">
        <f>RTD("nest.scriprtd",,"nse_fo|"&amp;$A$133&amp;""&amp;$G$1&amp;""&amp;L143&amp;"CE","Volume Traded Today")</f>
        <v>98750</v>
      </c>
      <c r="J143" s="63">
        <f>RTD("nest.scriprtd",,"nse_fo|"&amp;$A$133&amp;""&amp;$G$1&amp;""&amp;L143&amp;"CE","% Change")</f>
        <v>-6.08</v>
      </c>
      <c r="K143" s="63">
        <f>RTD("nest.scriprtd",,"nse_fo|"&amp;$A$133&amp;""&amp;$G$1&amp;""&amp;L143&amp;"CE","Net Change")</f>
        <v>-2.0499999999999998</v>
      </c>
      <c r="L143" s="63">
        <f t="shared" ref="L143:L146" si="63">+L142+$D$133</f>
        <v>670</v>
      </c>
      <c r="M143" s="63" t="str">
        <f>RTD("nest.scriprtd",,"nse_fo|"&amp;$A$133&amp;""&amp;$G$1&amp;""&amp;L143&amp;"CE","Option Type")</f>
        <v>CE</v>
      </c>
      <c r="N143" s="58">
        <f t="shared" ref="N143:N145" si="64">MIN($S$134,G143)</f>
        <v>31.65</v>
      </c>
      <c r="Q143" s="58">
        <f t="shared" ref="Q143:Q145" si="65">+P143+O143</f>
        <v>0</v>
      </c>
      <c r="R143" s="58">
        <f t="shared" ref="R143:R145" si="66">+Q143*N143</f>
        <v>0</v>
      </c>
      <c r="Z143" s="58">
        <f t="shared" ref="Z143:Z145" si="67">+O143*K143</f>
        <v>0</v>
      </c>
    </row>
    <row r="144" spans="1:27" ht="15" x14ac:dyDescent="0.25">
      <c r="A144" s="63" t="str">
        <f>RTD("nest.scriprtd",,"nse_fo|"&amp;$A$133&amp;""&amp;$G$1&amp;""&amp;L144&amp;"CE","Symbol")</f>
        <v>JUBLFOOD</v>
      </c>
      <c r="B144" s="63" t="str">
        <f>RTD("nest.scriprtd",,"nse_fo|"&amp;$A$133&amp;""&amp;$G$1&amp;""&amp;L144&amp;"CE","Series/Expiry")</f>
        <v>26Dec2024</v>
      </c>
      <c r="C144" s="63">
        <f>RTD("nest.scriprtd",,"nse_fo|"&amp;$A$133&amp;""&amp;$G$1&amp;""&amp;L144&amp;"CE","Bid Qty")</f>
        <v>1250</v>
      </c>
      <c r="D144" s="63">
        <f>RTD("nest.scriprtd",,"nse_fo|"&amp;$A$133&amp;""&amp;$G$1&amp;""&amp;L144&amp;"CE","Bid Rate")</f>
        <v>24.45</v>
      </c>
      <c r="E144" s="63">
        <f>RTD("nest.scriprtd",,"nse_fo|"&amp;$A$133&amp;""&amp;$G$1&amp;""&amp;L144&amp;"CE","Ask Rate")</f>
        <v>24.75</v>
      </c>
      <c r="F144" s="63">
        <f>RTD("nest.scriprtd",,"nse_fo|"&amp;$A$133&amp;""&amp;$G$1&amp;""&amp;L144&amp;"CE","Ask Qty")</f>
        <v>1250</v>
      </c>
      <c r="G144" s="84">
        <f>RTD("nest.scriprtd",,"nse_fo|"&amp;$A$133&amp;""&amp;$G$1&amp;""&amp;L144&amp;"CE","LTP")</f>
        <v>24.4</v>
      </c>
      <c r="H144" s="63">
        <f>RTD("nest.scriprtd",,"nse_fo|"&amp;$A$133&amp;""&amp;$G$1&amp;""&amp;L144&amp;"CE","ATP")</f>
        <v>22.27</v>
      </c>
      <c r="I144" s="63">
        <f>RTD("nest.scriprtd",,"nse_fo|"&amp;$A$133&amp;""&amp;$G$1&amp;""&amp;L144&amp;"CE","Volume Traded Today")</f>
        <v>463750</v>
      </c>
      <c r="J144" s="63">
        <f>RTD("nest.scriprtd",,"nse_fo|"&amp;$A$133&amp;""&amp;$G$1&amp;""&amp;L144&amp;"CE","% Change")</f>
        <v>-9.9600000000000009</v>
      </c>
      <c r="K144" s="63">
        <f>RTD("nest.scriprtd",,"nse_fo|"&amp;$A$133&amp;""&amp;$G$1&amp;""&amp;L144&amp;"CE","Net Change")</f>
        <v>-2.7</v>
      </c>
      <c r="L144" s="63">
        <f t="shared" si="63"/>
        <v>680</v>
      </c>
      <c r="M144" s="63" t="str">
        <f>RTD("nest.scriprtd",,"nse_fo|"&amp;$A$133&amp;""&amp;$G$1&amp;""&amp;L144&amp;"CE","Option Type")</f>
        <v>CE</v>
      </c>
      <c r="N144" s="58">
        <f t="shared" si="64"/>
        <v>24.4</v>
      </c>
      <c r="Q144" s="58">
        <f t="shared" si="65"/>
        <v>0</v>
      </c>
      <c r="R144" s="58">
        <f t="shared" si="66"/>
        <v>0</v>
      </c>
      <c r="Z144" s="58">
        <f t="shared" si="67"/>
        <v>0</v>
      </c>
    </row>
    <row r="145" spans="1:27" ht="15" x14ac:dyDescent="0.25">
      <c r="A145" s="63" t="str">
        <f>RTD("nest.scriprtd",,"nse_fo|"&amp;$A$133&amp;""&amp;$G$1&amp;""&amp;L145&amp;"CE","Symbol")</f>
        <v>JUBLFOOD</v>
      </c>
      <c r="B145" s="63" t="str">
        <f>RTD("nest.scriprtd",,"nse_fo|"&amp;$A$133&amp;""&amp;$G$1&amp;""&amp;L145&amp;"CE","Series/Expiry")</f>
        <v>26Dec2024</v>
      </c>
      <c r="C145" s="63">
        <f>RTD("nest.scriprtd",,"nse_fo|"&amp;$A$133&amp;""&amp;$G$1&amp;""&amp;L145&amp;"CE","Bid Qty")</f>
        <v>1250</v>
      </c>
      <c r="D145" s="63">
        <f>RTD("nest.scriprtd",,"nse_fo|"&amp;$A$133&amp;""&amp;$G$1&amp;""&amp;L145&amp;"CE","Bid Rate")</f>
        <v>18.7</v>
      </c>
      <c r="E145" s="63">
        <f>RTD("nest.scriprtd",,"nse_fo|"&amp;$A$133&amp;""&amp;$G$1&amp;""&amp;L145&amp;"CE","Ask Rate")</f>
        <v>18.899999999999999</v>
      </c>
      <c r="F145" s="63">
        <f>RTD("nest.scriprtd",,"nse_fo|"&amp;$A$133&amp;""&amp;$G$1&amp;""&amp;L145&amp;"CE","Ask Qty")</f>
        <v>2500</v>
      </c>
      <c r="G145" s="84">
        <f>RTD("nest.scriprtd",,"nse_fo|"&amp;$A$133&amp;""&amp;$G$1&amp;""&amp;L145&amp;"CE","LTP")</f>
        <v>18.75</v>
      </c>
      <c r="H145" s="63">
        <f>RTD("nest.scriprtd",,"nse_fo|"&amp;$A$133&amp;""&amp;$G$1&amp;""&amp;L145&amp;"CE","ATP")</f>
        <v>17.309999999999999</v>
      </c>
      <c r="I145" s="63">
        <f>RTD("nest.scriprtd",,"nse_fo|"&amp;$A$133&amp;""&amp;$G$1&amp;""&amp;L145&amp;"CE","Volume Traded Today")</f>
        <v>1077500</v>
      </c>
      <c r="J145" s="63">
        <f>RTD("nest.scriprtd",,"nse_fo|"&amp;$A$133&amp;""&amp;$G$1&amp;""&amp;L145&amp;"CE","% Change")</f>
        <v>-11.35</v>
      </c>
      <c r="K145" s="63">
        <f>RTD("nest.scriprtd",,"nse_fo|"&amp;$A$133&amp;""&amp;$G$1&amp;""&amp;L145&amp;"CE","Net Change")</f>
        <v>-2.4</v>
      </c>
      <c r="L145" s="63">
        <f t="shared" si="63"/>
        <v>690</v>
      </c>
      <c r="M145" s="63" t="str">
        <f>RTD("nest.scriprtd",,"nse_fo|"&amp;$A$133&amp;""&amp;$G$1&amp;""&amp;L145&amp;"CE","Option Type")</f>
        <v>CE</v>
      </c>
      <c r="N145" s="58">
        <f t="shared" si="64"/>
        <v>18.75</v>
      </c>
      <c r="Q145" s="58">
        <f t="shared" si="65"/>
        <v>0</v>
      </c>
      <c r="R145" s="58">
        <f t="shared" si="66"/>
        <v>0</v>
      </c>
      <c r="Z145" s="58">
        <f t="shared" si="67"/>
        <v>0</v>
      </c>
    </row>
    <row r="146" spans="1:27" ht="15" x14ac:dyDescent="0.25">
      <c r="A146" s="63" t="str">
        <f>RTD("nest.scriprtd",,"nse_fo|"&amp;$A$133&amp;""&amp;$G$1&amp;""&amp;L146&amp;"CE","Symbol")</f>
        <v>JUBLFOOD</v>
      </c>
      <c r="B146" s="63" t="str">
        <f>RTD("nest.scriprtd",,"nse_fo|"&amp;$A$133&amp;""&amp;$G$1&amp;""&amp;L146&amp;"CE","Series/Expiry")</f>
        <v>26Dec2024</v>
      </c>
      <c r="C146" s="63">
        <f>RTD("nest.scriprtd",,"nse_fo|"&amp;$A$133&amp;""&amp;$G$1&amp;""&amp;L146&amp;"CE","Bid Qty")</f>
        <v>2500</v>
      </c>
      <c r="D146" s="63">
        <f>RTD("nest.scriprtd",,"nse_fo|"&amp;$A$133&amp;""&amp;$G$1&amp;""&amp;L146&amp;"CE","Bid Rate")</f>
        <v>13.8</v>
      </c>
      <c r="E146" s="63">
        <f>RTD("nest.scriprtd",,"nse_fo|"&amp;$A$133&amp;""&amp;$G$1&amp;""&amp;L146&amp;"CE","Ask Rate")</f>
        <v>13.95</v>
      </c>
      <c r="F146" s="63">
        <f>RTD("nest.scriprtd",,"nse_fo|"&amp;$A$133&amp;""&amp;$G$1&amp;""&amp;L146&amp;"CE","Ask Qty")</f>
        <v>1250</v>
      </c>
      <c r="G146" s="84">
        <f>RTD("nest.scriprtd",,"nse_fo|"&amp;$A$133&amp;""&amp;$G$1&amp;""&amp;L146&amp;"CE","LTP")</f>
        <v>13.85</v>
      </c>
      <c r="H146" s="63">
        <f>RTD("nest.scriprtd",,"nse_fo|"&amp;$A$133&amp;""&amp;$G$1&amp;""&amp;L146&amp;"CE","ATP")</f>
        <v>12.69</v>
      </c>
      <c r="I146" s="63">
        <f>RTD("nest.scriprtd",,"nse_fo|"&amp;$A$133&amp;""&amp;$G$1&amp;""&amp;L146&amp;"CE","Volume Traded Today")</f>
        <v>1715000</v>
      </c>
      <c r="J146" s="63">
        <f>RTD("nest.scriprtd",,"nse_fo|"&amp;$A$133&amp;""&amp;$G$1&amp;""&amp;L146&amp;"CE","% Change")</f>
        <v>-13.71</v>
      </c>
      <c r="K146" s="63">
        <f>RTD("nest.scriprtd",,"nse_fo|"&amp;$A$133&amp;""&amp;$G$1&amp;""&amp;L146&amp;"CE","Net Change")</f>
        <v>-2.2000000000000002</v>
      </c>
      <c r="L146" s="63">
        <f t="shared" si="63"/>
        <v>700</v>
      </c>
      <c r="M146" s="63" t="str">
        <f>RTD("nest.scriprtd",,"nse_fo|"&amp;$A$133&amp;""&amp;$G$1&amp;""&amp;L146&amp;"CE","Option Type")</f>
        <v>CE</v>
      </c>
      <c r="N146" s="58">
        <f t="shared" si="61"/>
        <v>13.85</v>
      </c>
      <c r="Q146" s="58">
        <f t="shared" si="58"/>
        <v>0</v>
      </c>
      <c r="R146" s="58">
        <f t="shared" si="59"/>
        <v>0</v>
      </c>
      <c r="Z146" s="58">
        <f t="shared" si="60"/>
        <v>0</v>
      </c>
    </row>
    <row r="147" spans="1:27" ht="15" x14ac:dyDescent="0.25">
      <c r="A147" s="63" t="str">
        <f>RTD("nest.scriprtd",,"nse_fo|"&amp;$A$133&amp;""&amp;$G$1&amp;""&amp;L147&amp;"CE","Symbol")</f>
        <v>JUBLFOOD</v>
      </c>
      <c r="B147" s="63" t="str">
        <f>RTD("nest.scriprtd",,"nse_fo|"&amp;$A$133&amp;""&amp;$G$1&amp;""&amp;L147&amp;"PE","Series/Expiry")</f>
        <v>26Dec2024</v>
      </c>
      <c r="C147" s="63">
        <f>RTD("nest.scriprtd",,"nse_fo|"&amp;$A$133&amp;""&amp;$G$1&amp;""&amp;L147&amp;"PE","Bid Qty")</f>
        <v>8750</v>
      </c>
      <c r="D147" s="63">
        <f>RTD("nest.scriprtd",,"nse_fo|"&amp;$A$133&amp;""&amp;$G$1&amp;""&amp;L147&amp;"PE","Bid Rate")</f>
        <v>0.6</v>
      </c>
      <c r="E147" s="63">
        <f>RTD("nest.scriprtd",,"nse_fo|"&amp;$A$133&amp;""&amp;$G$1&amp;""&amp;L147&amp;"PE","Ask Rate")</f>
        <v>0.65</v>
      </c>
      <c r="F147" s="63">
        <f>RTD("nest.scriprtd",,"nse_fo|"&amp;$A$133&amp;""&amp;$G$1&amp;""&amp;L147&amp;"PE","Ask Qty")</f>
        <v>3750</v>
      </c>
      <c r="G147" s="84">
        <f>RTD("nest.scriprtd",,"nse_fo|"&amp;$A$133&amp;""&amp;$G$1&amp;""&amp;L147&amp;"PE","LTP")</f>
        <v>0.6</v>
      </c>
      <c r="H147" s="63">
        <f>RTD("nest.scriprtd",,"nse_fo|"&amp;$A$133&amp;""&amp;$G$1&amp;""&amp;L147&amp;"PE","ATP")</f>
        <v>0.72</v>
      </c>
      <c r="I147" s="63">
        <f>RTD("nest.scriprtd",,"nse_fo|"&amp;$A$133&amp;""&amp;$G$1&amp;""&amp;L147&amp;"PE","Volume Traded Today")</f>
        <v>133750</v>
      </c>
      <c r="J147" s="63">
        <f>RTD("nest.scriprtd",,"nse_fo|"&amp;$A$133&amp;""&amp;$G$1&amp;""&amp;L147&amp;"PE","% Change")</f>
        <v>-14.29</v>
      </c>
      <c r="K147" s="63">
        <f>RTD("nest.scriprtd",,"nse_fo|"&amp;$A$133&amp;""&amp;$G$1&amp;""&amp;L147&amp;"PE","Net Change")</f>
        <v>-0.1</v>
      </c>
      <c r="L147" s="63">
        <v>600</v>
      </c>
      <c r="M147" s="82" t="str">
        <f>RTD("nest.scriprtd",,"nse_fo|"&amp;$A$133&amp;""&amp;$G$1&amp;""&amp;L147&amp;"PE","Option Type")</f>
        <v>PE</v>
      </c>
      <c r="N147" s="58">
        <f t="shared" si="61"/>
        <v>0.6</v>
      </c>
      <c r="Q147" s="58">
        <f t="shared" si="58"/>
        <v>0</v>
      </c>
      <c r="R147" s="58">
        <f t="shared" si="59"/>
        <v>0</v>
      </c>
      <c r="Z147" s="58">
        <f t="shared" si="60"/>
        <v>0</v>
      </c>
    </row>
    <row r="148" spans="1:27" ht="15" x14ac:dyDescent="0.25">
      <c r="A148" s="63" t="str">
        <f>RTD("nest.scriprtd",,"nse_fo|"&amp;$A$133&amp;""&amp;$G$1&amp;""&amp;L148&amp;"CE","Symbol")</f>
        <v>JUBLFOOD</v>
      </c>
      <c r="B148" s="63" t="str">
        <f>RTD("nest.scriprtd",,"nse_fo|"&amp;$A$133&amp;""&amp;$G$1&amp;""&amp;L148&amp;"PE","Series/Expiry")</f>
        <v>26Dec2024</v>
      </c>
      <c r="C148" s="63">
        <f>RTD("nest.scriprtd",,"nse_fo|"&amp;$A$133&amp;""&amp;$G$1&amp;""&amp;L148&amp;"PE","Bid Qty")</f>
        <v>3750</v>
      </c>
      <c r="D148" s="63">
        <f>RTD("nest.scriprtd",,"nse_fo|"&amp;$A$133&amp;""&amp;$G$1&amp;""&amp;L148&amp;"PE","Bid Rate")</f>
        <v>0.75</v>
      </c>
      <c r="E148" s="63">
        <f>RTD("nest.scriprtd",,"nse_fo|"&amp;$A$133&amp;""&amp;$G$1&amp;""&amp;L148&amp;"PE","Ask Rate")</f>
        <v>0.85</v>
      </c>
      <c r="F148" s="63">
        <f>RTD("nest.scriprtd",,"nse_fo|"&amp;$A$133&amp;""&amp;$G$1&amp;""&amp;L148&amp;"PE","Ask Qty")</f>
        <v>5000</v>
      </c>
      <c r="G148" s="84">
        <f>RTD("nest.scriprtd",,"nse_fo|"&amp;$A$133&amp;""&amp;$G$1&amp;""&amp;L148&amp;"PE","LTP")</f>
        <v>0.8</v>
      </c>
      <c r="H148" s="63">
        <f>RTD("nest.scriprtd",,"nse_fo|"&amp;$A$133&amp;""&amp;$G$1&amp;""&amp;L148&amp;"PE","ATP")</f>
        <v>0.9</v>
      </c>
      <c r="I148" s="63">
        <f>RTD("nest.scriprtd",,"nse_fo|"&amp;$A$133&amp;""&amp;$G$1&amp;""&amp;L148&amp;"PE","Volume Traded Today")</f>
        <v>21250</v>
      </c>
      <c r="J148" s="63">
        <f>RTD("nest.scriprtd",,"nse_fo|"&amp;$A$133&amp;""&amp;$G$1&amp;""&amp;L148&amp;"PE","% Change")</f>
        <v>-5.88</v>
      </c>
      <c r="K148" s="63">
        <f>RTD("nest.scriprtd",,"nse_fo|"&amp;$A$133&amp;""&amp;$G$1&amp;""&amp;L148&amp;"PE","Net Change")</f>
        <v>-0.05</v>
      </c>
      <c r="L148" s="63">
        <f t="shared" si="62"/>
        <v>610</v>
      </c>
      <c r="M148" s="63" t="str">
        <f>RTD("nest.scriprtd",,"nse_fo|"&amp;$A$133&amp;""&amp;$G$1&amp;""&amp;L148&amp;"PE","Option Type")</f>
        <v>PE</v>
      </c>
      <c r="N148" s="58">
        <f t="shared" si="61"/>
        <v>0.8</v>
      </c>
      <c r="Q148" s="58">
        <f t="shared" si="58"/>
        <v>0</v>
      </c>
      <c r="R148" s="58">
        <f t="shared" si="59"/>
        <v>0</v>
      </c>
      <c r="Z148" s="58">
        <f t="shared" si="60"/>
        <v>0</v>
      </c>
    </row>
    <row r="149" spans="1:27" ht="15" x14ac:dyDescent="0.25">
      <c r="A149" s="63" t="str">
        <f>RTD("nest.scriprtd",,"nse_fo|"&amp;$A$133&amp;""&amp;$G$1&amp;""&amp;L149&amp;"CE","Symbol")</f>
        <v>JUBLFOOD</v>
      </c>
      <c r="B149" s="63" t="str">
        <f>RTD("nest.scriprtd",,"nse_fo|"&amp;$A$133&amp;""&amp;$G$1&amp;""&amp;L149&amp;"PE","Series/Expiry")</f>
        <v>26Dec2024</v>
      </c>
      <c r="C149" s="63">
        <f>RTD("nest.scriprtd",,"nse_fo|"&amp;$A$133&amp;""&amp;$G$1&amp;""&amp;L149&amp;"PE","Bid Qty")</f>
        <v>6250</v>
      </c>
      <c r="D149" s="63">
        <f>RTD("nest.scriprtd",,"nse_fo|"&amp;$A$133&amp;""&amp;$G$1&amp;""&amp;L149&amp;"PE","Bid Rate")</f>
        <v>0.95</v>
      </c>
      <c r="E149" s="63">
        <f>RTD("nest.scriprtd",,"nse_fo|"&amp;$A$133&amp;""&amp;$G$1&amp;""&amp;L149&amp;"PE","Ask Rate")</f>
        <v>1.05</v>
      </c>
      <c r="F149" s="63">
        <f>RTD("nest.scriprtd",,"nse_fo|"&amp;$A$133&amp;""&amp;$G$1&amp;""&amp;L149&amp;"PE","Ask Qty")</f>
        <v>16250</v>
      </c>
      <c r="G149" s="84">
        <f>RTD("nest.scriprtd",,"nse_fo|"&amp;$A$133&amp;""&amp;$G$1&amp;""&amp;L149&amp;"PE","LTP")</f>
        <v>1</v>
      </c>
      <c r="H149" s="63">
        <f>RTD("nest.scriprtd",,"nse_fo|"&amp;$A$133&amp;""&amp;$G$1&amp;""&amp;L149&amp;"PE","ATP")</f>
        <v>1.1599999999999999</v>
      </c>
      <c r="I149" s="63">
        <f>RTD("nest.scriprtd",,"nse_fo|"&amp;$A$133&amp;""&amp;$G$1&amp;""&amp;L149&amp;"PE","Volume Traded Today")</f>
        <v>256250</v>
      </c>
      <c r="J149" s="63">
        <f>RTD("nest.scriprtd",,"nse_fo|"&amp;$A$133&amp;""&amp;$G$1&amp;""&amp;L149&amp;"PE","% Change")</f>
        <v>-13.04</v>
      </c>
      <c r="K149" s="63">
        <f>RTD("nest.scriprtd",,"nse_fo|"&amp;$A$133&amp;""&amp;$G$1&amp;""&amp;L149&amp;"PE","Net Change")</f>
        <v>-0.15</v>
      </c>
      <c r="L149" s="63">
        <f t="shared" si="62"/>
        <v>620</v>
      </c>
      <c r="M149" s="63" t="str">
        <f>RTD("nest.scriprtd",,"nse_fo|"&amp;$A$133&amp;""&amp;$G$1&amp;""&amp;L149&amp;"PE","Option Type")</f>
        <v>PE</v>
      </c>
      <c r="N149" s="58">
        <f t="shared" si="61"/>
        <v>1</v>
      </c>
      <c r="Q149" s="58">
        <f t="shared" si="58"/>
        <v>0</v>
      </c>
      <c r="R149" s="58">
        <f t="shared" si="59"/>
        <v>0</v>
      </c>
      <c r="Z149" s="58">
        <f t="shared" si="60"/>
        <v>0</v>
      </c>
    </row>
    <row r="150" spans="1:27" ht="15" x14ac:dyDescent="0.25">
      <c r="A150" s="63" t="str">
        <f>RTD("nest.scriprtd",,"nse_fo|"&amp;$A$133&amp;""&amp;$G$1&amp;""&amp;L150&amp;"CE","Symbol")</f>
        <v>JUBLFOOD</v>
      </c>
      <c r="B150" s="63" t="str">
        <f>RTD("nest.scriprtd",,"nse_fo|"&amp;$A$133&amp;""&amp;$G$1&amp;""&amp;L150&amp;"PE","Series/Expiry")</f>
        <v>26Dec2024</v>
      </c>
      <c r="C150" s="63">
        <f>RTD("nest.scriprtd",,"nse_fo|"&amp;$A$133&amp;""&amp;$G$1&amp;""&amp;L150&amp;"PE","Bid Qty")</f>
        <v>10000</v>
      </c>
      <c r="D150" s="63">
        <f>RTD("nest.scriprtd",,"nse_fo|"&amp;$A$133&amp;""&amp;$G$1&amp;""&amp;L150&amp;"PE","Bid Rate")</f>
        <v>1.35</v>
      </c>
      <c r="E150" s="63">
        <f>RTD("nest.scriprtd",,"nse_fo|"&amp;$A$133&amp;""&amp;$G$1&amp;""&amp;L150&amp;"PE","Ask Rate")</f>
        <v>1.45</v>
      </c>
      <c r="F150" s="63">
        <f>RTD("nest.scriprtd",,"nse_fo|"&amp;$A$133&amp;""&amp;$G$1&amp;""&amp;L150&amp;"PE","Ask Qty")</f>
        <v>27500</v>
      </c>
      <c r="G150" s="84">
        <f>RTD("nest.scriprtd",,"nse_fo|"&amp;$A$133&amp;""&amp;$G$1&amp;""&amp;L150&amp;"PE","LTP")</f>
        <v>1.45</v>
      </c>
      <c r="H150" s="63">
        <f>RTD("nest.scriprtd",,"nse_fo|"&amp;$A$133&amp;""&amp;$G$1&amp;""&amp;L150&amp;"PE","ATP")</f>
        <v>1.62</v>
      </c>
      <c r="I150" s="63">
        <f>RTD("nest.scriprtd",,"nse_fo|"&amp;$A$133&amp;""&amp;$G$1&amp;""&amp;L150&amp;"PE","Volume Traded Today")</f>
        <v>281250</v>
      </c>
      <c r="J150" s="63">
        <f>RTD("nest.scriprtd",,"nse_fo|"&amp;$A$133&amp;""&amp;$G$1&amp;""&amp;L150&amp;"PE","% Change")</f>
        <v>-6.45</v>
      </c>
      <c r="K150" s="63">
        <f>RTD("nest.scriprtd",,"nse_fo|"&amp;$A$133&amp;""&amp;$G$1&amp;""&amp;L150&amp;"PE","Net Change")</f>
        <v>-0.1</v>
      </c>
      <c r="L150" s="63">
        <f t="shared" si="62"/>
        <v>630</v>
      </c>
      <c r="M150" s="63" t="str">
        <f>RTD("nest.scriprtd",,"nse_fo|"&amp;$A$133&amp;""&amp;$G$1&amp;""&amp;L150&amp;"PE","Option Type")</f>
        <v>PE</v>
      </c>
      <c r="N150" s="58">
        <f t="shared" si="61"/>
        <v>1.45</v>
      </c>
      <c r="Q150" s="58">
        <f t="shared" si="58"/>
        <v>0</v>
      </c>
      <c r="R150" s="58">
        <f t="shared" si="59"/>
        <v>0</v>
      </c>
      <c r="Z150" s="58">
        <f t="shared" si="60"/>
        <v>0</v>
      </c>
    </row>
    <row r="151" spans="1:27" ht="15" x14ac:dyDescent="0.25">
      <c r="A151" s="63" t="str">
        <f>RTD("nest.scriprtd",,"nse_fo|"&amp;$A$133&amp;""&amp;$G$1&amp;""&amp;L151&amp;"CE","Symbol")</f>
        <v>JUBLFOOD</v>
      </c>
      <c r="B151" s="63" t="str">
        <f>RTD("nest.scriprtd",,"nse_fo|"&amp;$A$133&amp;""&amp;$G$1&amp;""&amp;L151&amp;"PE","Series/Expiry")</f>
        <v>26Dec2024</v>
      </c>
      <c r="C151" s="63">
        <f>RTD("nest.scriprtd",,"nse_fo|"&amp;$A$133&amp;""&amp;$G$1&amp;""&amp;L151&amp;"PE","Bid Qty")</f>
        <v>6250</v>
      </c>
      <c r="D151" s="63">
        <f>RTD("nest.scriprtd",,"nse_fo|"&amp;$A$133&amp;""&amp;$G$1&amp;""&amp;L151&amp;"PE","Bid Rate")</f>
        <v>2</v>
      </c>
      <c r="E151" s="63">
        <f>RTD("nest.scriprtd",,"nse_fo|"&amp;$A$133&amp;""&amp;$G$1&amp;""&amp;L151&amp;"PE","Ask Rate")</f>
        <v>2.1</v>
      </c>
      <c r="F151" s="63">
        <f>RTD("nest.scriprtd",,"nse_fo|"&amp;$A$133&amp;""&amp;$G$1&amp;""&amp;L151&amp;"PE","Ask Qty")</f>
        <v>22500</v>
      </c>
      <c r="G151" s="84">
        <f>RTD("nest.scriprtd",,"nse_fo|"&amp;$A$133&amp;""&amp;$G$1&amp;""&amp;L151&amp;"PE","LTP")</f>
        <v>2.15</v>
      </c>
      <c r="H151" s="63">
        <f>RTD("nest.scriprtd",,"nse_fo|"&amp;$A$133&amp;""&amp;$G$1&amp;""&amp;L151&amp;"PE","ATP")</f>
        <v>2.35</v>
      </c>
      <c r="I151" s="63">
        <f>RTD("nest.scriprtd",,"nse_fo|"&amp;$A$133&amp;""&amp;$G$1&amp;""&amp;L151&amp;"PE","Volume Traded Today")</f>
        <v>540000</v>
      </c>
      <c r="J151" s="63">
        <f>RTD("nest.scriprtd",,"nse_fo|"&amp;$A$133&amp;""&amp;$G$1&amp;""&amp;L151&amp;"PE","% Change")</f>
        <v>0</v>
      </c>
      <c r="K151" s="63">
        <f>RTD("nest.scriprtd",,"nse_fo|"&amp;$A$133&amp;""&amp;$G$1&amp;""&amp;L151&amp;"PE","Net Change")</f>
        <v>0</v>
      </c>
      <c r="L151" s="63">
        <f t="shared" si="62"/>
        <v>640</v>
      </c>
      <c r="M151" s="63" t="str">
        <f>RTD("nest.scriprtd",,"nse_fo|"&amp;$A$133&amp;""&amp;$G$1&amp;""&amp;L151&amp;"PE","Option Type")</f>
        <v>PE</v>
      </c>
      <c r="N151" s="58">
        <f t="shared" si="61"/>
        <v>2.15</v>
      </c>
      <c r="Q151" s="58">
        <f t="shared" si="58"/>
        <v>0</v>
      </c>
      <c r="R151" s="58">
        <f t="shared" si="59"/>
        <v>0</v>
      </c>
      <c r="S151" s="58">
        <f>+SUM(R134:R146)-SUM(R147:R151)</f>
        <v>0</v>
      </c>
      <c r="T151" s="58">
        <f>SUM(R136:R151)-R147</f>
        <v>0</v>
      </c>
      <c r="U151" s="63" t="e">
        <f>+S151/T151</f>
        <v>#DIV/0!</v>
      </c>
      <c r="Z151" s="58">
        <f t="shared" si="60"/>
        <v>0</v>
      </c>
      <c r="AA151" s="58">
        <f>SUM(Z134:Z151)</f>
        <v>0</v>
      </c>
    </row>
    <row r="153" spans="1:27" ht="15" x14ac:dyDescent="0.25">
      <c r="A153" s="58" t="s">
        <v>84</v>
      </c>
      <c r="B153" s="58" t="str">
        <f>$A$153&amp;"-EQ"</f>
        <v>LAURUSLABS-EQ</v>
      </c>
      <c r="C153" s="58" t="s">
        <v>168</v>
      </c>
      <c r="D153" s="63">
        <v>10</v>
      </c>
      <c r="E153" s="57">
        <v>1700</v>
      </c>
      <c r="F153" s="63"/>
      <c r="G153" s="85"/>
      <c r="K153" s="63"/>
      <c r="L153" s="63"/>
      <c r="M153" s="63"/>
    </row>
    <row r="154" spans="1:27" ht="15" x14ac:dyDescent="0.25">
      <c r="A154" s="63" t="str">
        <f>RTD("nest.scriprtd",,"nse_fo|"&amp;$A$153&amp;""&amp;$G$1&amp;""&amp;C153&amp;"","Symbol")</f>
        <v>LAURUSLABS</v>
      </c>
      <c r="B154" s="63" t="str">
        <f>RTD("nest.scriprtd",,"nse_fo|"&amp;$A$153&amp;""&amp;$G$1&amp;""&amp;C153&amp;"","Series/Expiry")</f>
        <v>26Dec2024</v>
      </c>
      <c r="C154" s="63">
        <f>RTD("nest.scriprtd",,"nse_fo|"&amp;$A$153&amp;""&amp;$G$1&amp;""&amp;C153&amp;"","Bid Qty")</f>
        <v>1700</v>
      </c>
      <c r="D154" s="63">
        <f>RTD("nest.scriprtd",,"nse_fo|"&amp;$A$153&amp;""&amp;$G$1&amp;""&amp;C153&amp;"","Bid Rate")</f>
        <v>574.6</v>
      </c>
      <c r="E154" s="63">
        <f>RTD("nest.scriprtd",,"nse_fo|"&amp;$A$153&amp;""&amp;$G$1&amp;""&amp;C153&amp;"","Ask Rate")</f>
        <v>574.95000000000005</v>
      </c>
      <c r="F154" s="63">
        <f>RTD("nest.scriprtd",,"nse_fo|"&amp;$A$153&amp;""&amp;$G$1&amp;""&amp;C153&amp;"","Ask Qty")</f>
        <v>1700</v>
      </c>
      <c r="G154" s="84">
        <f>RTD("nest.scriprtd",,"nse_fo|"&amp;$A$153&amp;""&amp;$G$1&amp;""&amp;C153&amp;"","LTP")</f>
        <v>574.4</v>
      </c>
      <c r="H154" s="63">
        <f>RTD("nest.scriprtd",,"nse_fo|"&amp;$A$153&amp;""&amp;$G$1&amp;""&amp;C153&amp;"","ATP")</f>
        <v>568.67999999999995</v>
      </c>
      <c r="I154" s="63">
        <f>RTD("nest.scriprtd",,"nse_fo|"&amp;$A$153&amp;""&amp;$G$1&amp;""&amp;C153&amp;"","Volume Traded Today")</f>
        <v>15233700</v>
      </c>
      <c r="J154" s="63">
        <f>RTD("nest.scriprtd",,"nse_fo|"&amp;$A$153&amp;""&amp;$G$1&amp;""&amp;C153&amp;"","% Change")</f>
        <v>-3.03</v>
      </c>
      <c r="K154" s="63">
        <f>RTD("nest.scriprtd",,"nse_fo|"&amp;$A$153&amp;""&amp;$G$1&amp;""&amp;C153&amp;"","Net Change")</f>
        <v>-17.95</v>
      </c>
      <c r="L154" s="63">
        <f>RTD("nest.scriprtd",,"nse_fo|"&amp;$A$153&amp;""&amp;$G$1&amp;""&amp;C153&amp;"","Strike Price")</f>
        <v>0</v>
      </c>
      <c r="M154" s="63"/>
      <c r="N154" s="58">
        <f>MIN($S$154,G154)</f>
        <v>32.799999999999997</v>
      </c>
      <c r="Q154" s="58">
        <f t="shared" ref="Q154:Q171" si="68">+P154+O154</f>
        <v>0</v>
      </c>
      <c r="R154" s="58">
        <f t="shared" ref="R154:R171" si="69">+Q154*N154</f>
        <v>0</v>
      </c>
      <c r="S154" s="58">
        <f>+$Q$2*T154</f>
        <v>32.799999999999997</v>
      </c>
      <c r="T154" s="80">
        <f>+FACTOR!O4</f>
        <v>32.799999999999997</v>
      </c>
      <c r="Z154" s="58">
        <f t="shared" ref="Z154:Z171" si="70">+O154*K154</f>
        <v>0</v>
      </c>
    </row>
    <row r="155" spans="1:27" ht="15" x14ac:dyDescent="0.25">
      <c r="A155" s="63" t="str">
        <f>RTD("nest.scriprtd",,"nse_cm|"&amp;B153&amp;"","Symbol")</f>
        <v>LAURUSLABS</v>
      </c>
      <c r="B155" s="63" t="str">
        <f>RTD("nest.scriprtd",,"nse_cm|"&amp;B153&amp;"","Series/Expiry")</f>
        <v>EQ</v>
      </c>
      <c r="C155" s="63">
        <f>RTD("nest.scriprtd",,"nse_cm|"&amp;B153&amp;"","Bid Qty")</f>
        <v>1304</v>
      </c>
      <c r="D155" s="63">
        <f>RTD("nest.scriprtd",,"nse_cm|"&amp;B153&amp;"","Bid Rate")</f>
        <v>574</v>
      </c>
      <c r="E155" s="63">
        <f>RTD("nest.scriprtd",,"nse_cm|"&amp;B153&amp;"","Ask Rate")</f>
        <v>574.29999999999995</v>
      </c>
      <c r="F155" s="63">
        <f>RTD("nest.scriprtd",,"nse_cm|"&amp;B153&amp;"","Ask Qty")</f>
        <v>208</v>
      </c>
      <c r="G155" s="84">
        <f>RTD("nest.scriprtd",,"nse_cm|"&amp;B153&amp;"","LTP")</f>
        <v>574</v>
      </c>
      <c r="H155" s="63">
        <f>RTD("nest.scriprtd",,"nse_cm|"&amp;B153&amp;"","ATP")</f>
        <v>566.80999999999995</v>
      </c>
      <c r="I155" s="63">
        <f>RTD("nest.scriprtd",,"nse_cm|"&amp;B153&amp;"","Volume Traded Today")</f>
        <v>6217475</v>
      </c>
      <c r="J155" s="63">
        <f>RTD("nest.scriprtd",,"nse_cm|"&amp;B153&amp;"","% Change")</f>
        <v>-2.67</v>
      </c>
      <c r="K155" s="63">
        <f>RTD("nest.scriprtd",,"nse_cm|"&amp;B153&amp;"","Net Change")</f>
        <v>-15.75</v>
      </c>
      <c r="L155" s="63">
        <f>RTD("nest.scriprtd",,"nse_cm|"&amp;B153&amp;"","Strike Price")</f>
        <v>0</v>
      </c>
      <c r="M155" s="63"/>
      <c r="N155" s="58">
        <f t="shared" ref="N155:N171" si="71">MIN($S$154,G155)</f>
        <v>32.799999999999997</v>
      </c>
      <c r="Q155" s="58">
        <f t="shared" si="68"/>
        <v>0</v>
      </c>
      <c r="R155" s="58">
        <f t="shared" si="69"/>
        <v>0</v>
      </c>
      <c r="Z155" s="58">
        <f t="shared" si="70"/>
        <v>0</v>
      </c>
    </row>
    <row r="156" spans="1:27" ht="15" x14ac:dyDescent="0.25">
      <c r="A156" s="63" t="str">
        <f>RTD("nest.scriprtd",,"nse_fo|"&amp;$A$153&amp;""&amp;$G$1&amp;""&amp;L156&amp;"CE","Symbol")</f>
        <v>LAURUSLABS</v>
      </c>
      <c r="B156" s="63" t="str">
        <f>RTD("nest.scriprtd",,"nse_fo|"&amp;$A$153&amp;""&amp;$G$1&amp;""&amp;L156&amp;"CE","Series/Expiry")</f>
        <v>26Dec2024</v>
      </c>
      <c r="C156" s="63">
        <f>RTD("nest.scriprtd",,"nse_fo|"&amp;$A$153&amp;""&amp;$G$1&amp;""&amp;L156&amp;"CE","Bid Qty")</f>
        <v>0</v>
      </c>
      <c r="D156" s="63">
        <f>RTD("nest.scriprtd",,"nse_fo|"&amp;$A$153&amp;""&amp;$G$1&amp;""&amp;L156&amp;"CE","Bid Rate")</f>
        <v>0</v>
      </c>
      <c r="E156" s="63">
        <f>RTD("nest.scriprtd",,"nse_fo|"&amp;$A$153&amp;""&amp;$G$1&amp;""&amp;L156&amp;"CE","Ask Rate")</f>
        <v>0</v>
      </c>
      <c r="F156" s="63">
        <f>RTD("nest.scriprtd",,"nse_fo|"&amp;$A$153&amp;""&amp;$G$1&amp;""&amp;L156&amp;"CE","Ask Qty")</f>
        <v>0</v>
      </c>
      <c r="G156" s="84">
        <f>RTD("nest.scriprtd",,"nse_fo|"&amp;$A$153&amp;""&amp;$G$1&amp;""&amp;L156&amp;"CE","LTP")</f>
        <v>43.45</v>
      </c>
      <c r="H156" s="63">
        <f>RTD("nest.scriprtd",,"nse_fo|"&amp;$A$153&amp;""&amp;$G$1&amp;""&amp;L156&amp;"CE","ATP")</f>
        <v>0</v>
      </c>
      <c r="I156" s="63">
        <f>RTD("nest.scriprtd",,"nse_fo|"&amp;$A$153&amp;""&amp;$G$1&amp;""&amp;L156&amp;"CE","Volume Traded Today")</f>
        <v>0</v>
      </c>
      <c r="J156" s="63">
        <f>RTD("nest.scriprtd",,"nse_fo|"&amp;$A$153&amp;""&amp;$G$1&amp;""&amp;L156&amp;"CE","% Change")</f>
        <v>0</v>
      </c>
      <c r="K156" s="63">
        <f>RTD("nest.scriprtd",,"nse_fo|"&amp;$A$153&amp;""&amp;$G$1&amp;""&amp;L156&amp;"CE","Net Change")</f>
        <v>0</v>
      </c>
      <c r="L156" s="63">
        <v>470</v>
      </c>
      <c r="M156" s="82" t="str">
        <f>RTD("nest.scriprtd",,"nse_fo|"&amp;$A$153&amp;""&amp;$G$1&amp;""&amp;L156&amp;"CE","Option Type")</f>
        <v>CE</v>
      </c>
      <c r="N156" s="58">
        <f t="shared" si="71"/>
        <v>32.799999999999997</v>
      </c>
      <c r="Q156" s="58">
        <f t="shared" si="68"/>
        <v>0</v>
      </c>
      <c r="R156" s="58">
        <f t="shared" si="69"/>
        <v>0</v>
      </c>
      <c r="U156" s="58"/>
      <c r="Z156" s="58">
        <f t="shared" si="70"/>
        <v>0</v>
      </c>
    </row>
    <row r="157" spans="1:27" ht="15" x14ac:dyDescent="0.25">
      <c r="A157" s="63" t="str">
        <f>RTD("nest.scriprtd",,"nse_fo|"&amp;$A$153&amp;""&amp;$G$1&amp;""&amp;L157&amp;"CE","Symbol")</f>
        <v>LAURUSLABS</v>
      </c>
      <c r="B157" s="63" t="str">
        <f>RTD("nest.scriprtd",,"nse_fo|"&amp;$A$153&amp;""&amp;$G$1&amp;""&amp;L157&amp;"CE","Series/Expiry")</f>
        <v>26Dec2024</v>
      </c>
      <c r="C157" s="63">
        <f>RTD("nest.scriprtd",,"nse_fo|"&amp;$A$153&amp;""&amp;$G$1&amp;""&amp;L157&amp;"CE","Bid Qty")</f>
        <v>5100</v>
      </c>
      <c r="D157" s="63">
        <f>RTD("nest.scriprtd",,"nse_fo|"&amp;$A$153&amp;""&amp;$G$1&amp;""&amp;L157&amp;"CE","Bid Rate")</f>
        <v>91.75</v>
      </c>
      <c r="E157" s="63">
        <f>RTD("nest.scriprtd",,"nse_fo|"&amp;$A$153&amp;""&amp;$G$1&amp;""&amp;L157&amp;"CE","Ask Rate")</f>
        <v>98.35</v>
      </c>
      <c r="F157" s="63">
        <f>RTD("nest.scriprtd",,"nse_fo|"&amp;$A$153&amp;""&amp;$G$1&amp;""&amp;L157&amp;"CE","Ask Qty")</f>
        <v>5100</v>
      </c>
      <c r="G157" s="84">
        <f>RTD("nest.scriprtd",,"nse_fo|"&amp;$A$153&amp;""&amp;$G$1&amp;""&amp;L157&amp;"CE","LTP")</f>
        <v>103</v>
      </c>
      <c r="H157" s="63">
        <f>RTD("nest.scriprtd",,"nse_fo|"&amp;$A$153&amp;""&amp;$G$1&amp;""&amp;L157&amp;"CE","ATP")</f>
        <v>0</v>
      </c>
      <c r="I157" s="63">
        <f>RTD("nest.scriprtd",,"nse_fo|"&amp;$A$153&amp;""&amp;$G$1&amp;""&amp;L157&amp;"CE","Volume Traded Today")</f>
        <v>0</v>
      </c>
      <c r="J157" s="63">
        <f>RTD("nest.scriprtd",,"nse_fo|"&amp;$A$153&amp;""&amp;$G$1&amp;""&amp;L157&amp;"CE","% Change")</f>
        <v>0</v>
      </c>
      <c r="K157" s="63">
        <f>RTD("nest.scriprtd",,"nse_fo|"&amp;$A$153&amp;""&amp;$G$1&amp;""&amp;L157&amp;"CE","Net Change")</f>
        <v>0</v>
      </c>
      <c r="L157" s="63">
        <f>+L156+$D$153</f>
        <v>480</v>
      </c>
      <c r="M157" s="63" t="str">
        <f>RTD("nest.scriprtd",,"nse_fo|"&amp;$A$153&amp;""&amp;$G$1&amp;""&amp;L157&amp;"CE","Option Type")</f>
        <v>CE</v>
      </c>
      <c r="N157" s="58">
        <f t="shared" si="71"/>
        <v>32.799999999999997</v>
      </c>
      <c r="Q157" s="58">
        <f t="shared" si="68"/>
        <v>0</v>
      </c>
      <c r="R157" s="58">
        <f t="shared" si="69"/>
        <v>0</v>
      </c>
      <c r="U157" s="58"/>
      <c r="Z157" s="58">
        <f t="shared" si="70"/>
        <v>0</v>
      </c>
    </row>
    <row r="158" spans="1:27" ht="15" x14ac:dyDescent="0.25">
      <c r="A158" s="63" t="str">
        <f>RTD("nest.scriprtd",,"nse_fo|"&amp;$A$153&amp;""&amp;$G$1&amp;""&amp;L158&amp;"CE","Symbol")</f>
        <v>LAURUSLABS</v>
      </c>
      <c r="B158" s="63" t="str">
        <f>RTD("nest.scriprtd",,"nse_fo|"&amp;$A$153&amp;""&amp;$G$1&amp;""&amp;L158&amp;"CE","Series/Expiry")</f>
        <v>26Dec2024</v>
      </c>
      <c r="C158" s="63">
        <f>RTD("nest.scriprtd",,"nse_fo|"&amp;$A$153&amp;""&amp;$G$1&amp;""&amp;L158&amp;"CE","Bid Qty")</f>
        <v>5100</v>
      </c>
      <c r="D158" s="63">
        <f>RTD("nest.scriprtd",,"nse_fo|"&amp;$A$153&amp;""&amp;$G$1&amp;""&amp;L158&amp;"CE","Bid Rate")</f>
        <v>82.8</v>
      </c>
      <c r="E158" s="63">
        <f>RTD("nest.scriprtd",,"nse_fo|"&amp;$A$153&amp;""&amp;$G$1&amp;""&amp;L158&amp;"CE","Ask Rate")</f>
        <v>88.55</v>
      </c>
      <c r="F158" s="63">
        <f>RTD("nest.scriprtd",,"nse_fo|"&amp;$A$153&amp;""&amp;$G$1&amp;""&amp;L158&amp;"CE","Ask Qty")</f>
        <v>5100</v>
      </c>
      <c r="G158" s="84">
        <f>RTD("nest.scriprtd",,"nse_fo|"&amp;$A$153&amp;""&amp;$G$1&amp;""&amp;L158&amp;"CE","LTP")</f>
        <v>90</v>
      </c>
      <c r="H158" s="63">
        <f>RTD("nest.scriprtd",,"nse_fo|"&amp;$A$153&amp;""&amp;$G$1&amp;""&amp;L158&amp;"CE","ATP")</f>
        <v>0</v>
      </c>
      <c r="I158" s="63">
        <f>RTD("nest.scriprtd",,"nse_fo|"&amp;$A$153&amp;""&amp;$G$1&amp;""&amp;L158&amp;"CE","Volume Traded Today")</f>
        <v>0</v>
      </c>
      <c r="J158" s="63">
        <f>RTD("nest.scriprtd",,"nse_fo|"&amp;$A$153&amp;""&amp;$G$1&amp;""&amp;L158&amp;"CE","% Change")</f>
        <v>0</v>
      </c>
      <c r="K158" s="63">
        <f>RTD("nest.scriprtd",,"nse_fo|"&amp;$A$153&amp;""&amp;$G$1&amp;""&amp;L158&amp;"CE","Net Change")</f>
        <v>0</v>
      </c>
      <c r="L158" s="63">
        <f t="shared" ref="L158:L171" si="72">+L157+$D$153</f>
        <v>490</v>
      </c>
      <c r="M158" s="63" t="str">
        <f>RTD("nest.scriprtd",,"nse_fo|"&amp;$A$153&amp;""&amp;$G$1&amp;""&amp;L158&amp;"CE","Option Type")</f>
        <v>CE</v>
      </c>
      <c r="N158" s="58">
        <f t="shared" si="71"/>
        <v>32.799999999999997</v>
      </c>
      <c r="Q158" s="58">
        <f t="shared" si="68"/>
        <v>0</v>
      </c>
      <c r="R158" s="58">
        <f t="shared" si="69"/>
        <v>0</v>
      </c>
      <c r="U158" s="58"/>
      <c r="Z158" s="58">
        <f t="shared" si="70"/>
        <v>0</v>
      </c>
    </row>
    <row r="159" spans="1:27" ht="15" x14ac:dyDescent="0.25">
      <c r="A159" s="63" t="str">
        <f>RTD("nest.scriprtd",,"nse_fo|"&amp;$A$153&amp;""&amp;$G$1&amp;""&amp;L159&amp;"CE","Symbol")</f>
        <v>LAURUSLABS</v>
      </c>
      <c r="B159" s="63" t="str">
        <f>RTD("nest.scriprtd",,"nse_fo|"&amp;$A$153&amp;""&amp;$G$1&amp;""&amp;L159&amp;"CE","Series/Expiry")</f>
        <v>26Dec2024</v>
      </c>
      <c r="C159" s="63">
        <f>RTD("nest.scriprtd",,"nse_fo|"&amp;$A$153&amp;""&amp;$G$1&amp;""&amp;L159&amp;"CE","Bid Qty")</f>
        <v>3400</v>
      </c>
      <c r="D159" s="63">
        <f>RTD("nest.scriprtd",,"nse_fo|"&amp;$A$153&amp;""&amp;$G$1&amp;""&amp;L159&amp;"CE","Bid Rate")</f>
        <v>74.7</v>
      </c>
      <c r="E159" s="63">
        <f>RTD("nest.scriprtd",,"nse_fo|"&amp;$A$153&amp;""&amp;$G$1&amp;""&amp;L159&amp;"CE","Ask Rate")</f>
        <v>76.45</v>
      </c>
      <c r="F159" s="63">
        <f>RTD("nest.scriprtd",,"nse_fo|"&amp;$A$153&amp;""&amp;$G$1&amp;""&amp;L159&amp;"CE","Ask Qty")</f>
        <v>1700</v>
      </c>
      <c r="G159" s="84">
        <f>RTD("nest.scriprtd",,"nse_fo|"&amp;$A$153&amp;""&amp;$G$1&amp;""&amp;L159&amp;"CE","LTP")</f>
        <v>68.75</v>
      </c>
      <c r="H159" s="63">
        <f>RTD("nest.scriprtd",,"nse_fo|"&amp;$A$153&amp;""&amp;$G$1&amp;""&amp;L159&amp;"CE","ATP")</f>
        <v>65.489999999999995</v>
      </c>
      <c r="I159" s="63">
        <f>RTD("nest.scriprtd",,"nse_fo|"&amp;$A$153&amp;""&amp;$G$1&amp;""&amp;L159&amp;"CE","Volume Traded Today")</f>
        <v>18700</v>
      </c>
      <c r="J159" s="63">
        <f>RTD("nest.scriprtd",,"nse_fo|"&amp;$A$153&amp;""&amp;$G$1&amp;""&amp;L159&amp;"CE","% Change")</f>
        <v>-24.12</v>
      </c>
      <c r="K159" s="63">
        <f>RTD("nest.scriprtd",,"nse_fo|"&amp;$A$153&amp;""&amp;$G$1&amp;""&amp;L159&amp;"CE","Net Change")</f>
        <v>-21.85</v>
      </c>
      <c r="L159" s="63">
        <f t="shared" si="72"/>
        <v>500</v>
      </c>
      <c r="M159" s="63" t="str">
        <f>RTD("nest.scriprtd",,"nse_fo|"&amp;$A$153&amp;""&amp;$G$1&amp;""&amp;L159&amp;"CE","Option Type")</f>
        <v>CE</v>
      </c>
      <c r="N159" s="58">
        <f t="shared" si="71"/>
        <v>32.799999999999997</v>
      </c>
      <c r="Q159" s="58">
        <f t="shared" si="68"/>
        <v>0</v>
      </c>
      <c r="R159" s="58">
        <f t="shared" si="69"/>
        <v>0</v>
      </c>
      <c r="U159" s="58"/>
      <c r="Z159" s="58">
        <f t="shared" si="70"/>
        <v>0</v>
      </c>
    </row>
    <row r="160" spans="1:27" ht="15" x14ac:dyDescent="0.25">
      <c r="A160" s="63" t="str">
        <f>RTD("nest.scriprtd",,"nse_fo|"&amp;$A$153&amp;""&amp;$G$1&amp;""&amp;L160&amp;"CE","Symbol")</f>
        <v>LAURUSLABS</v>
      </c>
      <c r="B160" s="63" t="str">
        <f>RTD("nest.scriprtd",,"nse_fo|"&amp;$A$153&amp;""&amp;$G$1&amp;""&amp;L160&amp;"CE","Series/Expiry")</f>
        <v>26Dec2024</v>
      </c>
      <c r="C160" s="63">
        <f>RTD("nest.scriprtd",,"nse_fo|"&amp;$A$153&amp;""&amp;$G$1&amp;""&amp;L160&amp;"CE","Bid Qty")</f>
        <v>1700</v>
      </c>
      <c r="D160" s="63">
        <f>RTD("nest.scriprtd",,"nse_fo|"&amp;$A$153&amp;""&amp;$G$1&amp;""&amp;L160&amp;"CE","Bid Rate")</f>
        <v>65.400000000000006</v>
      </c>
      <c r="E160" s="63">
        <f>RTD("nest.scriprtd",,"nse_fo|"&amp;$A$153&amp;""&amp;$G$1&amp;""&amp;L160&amp;"CE","Ask Rate")</f>
        <v>66.2</v>
      </c>
      <c r="F160" s="63">
        <f>RTD("nest.scriprtd",,"nse_fo|"&amp;$A$153&amp;""&amp;$G$1&amp;""&amp;L160&amp;"CE","Ask Qty")</f>
        <v>1700</v>
      </c>
      <c r="G160" s="84">
        <f>RTD("nest.scriprtd",,"nse_fo|"&amp;$A$153&amp;""&amp;$G$1&amp;""&amp;L160&amp;"CE","LTP")</f>
        <v>60.8</v>
      </c>
      <c r="H160" s="63">
        <f>RTD("nest.scriprtd",,"nse_fo|"&amp;$A$153&amp;""&amp;$G$1&amp;""&amp;L160&amp;"CE","ATP")</f>
        <v>61.35</v>
      </c>
      <c r="I160" s="63">
        <f>RTD("nest.scriprtd",,"nse_fo|"&amp;$A$153&amp;""&amp;$G$1&amp;""&amp;L160&amp;"CE","Volume Traded Today")</f>
        <v>249900</v>
      </c>
      <c r="J160" s="63">
        <f>RTD("nest.scriprtd",,"nse_fo|"&amp;$A$153&amp;""&amp;$G$1&amp;""&amp;L160&amp;"CE","% Change")</f>
        <v>-26.75</v>
      </c>
      <c r="K160" s="63">
        <f>RTD("nest.scriprtd",,"nse_fo|"&amp;$A$153&amp;""&amp;$G$1&amp;""&amp;L160&amp;"CE","Net Change")</f>
        <v>-22.2</v>
      </c>
      <c r="L160" s="63">
        <f t="shared" si="72"/>
        <v>510</v>
      </c>
      <c r="M160" s="63" t="str">
        <f>RTD("nest.scriprtd",,"nse_fo|"&amp;$A$153&amp;""&amp;$G$1&amp;""&amp;L160&amp;"CE","Option Type")</f>
        <v>CE</v>
      </c>
      <c r="N160" s="58">
        <f t="shared" si="71"/>
        <v>32.799999999999997</v>
      </c>
      <c r="Q160" s="58">
        <f>+P160+O160</f>
        <v>0</v>
      </c>
      <c r="R160" s="58">
        <f t="shared" si="69"/>
        <v>0</v>
      </c>
      <c r="Z160" s="58">
        <f>+O160*K160</f>
        <v>0</v>
      </c>
    </row>
    <row r="161" spans="1:27" ht="15" x14ac:dyDescent="0.25">
      <c r="A161" s="63" t="str">
        <f>RTD("nest.scriprtd",,"nse_fo|"&amp;$A$153&amp;""&amp;$G$1&amp;""&amp;L161&amp;"CE","Symbol")</f>
        <v>LAURUSLABS</v>
      </c>
      <c r="B161" s="63" t="str">
        <f>RTD("nest.scriprtd",,"nse_fo|"&amp;$A$153&amp;""&amp;$G$1&amp;""&amp;L161&amp;"CE","Series/Expiry")</f>
        <v>26Dec2024</v>
      </c>
      <c r="C161" s="63">
        <f>RTD("nest.scriprtd",,"nse_fo|"&amp;$A$153&amp;""&amp;$G$1&amp;""&amp;L161&amp;"CE","Bid Qty")</f>
        <v>3400</v>
      </c>
      <c r="D161" s="63">
        <f>RTD("nest.scriprtd",,"nse_fo|"&amp;$A$153&amp;""&amp;$G$1&amp;""&amp;L161&amp;"CE","Bid Rate")</f>
        <v>56.25</v>
      </c>
      <c r="E161" s="63">
        <f>RTD("nest.scriprtd",,"nse_fo|"&amp;$A$153&amp;""&amp;$G$1&amp;""&amp;L161&amp;"CE","Ask Rate")</f>
        <v>57</v>
      </c>
      <c r="F161" s="63">
        <f>RTD("nest.scriprtd",,"nse_fo|"&amp;$A$153&amp;""&amp;$G$1&amp;""&amp;L161&amp;"CE","Ask Qty")</f>
        <v>1700</v>
      </c>
      <c r="G161" s="84">
        <f>RTD("nest.scriprtd",,"nse_fo|"&amp;$A$153&amp;""&amp;$G$1&amp;""&amp;L161&amp;"CE","LTP")</f>
        <v>55.4</v>
      </c>
      <c r="H161" s="63">
        <f>RTD("nest.scriprtd",,"nse_fo|"&amp;$A$153&amp;""&amp;$G$1&amp;""&amp;L161&amp;"CE","ATP")</f>
        <v>48.2</v>
      </c>
      <c r="I161" s="63">
        <f>RTD("nest.scriprtd",,"nse_fo|"&amp;$A$153&amp;""&amp;$G$1&amp;""&amp;L161&amp;"CE","Volume Traded Today")</f>
        <v>224400</v>
      </c>
      <c r="J161" s="63">
        <f>RTD("nest.scriprtd",,"nse_fo|"&amp;$A$153&amp;""&amp;$G$1&amp;""&amp;L161&amp;"CE","% Change")</f>
        <v>-22.52</v>
      </c>
      <c r="K161" s="63">
        <f>RTD("nest.scriprtd",,"nse_fo|"&amp;$A$153&amp;""&amp;$G$1&amp;""&amp;L161&amp;"CE","Net Change")</f>
        <v>-16.100000000000001</v>
      </c>
      <c r="L161" s="63">
        <f t="shared" si="72"/>
        <v>520</v>
      </c>
      <c r="M161" s="63" t="str">
        <f>RTD("nest.scriprtd",,"nse_fo|"&amp;$A$153&amp;""&amp;$G$1&amp;""&amp;L161&amp;"CE","Option Type")</f>
        <v>CE</v>
      </c>
      <c r="N161" s="58">
        <f t="shared" si="71"/>
        <v>32.799999999999997</v>
      </c>
      <c r="Q161" s="58">
        <f>+P161+O161</f>
        <v>0</v>
      </c>
      <c r="R161" s="58">
        <f t="shared" si="69"/>
        <v>0</v>
      </c>
      <c r="Z161" s="58">
        <f>+O161*K161</f>
        <v>0</v>
      </c>
    </row>
    <row r="162" spans="1:27" ht="15" x14ac:dyDescent="0.25">
      <c r="A162" s="63" t="str">
        <f>RTD("nest.scriprtd",,"nse_fo|"&amp;$A$153&amp;""&amp;$G$1&amp;""&amp;L162&amp;"CE","Symbol")</f>
        <v>LAURUSLABS</v>
      </c>
      <c r="B162" s="63" t="str">
        <f>RTD("nest.scriprtd",,"nse_fo|"&amp;$A$153&amp;""&amp;$G$1&amp;""&amp;L162&amp;"CE","Series/Expiry")</f>
        <v>26Dec2024</v>
      </c>
      <c r="C162" s="63">
        <f>RTD("nest.scriprtd",,"nse_fo|"&amp;$A$153&amp;""&amp;$G$1&amp;""&amp;L162&amp;"CE","Bid Qty")</f>
        <v>1700</v>
      </c>
      <c r="D162" s="63">
        <f>RTD("nest.scriprtd",,"nse_fo|"&amp;$A$153&amp;""&amp;$G$1&amp;""&amp;L162&amp;"CE","Bid Rate")</f>
        <v>47.35</v>
      </c>
      <c r="E162" s="63">
        <f>RTD("nest.scriprtd",,"nse_fo|"&amp;$A$153&amp;""&amp;$G$1&amp;""&amp;L162&amp;"CE","Ask Rate")</f>
        <v>48.3</v>
      </c>
      <c r="F162" s="63">
        <f>RTD("nest.scriprtd",,"nse_fo|"&amp;$A$153&amp;""&amp;$G$1&amp;""&amp;L162&amp;"CE","Ask Qty")</f>
        <v>3400</v>
      </c>
      <c r="G162" s="84">
        <f>RTD("nest.scriprtd",,"nse_fo|"&amp;$A$153&amp;""&amp;$G$1&amp;""&amp;L162&amp;"CE","LTP")</f>
        <v>46.6</v>
      </c>
      <c r="H162" s="63">
        <f>RTD("nest.scriprtd",,"nse_fo|"&amp;$A$153&amp;""&amp;$G$1&amp;""&amp;L162&amp;"CE","ATP")</f>
        <v>43.71</v>
      </c>
      <c r="I162" s="63">
        <f>RTD("nest.scriprtd",,"nse_fo|"&amp;$A$153&amp;""&amp;$G$1&amp;""&amp;L162&amp;"CE","Volume Traded Today")</f>
        <v>86700</v>
      </c>
      <c r="J162" s="63">
        <f>RTD("nest.scriprtd",,"nse_fo|"&amp;$A$153&amp;""&amp;$G$1&amp;""&amp;L162&amp;"CE","% Change")</f>
        <v>-18.32</v>
      </c>
      <c r="K162" s="63">
        <f>RTD("nest.scriprtd",,"nse_fo|"&amp;$A$153&amp;""&amp;$G$1&amp;""&amp;L162&amp;"CE","Net Change")</f>
        <v>-10.45</v>
      </c>
      <c r="L162" s="63">
        <f t="shared" si="72"/>
        <v>530</v>
      </c>
      <c r="M162" s="63" t="str">
        <f>RTD("nest.scriprtd",,"nse_fo|"&amp;$A$153&amp;""&amp;$G$1&amp;""&amp;L162&amp;"CE","Option Type")</f>
        <v>CE</v>
      </c>
      <c r="N162" s="58">
        <f t="shared" ref="N162:N164" si="73">MIN($S$154,G162)</f>
        <v>32.799999999999997</v>
      </c>
      <c r="Q162" s="58">
        <f t="shared" ref="Q162:Q164" si="74">+P162+O162</f>
        <v>0</v>
      </c>
      <c r="R162" s="58">
        <f t="shared" ref="R162:R164" si="75">+Q162*N162</f>
        <v>0</v>
      </c>
      <c r="Z162" s="58">
        <f t="shared" ref="Z162:Z164" si="76">+O162*K162</f>
        <v>0</v>
      </c>
    </row>
    <row r="163" spans="1:27" ht="15" x14ac:dyDescent="0.25">
      <c r="A163" s="63" t="str">
        <f>RTD("nest.scriprtd",,"nse_fo|"&amp;$A$153&amp;""&amp;$G$1&amp;""&amp;L163&amp;"CE","Symbol")</f>
        <v>LAURUSLABS</v>
      </c>
      <c r="B163" s="63" t="str">
        <f>RTD("nest.scriprtd",,"nse_fo|"&amp;$A$153&amp;""&amp;$G$1&amp;""&amp;L163&amp;"CE","Series/Expiry")</f>
        <v>26Dec2024</v>
      </c>
      <c r="C163" s="63">
        <f>RTD("nest.scriprtd",,"nse_fo|"&amp;$A$153&amp;""&amp;$G$1&amp;""&amp;L163&amp;"CE","Bid Qty")</f>
        <v>1700</v>
      </c>
      <c r="D163" s="63">
        <f>RTD("nest.scriprtd",,"nse_fo|"&amp;$A$153&amp;""&amp;$G$1&amp;""&amp;L163&amp;"CE","Bid Rate")</f>
        <v>39.049999999999997</v>
      </c>
      <c r="E163" s="63">
        <f>RTD("nest.scriprtd",,"nse_fo|"&amp;$A$153&amp;""&amp;$G$1&amp;""&amp;L163&amp;"CE","Ask Rate")</f>
        <v>39.6</v>
      </c>
      <c r="F163" s="63">
        <f>RTD("nest.scriprtd",,"nse_fo|"&amp;$A$153&amp;""&amp;$G$1&amp;""&amp;L163&amp;"CE","Ask Qty")</f>
        <v>1700</v>
      </c>
      <c r="G163" s="84">
        <f>RTD("nest.scriprtd",,"nse_fo|"&amp;$A$153&amp;""&amp;$G$1&amp;""&amp;L163&amp;"CE","LTP")</f>
        <v>39</v>
      </c>
      <c r="H163" s="63">
        <f>RTD("nest.scriprtd",,"nse_fo|"&amp;$A$153&amp;""&amp;$G$1&amp;""&amp;L163&amp;"CE","ATP")</f>
        <v>32.03</v>
      </c>
      <c r="I163" s="63">
        <f>RTD("nest.scriprtd",,"nse_fo|"&amp;$A$153&amp;""&amp;$G$1&amp;""&amp;L163&amp;"CE","Volume Traded Today")</f>
        <v>355300</v>
      </c>
      <c r="J163" s="63">
        <f>RTD("nest.scriprtd",,"nse_fo|"&amp;$A$153&amp;""&amp;$G$1&amp;""&amp;L163&amp;"CE","% Change")</f>
        <v>-27.71</v>
      </c>
      <c r="K163" s="63">
        <f>RTD("nest.scriprtd",,"nse_fo|"&amp;$A$153&amp;""&amp;$G$1&amp;""&amp;L163&amp;"CE","Net Change")</f>
        <v>-14.95</v>
      </c>
      <c r="L163" s="63">
        <f t="shared" si="72"/>
        <v>540</v>
      </c>
      <c r="M163" s="63" t="str">
        <f>RTD("nest.scriprtd",,"nse_fo|"&amp;$A$153&amp;""&amp;$G$1&amp;""&amp;L163&amp;"CE","Option Type")</f>
        <v>CE</v>
      </c>
      <c r="N163" s="58">
        <f t="shared" si="73"/>
        <v>32.799999999999997</v>
      </c>
      <c r="Q163" s="58">
        <f t="shared" si="74"/>
        <v>0</v>
      </c>
      <c r="R163" s="58">
        <f t="shared" si="75"/>
        <v>0</v>
      </c>
      <c r="Z163" s="58">
        <f t="shared" si="76"/>
        <v>0</v>
      </c>
    </row>
    <row r="164" spans="1:27" ht="15" x14ac:dyDescent="0.25">
      <c r="A164" s="63" t="str">
        <f>RTD("nest.scriprtd",,"nse_fo|"&amp;$A$153&amp;""&amp;$G$1&amp;""&amp;L164&amp;"CE","Symbol")</f>
        <v>LAURUSLABS</v>
      </c>
      <c r="B164" s="63" t="str">
        <f>RTD("nest.scriprtd",,"nse_fo|"&amp;$A$153&amp;""&amp;$G$1&amp;""&amp;L164&amp;"CE","Series/Expiry")</f>
        <v>26Dec2024</v>
      </c>
      <c r="C164" s="63">
        <f>RTD("nest.scriprtd",,"nse_fo|"&amp;$A$153&amp;""&amp;$G$1&amp;""&amp;L164&amp;"CE","Bid Qty")</f>
        <v>1700</v>
      </c>
      <c r="D164" s="63">
        <f>RTD("nest.scriprtd",,"nse_fo|"&amp;$A$153&amp;""&amp;$G$1&amp;""&amp;L164&amp;"CE","Bid Rate")</f>
        <v>31.55</v>
      </c>
      <c r="E164" s="63">
        <f>RTD("nest.scriprtd",,"nse_fo|"&amp;$A$153&amp;""&amp;$G$1&amp;""&amp;L164&amp;"CE","Ask Rate")</f>
        <v>31.9</v>
      </c>
      <c r="F164" s="63">
        <f>RTD("nest.scriprtd",,"nse_fo|"&amp;$A$153&amp;""&amp;$G$1&amp;""&amp;L164&amp;"CE","Ask Qty")</f>
        <v>3400</v>
      </c>
      <c r="G164" s="84">
        <f>RTD("nest.scriprtd",,"nse_fo|"&amp;$A$153&amp;""&amp;$G$1&amp;""&amp;L164&amp;"CE","LTP")</f>
        <v>31.9</v>
      </c>
      <c r="H164" s="63">
        <f>RTD("nest.scriprtd",,"nse_fo|"&amp;$A$153&amp;""&amp;$G$1&amp;""&amp;L164&amp;"CE","ATP")</f>
        <v>26.46</v>
      </c>
      <c r="I164" s="63">
        <f>RTD("nest.scriprtd",,"nse_fo|"&amp;$A$153&amp;""&amp;$G$1&amp;""&amp;L164&amp;"CE","Volume Traded Today")</f>
        <v>719100</v>
      </c>
      <c r="J164" s="63">
        <f>RTD("nest.scriprtd",,"nse_fo|"&amp;$A$153&amp;""&amp;$G$1&amp;""&amp;L164&amp;"CE","% Change")</f>
        <v>-33.26</v>
      </c>
      <c r="K164" s="63">
        <f>RTD("nest.scriprtd",,"nse_fo|"&amp;$A$153&amp;""&amp;$G$1&amp;""&amp;L164&amp;"CE","Net Change")</f>
        <v>-15.9</v>
      </c>
      <c r="L164" s="63">
        <f t="shared" si="72"/>
        <v>550</v>
      </c>
      <c r="M164" s="63" t="str">
        <f>RTD("nest.scriprtd",,"nse_fo|"&amp;$A$153&amp;""&amp;$G$1&amp;""&amp;L164&amp;"CE","Option Type")</f>
        <v>CE</v>
      </c>
      <c r="N164" s="58">
        <f t="shared" si="73"/>
        <v>31.9</v>
      </c>
      <c r="Q164" s="58">
        <f t="shared" si="74"/>
        <v>0</v>
      </c>
      <c r="R164" s="58">
        <f t="shared" si="75"/>
        <v>0</v>
      </c>
      <c r="Z164" s="58">
        <f t="shared" si="76"/>
        <v>0</v>
      </c>
    </row>
    <row r="165" spans="1:27" ht="15" x14ac:dyDescent="0.25">
      <c r="A165" s="63" t="str">
        <f>RTD("nest.scriprtd",,"nse_fo|"&amp;$A$153&amp;""&amp;$G$1&amp;""&amp;L165&amp;"CE","Symbol")</f>
        <v>LAURUSLABS</v>
      </c>
      <c r="B165" s="63" t="str">
        <f>RTD("nest.scriprtd",,"nse_fo|"&amp;$A$153&amp;""&amp;$G$1&amp;""&amp;L165&amp;"CE","Series/Expiry")</f>
        <v>26Dec2024</v>
      </c>
      <c r="C165" s="63">
        <f>RTD("nest.scriprtd",,"nse_fo|"&amp;$A$153&amp;""&amp;$G$1&amp;""&amp;L165&amp;"CE","Bid Qty")</f>
        <v>3400</v>
      </c>
      <c r="D165" s="63">
        <f>RTD("nest.scriprtd",,"nse_fo|"&amp;$A$153&amp;""&amp;$G$1&amp;""&amp;L165&amp;"CE","Bid Rate")</f>
        <v>24.6</v>
      </c>
      <c r="E165" s="63">
        <f>RTD("nest.scriprtd",,"nse_fo|"&amp;$A$153&amp;""&amp;$G$1&amp;""&amp;L165&amp;"CE","Ask Rate")</f>
        <v>24.85</v>
      </c>
      <c r="F165" s="63">
        <f>RTD("nest.scriprtd",,"nse_fo|"&amp;$A$153&amp;""&amp;$G$1&amp;""&amp;L165&amp;"CE","Ask Qty")</f>
        <v>1700</v>
      </c>
      <c r="G165" s="84">
        <f>RTD("nest.scriprtd",,"nse_fo|"&amp;$A$153&amp;""&amp;$G$1&amp;""&amp;L165&amp;"CE","LTP")</f>
        <v>24.5</v>
      </c>
      <c r="H165" s="63">
        <f>RTD("nest.scriprtd",,"nse_fo|"&amp;$A$153&amp;""&amp;$G$1&amp;""&amp;L165&amp;"CE","ATP")</f>
        <v>19.75</v>
      </c>
      <c r="I165" s="63">
        <f>RTD("nest.scriprtd",,"nse_fo|"&amp;$A$153&amp;""&amp;$G$1&amp;""&amp;L165&amp;"CE","Volume Traded Today")</f>
        <v>2663900</v>
      </c>
      <c r="J165" s="63">
        <f>RTD("nest.scriprtd",,"nse_fo|"&amp;$A$153&amp;""&amp;$G$1&amp;""&amp;L165&amp;"CE","% Change")</f>
        <v>-36.770000000000003</v>
      </c>
      <c r="K165" s="63">
        <f>RTD("nest.scriprtd",,"nse_fo|"&amp;$A$153&amp;""&amp;$G$1&amp;""&amp;L165&amp;"CE","Net Change")</f>
        <v>-14.25</v>
      </c>
      <c r="L165" s="63">
        <f t="shared" si="72"/>
        <v>560</v>
      </c>
      <c r="M165" s="63" t="str">
        <f>RTD("nest.scriprtd",,"nse_fo|"&amp;$A$153&amp;""&amp;$G$1&amp;""&amp;L165&amp;"CE","Option Type")</f>
        <v>CE</v>
      </c>
      <c r="N165" s="58">
        <f t="shared" si="71"/>
        <v>24.5</v>
      </c>
      <c r="Q165" s="58">
        <f>+P165+O165</f>
        <v>0</v>
      </c>
      <c r="R165" s="58">
        <f t="shared" si="69"/>
        <v>0</v>
      </c>
      <c r="Z165" s="58">
        <f>+O165*K165</f>
        <v>0</v>
      </c>
    </row>
    <row r="166" spans="1:27" ht="15" x14ac:dyDescent="0.25">
      <c r="A166" s="63" t="str">
        <f>RTD("nest.scriprtd",,"nse_fo|"&amp;$A$153&amp;""&amp;$G$1&amp;""&amp;L166&amp;"CE","Symbol")</f>
        <v>LAURUSLABS</v>
      </c>
      <c r="B166" s="63" t="str">
        <f>RTD("nest.scriprtd",,"nse_fo|"&amp;$A$153&amp;""&amp;$G$1&amp;""&amp;L166&amp;"CE","Series/Expiry")</f>
        <v>26Dec2024</v>
      </c>
      <c r="C166" s="63">
        <f>RTD("nest.scriprtd",,"nse_fo|"&amp;$A$153&amp;""&amp;$G$1&amp;""&amp;L166&amp;"CE","Bid Qty")</f>
        <v>3400</v>
      </c>
      <c r="D166" s="63">
        <f>RTD("nest.scriprtd",,"nse_fo|"&amp;$A$153&amp;""&amp;$G$1&amp;""&amp;L166&amp;"CE","Bid Rate")</f>
        <v>18.8</v>
      </c>
      <c r="E166" s="63">
        <f>RTD("nest.scriprtd",,"nse_fo|"&amp;$A$153&amp;""&amp;$G$1&amp;""&amp;L166&amp;"CE","Ask Rate")</f>
        <v>19</v>
      </c>
      <c r="F166" s="63">
        <f>RTD("nest.scriprtd",,"nse_fo|"&amp;$A$153&amp;""&amp;$G$1&amp;""&amp;L166&amp;"CE","Ask Qty")</f>
        <v>3400</v>
      </c>
      <c r="G166" s="84">
        <f>RTD("nest.scriprtd",,"nse_fo|"&amp;$A$153&amp;""&amp;$G$1&amp;""&amp;L166&amp;"CE","LTP")</f>
        <v>19.05</v>
      </c>
      <c r="H166" s="63">
        <f>RTD("nest.scriprtd",,"nse_fo|"&amp;$A$153&amp;""&amp;$G$1&amp;""&amp;L166&amp;"CE","ATP")</f>
        <v>15.7</v>
      </c>
      <c r="I166" s="63">
        <f>RTD("nest.scriprtd",,"nse_fo|"&amp;$A$153&amp;""&amp;$G$1&amp;""&amp;L166&amp;"CE","Volume Traded Today")</f>
        <v>4110600</v>
      </c>
      <c r="J166" s="63">
        <f>RTD("nest.scriprtd",,"nse_fo|"&amp;$A$153&amp;""&amp;$G$1&amp;""&amp;L166&amp;"CE","% Change")</f>
        <v>-37.130000000000003</v>
      </c>
      <c r="K166" s="63">
        <f>RTD("nest.scriprtd",,"nse_fo|"&amp;$A$153&amp;""&amp;$G$1&amp;""&amp;L166&amp;"CE","Net Change")</f>
        <v>-11.25</v>
      </c>
      <c r="L166" s="63">
        <f t="shared" si="72"/>
        <v>570</v>
      </c>
      <c r="M166" s="63" t="str">
        <f>RTD("nest.scriprtd",,"nse_fo|"&amp;$A$153&amp;""&amp;$G$1&amp;""&amp;L166&amp;"CE","Option Type")</f>
        <v>CE</v>
      </c>
      <c r="N166" s="58">
        <f t="shared" si="71"/>
        <v>19.05</v>
      </c>
      <c r="Q166" s="58">
        <f t="shared" si="68"/>
        <v>0</v>
      </c>
      <c r="R166" s="58">
        <f t="shared" si="69"/>
        <v>0</v>
      </c>
      <c r="Z166" s="58">
        <f t="shared" si="70"/>
        <v>0</v>
      </c>
    </row>
    <row r="167" spans="1:27" ht="15" x14ac:dyDescent="0.25">
      <c r="A167" s="63" t="str">
        <f>RTD("nest.scriprtd",,"nse_fo|"&amp;$A$153&amp;""&amp;$G$1&amp;""&amp;L167&amp;"CE","Symbol")</f>
        <v>LAURUSLABS</v>
      </c>
      <c r="B167" s="63" t="str">
        <f>RTD("nest.scriprtd",,"nse_fo|"&amp;$A$153&amp;""&amp;$G$1&amp;""&amp;L167&amp;"PE","Series/Expiry")</f>
        <v>26Dec2024</v>
      </c>
      <c r="C167" s="63">
        <f>RTD("nest.scriprtd",,"nse_fo|"&amp;$A$153&amp;""&amp;$G$1&amp;""&amp;L167&amp;"PE","Bid Qty")</f>
        <v>3400</v>
      </c>
      <c r="D167" s="63">
        <f>RTD("nest.scriprtd",,"nse_fo|"&amp;$A$153&amp;""&amp;$G$1&amp;""&amp;L167&amp;"PE","Bid Rate")</f>
        <v>0.4</v>
      </c>
      <c r="E167" s="63">
        <f>RTD("nest.scriprtd",,"nse_fo|"&amp;$A$153&amp;""&amp;$G$1&amp;""&amp;L167&amp;"PE","Ask Rate")</f>
        <v>0.8</v>
      </c>
      <c r="F167" s="63">
        <f>RTD("nest.scriprtd",,"nse_fo|"&amp;$A$153&amp;""&amp;$G$1&amp;""&amp;L167&amp;"PE","Ask Qty")</f>
        <v>1700</v>
      </c>
      <c r="G167" s="84">
        <f>RTD("nest.scriprtd",,"nse_fo|"&amp;$A$153&amp;""&amp;$G$1&amp;""&amp;L167&amp;"PE","LTP")</f>
        <v>0.45</v>
      </c>
      <c r="H167" s="63">
        <f>RTD("nest.scriprtd",,"nse_fo|"&amp;$A$153&amp;""&amp;$G$1&amp;""&amp;L167&amp;"PE","ATP")</f>
        <v>0.6</v>
      </c>
      <c r="I167" s="63">
        <f>RTD("nest.scriprtd",,"nse_fo|"&amp;$A$153&amp;""&amp;$G$1&amp;""&amp;L167&amp;"PE","Volume Traded Today")</f>
        <v>3400</v>
      </c>
      <c r="J167" s="63">
        <f>RTD("nest.scriprtd",,"nse_fo|"&amp;$A$153&amp;""&amp;$G$1&amp;""&amp;L167&amp;"PE","% Change")</f>
        <v>50</v>
      </c>
      <c r="K167" s="63">
        <f>RTD("nest.scriprtd",,"nse_fo|"&amp;$A$153&amp;""&amp;$G$1&amp;""&amp;L167&amp;"PE","Net Change")</f>
        <v>0.15</v>
      </c>
      <c r="L167" s="63">
        <v>470</v>
      </c>
      <c r="M167" s="82" t="str">
        <f>RTD("nest.scriprtd",,"nse_fo|"&amp;$A$153&amp;""&amp;$G$1&amp;""&amp;L167&amp;"PE","Option Type")</f>
        <v>PE</v>
      </c>
      <c r="N167" s="58">
        <f t="shared" si="71"/>
        <v>0.45</v>
      </c>
      <c r="Q167" s="58">
        <f t="shared" si="68"/>
        <v>0</v>
      </c>
      <c r="R167" s="58">
        <f t="shared" si="69"/>
        <v>0</v>
      </c>
      <c r="Z167" s="58">
        <f t="shared" si="70"/>
        <v>0</v>
      </c>
    </row>
    <row r="168" spans="1:27" ht="15" x14ac:dyDescent="0.25">
      <c r="A168" s="63" t="str">
        <f>RTD("nest.scriprtd",,"nse_fo|"&amp;$A$153&amp;""&amp;$G$1&amp;""&amp;L168&amp;"CE","Symbol")</f>
        <v>LAURUSLABS</v>
      </c>
      <c r="B168" s="63" t="str">
        <f>RTD("nest.scriprtd",,"nse_fo|"&amp;$A$153&amp;""&amp;$G$1&amp;""&amp;L168&amp;"PE","Series/Expiry")</f>
        <v>26Dec2024</v>
      </c>
      <c r="C168" s="63">
        <f>RTD("nest.scriprtd",,"nse_fo|"&amp;$A$153&amp;""&amp;$G$1&amp;""&amp;L168&amp;"PE","Bid Qty")</f>
        <v>1700</v>
      </c>
      <c r="D168" s="63">
        <f>RTD("nest.scriprtd",,"nse_fo|"&amp;$A$153&amp;""&amp;$G$1&amp;""&amp;L168&amp;"PE","Bid Rate")</f>
        <v>0.45</v>
      </c>
      <c r="E168" s="63">
        <f>RTD("nest.scriprtd",,"nse_fo|"&amp;$A$153&amp;""&amp;$G$1&amp;""&amp;L168&amp;"PE","Ask Rate")</f>
        <v>0.5</v>
      </c>
      <c r="F168" s="63">
        <f>RTD("nest.scriprtd",,"nse_fo|"&amp;$A$153&amp;""&amp;$G$1&amp;""&amp;L168&amp;"PE","Ask Qty")</f>
        <v>3400</v>
      </c>
      <c r="G168" s="84">
        <f>RTD("nest.scriprtd",,"nse_fo|"&amp;$A$153&amp;""&amp;$G$1&amp;""&amp;L168&amp;"PE","LTP")</f>
        <v>0.45</v>
      </c>
      <c r="H168" s="63">
        <f>RTD("nest.scriprtd",,"nse_fo|"&amp;$A$153&amp;""&amp;$G$1&amp;""&amp;L168&amp;"PE","ATP")</f>
        <v>0.81</v>
      </c>
      <c r="I168" s="63">
        <f>RTD("nest.scriprtd",,"nse_fo|"&amp;$A$153&amp;""&amp;$G$1&amp;""&amp;L168&amp;"PE","Volume Traded Today")</f>
        <v>112200</v>
      </c>
      <c r="J168" s="63">
        <f>RTD("nest.scriprtd",,"nse_fo|"&amp;$A$153&amp;""&amp;$G$1&amp;""&amp;L168&amp;"PE","% Change")</f>
        <v>12.5</v>
      </c>
      <c r="K168" s="63">
        <f>RTD("nest.scriprtd",,"nse_fo|"&amp;$A$153&amp;""&amp;$G$1&amp;""&amp;L168&amp;"PE","Net Change")</f>
        <v>0.05</v>
      </c>
      <c r="L168" s="63">
        <f t="shared" si="72"/>
        <v>480</v>
      </c>
      <c r="M168" s="63" t="str">
        <f>RTD("nest.scriprtd",,"nse_fo|"&amp;$A$153&amp;""&amp;$G$1&amp;""&amp;L168&amp;"PE","Option Type")</f>
        <v>PE</v>
      </c>
      <c r="N168" s="58">
        <f t="shared" si="71"/>
        <v>0.45</v>
      </c>
      <c r="Q168" s="58">
        <f t="shared" si="68"/>
        <v>0</v>
      </c>
      <c r="R168" s="58">
        <f t="shared" si="69"/>
        <v>0</v>
      </c>
      <c r="Z168" s="58">
        <f t="shared" si="70"/>
        <v>0</v>
      </c>
    </row>
    <row r="169" spans="1:27" ht="15" x14ac:dyDescent="0.25">
      <c r="A169" s="63" t="str">
        <f>RTD("nest.scriprtd",,"nse_fo|"&amp;$A$153&amp;""&amp;$G$1&amp;""&amp;L169&amp;"CE","Symbol")</f>
        <v>LAURUSLABS</v>
      </c>
      <c r="B169" s="63" t="str">
        <f>RTD("nest.scriprtd",,"nse_fo|"&amp;$A$153&amp;""&amp;$G$1&amp;""&amp;L169&amp;"PE","Series/Expiry")</f>
        <v>26Dec2024</v>
      </c>
      <c r="C169" s="63">
        <f>RTD("nest.scriprtd",,"nse_fo|"&amp;$A$153&amp;""&amp;$G$1&amp;""&amp;L169&amp;"PE","Bid Qty")</f>
        <v>5100</v>
      </c>
      <c r="D169" s="63">
        <f>RTD("nest.scriprtd",,"nse_fo|"&amp;$A$153&amp;""&amp;$G$1&amp;""&amp;L169&amp;"PE","Bid Rate")</f>
        <v>0.55000000000000004</v>
      </c>
      <c r="E169" s="63">
        <f>RTD("nest.scriprtd",,"nse_fo|"&amp;$A$153&amp;""&amp;$G$1&amp;""&amp;L169&amp;"PE","Ask Rate")</f>
        <v>0.65</v>
      </c>
      <c r="F169" s="63">
        <f>RTD("nest.scriprtd",,"nse_fo|"&amp;$A$153&amp;""&amp;$G$1&amp;""&amp;L169&amp;"PE","Ask Qty")</f>
        <v>3400</v>
      </c>
      <c r="G169" s="84">
        <f>RTD("nest.scriprtd",,"nse_fo|"&amp;$A$153&amp;""&amp;$G$1&amp;""&amp;L169&amp;"PE","LTP")</f>
        <v>0.65</v>
      </c>
      <c r="H169" s="63">
        <f>RTD("nest.scriprtd",,"nse_fo|"&amp;$A$153&amp;""&amp;$G$1&amp;""&amp;L169&amp;"PE","ATP")</f>
        <v>1.18</v>
      </c>
      <c r="I169" s="63">
        <f>RTD("nest.scriprtd",,"nse_fo|"&amp;$A$153&amp;""&amp;$G$1&amp;""&amp;L169&amp;"PE","Volume Traded Today")</f>
        <v>309400</v>
      </c>
      <c r="J169" s="63">
        <f>RTD("nest.scriprtd",,"nse_fo|"&amp;$A$153&amp;""&amp;$G$1&amp;""&amp;L169&amp;"PE","% Change")</f>
        <v>30</v>
      </c>
      <c r="K169" s="63">
        <f>RTD("nest.scriprtd",,"nse_fo|"&amp;$A$153&amp;""&amp;$G$1&amp;""&amp;L169&amp;"PE","Net Change")</f>
        <v>0.15</v>
      </c>
      <c r="L169" s="63">
        <f t="shared" si="72"/>
        <v>490</v>
      </c>
      <c r="M169" s="63" t="str">
        <f>RTD("nest.scriprtd",,"nse_fo|"&amp;$A$153&amp;""&amp;$G$1&amp;""&amp;L169&amp;"PE","Option Type")</f>
        <v>PE</v>
      </c>
      <c r="N169" s="58">
        <f t="shared" si="71"/>
        <v>0.65</v>
      </c>
      <c r="Q169" s="58">
        <f t="shared" si="68"/>
        <v>0</v>
      </c>
      <c r="R169" s="58">
        <f t="shared" si="69"/>
        <v>0</v>
      </c>
      <c r="Z169" s="58">
        <f t="shared" si="70"/>
        <v>0</v>
      </c>
    </row>
    <row r="170" spans="1:27" ht="15" x14ac:dyDescent="0.25">
      <c r="A170" s="63" t="str">
        <f>RTD("nest.scriprtd",,"nse_fo|"&amp;$A$153&amp;""&amp;$G$1&amp;""&amp;L170&amp;"CE","Symbol")</f>
        <v>LAURUSLABS</v>
      </c>
      <c r="B170" s="63" t="str">
        <f>RTD("nest.scriprtd",,"nse_fo|"&amp;$A$153&amp;""&amp;$G$1&amp;""&amp;L170&amp;"PE","Series/Expiry")</f>
        <v>26Dec2024</v>
      </c>
      <c r="C170" s="63">
        <f>RTD("nest.scriprtd",,"nse_fo|"&amp;$A$153&amp;""&amp;$G$1&amp;""&amp;L170&amp;"PE","Bid Qty")</f>
        <v>5100</v>
      </c>
      <c r="D170" s="63">
        <f>RTD("nest.scriprtd",,"nse_fo|"&amp;$A$153&amp;""&amp;$G$1&amp;""&amp;L170&amp;"PE","Bid Rate")</f>
        <v>0.95</v>
      </c>
      <c r="E170" s="63">
        <f>RTD("nest.scriprtd",,"nse_fo|"&amp;$A$153&amp;""&amp;$G$1&amp;""&amp;L170&amp;"PE","Ask Rate")</f>
        <v>1</v>
      </c>
      <c r="F170" s="63">
        <f>RTD("nest.scriprtd",,"nse_fo|"&amp;$A$153&amp;""&amp;$G$1&amp;""&amp;L170&amp;"PE","Ask Qty")</f>
        <v>15300</v>
      </c>
      <c r="G170" s="84">
        <f>RTD("nest.scriprtd",,"nse_fo|"&amp;$A$153&amp;""&amp;$G$1&amp;""&amp;L170&amp;"PE","LTP")</f>
        <v>1</v>
      </c>
      <c r="H170" s="63">
        <f>RTD("nest.scriprtd",,"nse_fo|"&amp;$A$153&amp;""&amp;$G$1&amp;""&amp;L170&amp;"PE","ATP")</f>
        <v>1.68</v>
      </c>
      <c r="I170" s="63">
        <f>RTD("nest.scriprtd",,"nse_fo|"&amp;$A$153&amp;""&amp;$G$1&amp;""&amp;L170&amp;"PE","Volume Traded Today")</f>
        <v>1730600</v>
      </c>
      <c r="J170" s="63">
        <f>RTD("nest.scriprtd",,"nse_fo|"&amp;$A$153&amp;""&amp;$G$1&amp;""&amp;L170&amp;"PE","% Change")</f>
        <v>11.11</v>
      </c>
      <c r="K170" s="63">
        <f>RTD("nest.scriprtd",,"nse_fo|"&amp;$A$153&amp;""&amp;$G$1&amp;""&amp;L170&amp;"PE","Net Change")</f>
        <v>0.1</v>
      </c>
      <c r="L170" s="63">
        <f t="shared" si="72"/>
        <v>500</v>
      </c>
      <c r="M170" s="63" t="str">
        <f>RTD("nest.scriprtd",,"nse_fo|"&amp;$A$153&amp;""&amp;$G$1&amp;""&amp;L170&amp;"PE","Option Type")</f>
        <v>PE</v>
      </c>
      <c r="N170" s="58">
        <f t="shared" si="71"/>
        <v>1</v>
      </c>
      <c r="Q170" s="58">
        <f t="shared" si="68"/>
        <v>0</v>
      </c>
      <c r="R170" s="58">
        <f t="shared" si="69"/>
        <v>0</v>
      </c>
      <c r="Z170" s="58">
        <f t="shared" si="70"/>
        <v>0</v>
      </c>
    </row>
    <row r="171" spans="1:27" ht="15" x14ac:dyDescent="0.25">
      <c r="A171" s="63" t="str">
        <f>RTD("nest.scriprtd",,"nse_fo|"&amp;$A$153&amp;""&amp;$G$1&amp;""&amp;L171&amp;"CE","Symbol")</f>
        <v>LAURUSLABS</v>
      </c>
      <c r="B171" s="63" t="str">
        <f>RTD("nest.scriprtd",,"nse_fo|"&amp;$A$153&amp;""&amp;$G$1&amp;""&amp;L171&amp;"PE","Series/Expiry")</f>
        <v>26Dec2024</v>
      </c>
      <c r="C171" s="63">
        <f>RTD("nest.scriprtd",,"nse_fo|"&amp;$A$153&amp;""&amp;$G$1&amp;""&amp;L171&amp;"PE","Bid Qty")</f>
        <v>27200</v>
      </c>
      <c r="D171" s="63">
        <f>RTD("nest.scriprtd",,"nse_fo|"&amp;$A$153&amp;""&amp;$G$1&amp;""&amp;L171&amp;"PE","Bid Rate")</f>
        <v>1.3</v>
      </c>
      <c r="E171" s="63">
        <f>RTD("nest.scriprtd",,"nse_fo|"&amp;$A$153&amp;""&amp;$G$1&amp;""&amp;L171&amp;"PE","Ask Rate")</f>
        <v>1.4</v>
      </c>
      <c r="F171" s="63">
        <f>RTD("nest.scriprtd",,"nse_fo|"&amp;$A$153&amp;""&amp;$G$1&amp;""&amp;L171&amp;"PE","Ask Qty")</f>
        <v>10200</v>
      </c>
      <c r="G171" s="84">
        <f>RTD("nest.scriprtd",,"nse_fo|"&amp;$A$153&amp;""&amp;$G$1&amp;""&amp;L171&amp;"PE","LTP")</f>
        <v>1.4</v>
      </c>
      <c r="H171" s="63">
        <f>RTD("nest.scriprtd",,"nse_fo|"&amp;$A$153&amp;""&amp;$G$1&amp;""&amp;L171&amp;"PE","ATP")</f>
        <v>2.5</v>
      </c>
      <c r="I171" s="63">
        <f>RTD("nest.scriprtd",,"nse_fo|"&amp;$A$153&amp;""&amp;$G$1&amp;""&amp;L171&amp;"PE","Volume Traded Today")</f>
        <v>1110100</v>
      </c>
      <c r="J171" s="63">
        <f>RTD("nest.scriprtd",,"nse_fo|"&amp;$A$153&amp;""&amp;$G$1&amp;""&amp;L171&amp;"PE","% Change")</f>
        <v>27.27</v>
      </c>
      <c r="K171" s="63">
        <f>RTD("nest.scriprtd",,"nse_fo|"&amp;$A$153&amp;""&amp;$G$1&amp;""&amp;L171&amp;"PE","Net Change")</f>
        <v>0.3</v>
      </c>
      <c r="L171" s="63">
        <f t="shared" si="72"/>
        <v>510</v>
      </c>
      <c r="M171" s="63" t="str">
        <f>RTD("nest.scriprtd",,"nse_fo|"&amp;$A$153&amp;""&amp;$G$1&amp;""&amp;L171&amp;"PE","Option Type")</f>
        <v>PE</v>
      </c>
      <c r="N171" s="58">
        <f t="shared" si="71"/>
        <v>1.4</v>
      </c>
      <c r="Q171" s="58">
        <f t="shared" si="68"/>
        <v>0</v>
      </c>
      <c r="R171" s="58">
        <f t="shared" si="69"/>
        <v>0</v>
      </c>
      <c r="S171" s="58">
        <f>+SUM(R154:R166)-SUM(R167:R171)</f>
        <v>0</v>
      </c>
      <c r="T171" s="58">
        <f>SUM(R156:R171)-R169</f>
        <v>0</v>
      </c>
      <c r="U171" s="63" t="e">
        <f>+S171/T171</f>
        <v>#DIV/0!</v>
      </c>
      <c r="Z171" s="58">
        <f t="shared" si="70"/>
        <v>0</v>
      </c>
      <c r="AA171" s="58">
        <f>SUM(Z154:Z171)</f>
        <v>0</v>
      </c>
    </row>
    <row r="173" spans="1:27" ht="15" x14ac:dyDescent="0.25">
      <c r="A173" s="58" t="s">
        <v>111</v>
      </c>
      <c r="B173" s="58" t="str">
        <f>$A$173&amp;"-EQ"</f>
        <v>MOTHERSON-EQ</v>
      </c>
      <c r="C173" s="58" t="s">
        <v>168</v>
      </c>
      <c r="D173" s="63">
        <v>2.5</v>
      </c>
      <c r="E173" s="57">
        <v>3550</v>
      </c>
      <c r="F173" s="63"/>
      <c r="G173" s="85"/>
      <c r="K173" s="63"/>
      <c r="L173" s="63"/>
      <c r="M173" s="63"/>
    </row>
    <row r="174" spans="1:27" ht="15" x14ac:dyDescent="0.25">
      <c r="A174" s="63" t="str">
        <f>RTD("nest.scriprtd",,"nse_fo|"&amp;$A$173&amp;""&amp;$G$1&amp;""&amp;C173&amp;"","Symbol")</f>
        <v>MOTHERSON</v>
      </c>
      <c r="B174" s="63" t="str">
        <f>RTD("nest.scriprtd",,"nse_fo|"&amp;$A$173&amp;""&amp;$G$1&amp;""&amp;C173&amp;"","Series/Expiry")</f>
        <v>26Dec2024</v>
      </c>
      <c r="C174" s="63">
        <f>RTD("nest.scriprtd",,"nse_fo|"&amp;$A$173&amp;""&amp;$G$1&amp;""&amp;C173&amp;"","Bid Qty")</f>
        <v>14200</v>
      </c>
      <c r="D174" s="63">
        <f>RTD("nest.scriprtd",,"nse_fo|"&amp;$A$173&amp;""&amp;$G$1&amp;""&amp;C173&amp;"","Bid Rate")</f>
        <v>166.5</v>
      </c>
      <c r="E174" s="63">
        <f>RTD("nest.scriprtd",,"nse_fo|"&amp;$A$173&amp;""&amp;$G$1&amp;""&amp;C173&amp;"","Ask Rate")</f>
        <v>166.57</v>
      </c>
      <c r="F174" s="63">
        <f>RTD("nest.scriprtd",,"nse_fo|"&amp;$A$173&amp;""&amp;$G$1&amp;""&amp;C173&amp;"","Ask Qty")</f>
        <v>10650</v>
      </c>
      <c r="G174" s="84">
        <f>RTD("nest.scriprtd",,"nse_fo|"&amp;$A$173&amp;""&amp;$G$1&amp;""&amp;C173&amp;"","LTP")</f>
        <v>166.5</v>
      </c>
      <c r="H174" s="63">
        <f>RTD("nest.scriprtd",,"nse_fo|"&amp;$A$173&amp;""&amp;$G$1&amp;""&amp;C173&amp;"","ATP")</f>
        <v>167.84</v>
      </c>
      <c r="I174" s="63">
        <f>RTD("nest.scriprtd",,"nse_fo|"&amp;$A$173&amp;""&amp;$G$1&amp;""&amp;C173&amp;"","Volume Traded Today")</f>
        <v>20756850</v>
      </c>
      <c r="J174" s="63">
        <f>RTD("nest.scriprtd",,"nse_fo|"&amp;$A$173&amp;""&amp;$G$1&amp;""&amp;C173&amp;"","% Change")</f>
        <v>-2.56</v>
      </c>
      <c r="K174" s="63">
        <f>RTD("nest.scriprtd",,"nse_fo|"&amp;$A$173&amp;""&amp;$G$1&amp;""&amp;C173&amp;"","Net Change")</f>
        <v>-4.38</v>
      </c>
      <c r="L174" s="63">
        <f>RTD("nest.scriprtd",,"nse_fo|"&amp;$A$173&amp;""&amp;$G$1&amp;""&amp;C173&amp;"","Strike Price")</f>
        <v>0</v>
      </c>
      <c r="M174" s="63"/>
      <c r="N174" s="58">
        <f>MIN($S$174,G174)</f>
        <v>10</v>
      </c>
      <c r="Q174" s="58">
        <f t="shared" ref="Q174:Q190" si="77">+P174+O174</f>
        <v>0</v>
      </c>
      <c r="R174" s="58">
        <f t="shared" ref="R174:R190" si="78">+Q174*N174</f>
        <v>0</v>
      </c>
      <c r="S174" s="58">
        <f>+$Q$2*T174</f>
        <v>10</v>
      </c>
      <c r="T174" s="80">
        <f>+FACTOR!O9</f>
        <v>10</v>
      </c>
      <c r="Z174" s="58">
        <f t="shared" ref="Z174:Z190" si="79">+O174*K174</f>
        <v>0</v>
      </c>
    </row>
    <row r="175" spans="1:27" ht="15" x14ac:dyDescent="0.25">
      <c r="A175" s="63" t="str">
        <f>RTD("nest.scriprtd",,"nse_cm|"&amp;B173&amp;"","Symbol")</f>
        <v>MOTHERSON</v>
      </c>
      <c r="B175" s="63" t="str">
        <f>RTD("nest.scriprtd",,"nse_cm|"&amp;B173&amp;"","Series/Expiry")</f>
        <v>EQ</v>
      </c>
      <c r="C175" s="63">
        <f>RTD("nest.scriprtd",,"nse_cm|"&amp;B173&amp;"","Bid Qty")</f>
        <v>377</v>
      </c>
      <c r="D175" s="63">
        <f>RTD("nest.scriprtd",,"nse_cm|"&amp;B173&amp;"","Bid Rate")</f>
        <v>166.24</v>
      </c>
      <c r="E175" s="63">
        <f>RTD("nest.scriprtd",,"nse_cm|"&amp;B173&amp;"","Ask Rate")</f>
        <v>166.25</v>
      </c>
      <c r="F175" s="63">
        <f>RTD("nest.scriprtd",,"nse_cm|"&amp;B173&amp;"","Ask Qty")</f>
        <v>10</v>
      </c>
      <c r="G175" s="84">
        <f>RTD("nest.scriprtd",,"nse_cm|"&amp;B173&amp;"","LTP")</f>
        <v>166.25</v>
      </c>
      <c r="H175" s="63">
        <f>RTD("nest.scriprtd",,"nse_cm|"&amp;B173&amp;"","ATP")</f>
        <v>167.66</v>
      </c>
      <c r="I175" s="63">
        <f>RTD("nest.scriprtd",,"nse_cm|"&amp;B173&amp;"","Volume Traded Today")</f>
        <v>12181963</v>
      </c>
      <c r="J175" s="63">
        <f>RTD("nest.scriprtd",,"nse_cm|"&amp;B173&amp;"","% Change")</f>
        <v>-2.4300000000000002</v>
      </c>
      <c r="K175" s="63">
        <f>RTD("nest.scriprtd",,"nse_cm|"&amp;B173&amp;"","Net Change")</f>
        <v>-4.1399999999999997</v>
      </c>
      <c r="L175" s="63">
        <f>RTD("nest.scriprtd",,"nse_cm|"&amp;B173&amp;"","Strike Price")</f>
        <v>0</v>
      </c>
      <c r="M175" s="63"/>
      <c r="N175" s="58">
        <f t="shared" ref="N175:N190" si="80">MIN($S$174,G175)</f>
        <v>10</v>
      </c>
      <c r="Q175" s="58">
        <f t="shared" si="77"/>
        <v>0</v>
      </c>
      <c r="R175" s="58">
        <f t="shared" si="78"/>
        <v>0</v>
      </c>
      <c r="Z175" s="58">
        <f t="shared" si="79"/>
        <v>0</v>
      </c>
    </row>
    <row r="176" spans="1:27" ht="15" x14ac:dyDescent="0.25">
      <c r="A176" s="63" t="str">
        <f>RTD("nest.scriprtd",,"nse_fo|"&amp;$A$173&amp;""&amp;$G$1&amp;""&amp;L176&amp;"CE","Symbol")</f>
        <v>MOTHERSON</v>
      </c>
      <c r="B176" s="63" t="str">
        <f>RTD("nest.scriprtd",,"nse_fo|"&amp;$A$173&amp;""&amp;$G$1&amp;""&amp;L176&amp;"CE","Series/Expiry")</f>
        <v>26Dec2024</v>
      </c>
      <c r="C176" s="63">
        <f>RTD("nest.scriprtd",,"nse_fo|"&amp;$A$173&amp;""&amp;$G$1&amp;""&amp;L176&amp;"CE","Bid Qty")</f>
        <v>35500</v>
      </c>
      <c r="D176" s="63">
        <f>RTD("nest.scriprtd",,"nse_fo|"&amp;$A$173&amp;""&amp;$G$1&amp;""&amp;L176&amp;"CE","Bid Rate")</f>
        <v>5.75</v>
      </c>
      <c r="E176" s="63">
        <f>RTD("nest.scriprtd",,"nse_fo|"&amp;$A$173&amp;""&amp;$G$1&amp;""&amp;L176&amp;"CE","Ask Rate")</f>
        <v>5.85</v>
      </c>
      <c r="F176" s="63">
        <f>RTD("nest.scriprtd",,"nse_fo|"&amp;$A$173&amp;""&amp;$G$1&amp;""&amp;L176&amp;"CE","Ask Qty")</f>
        <v>28400</v>
      </c>
      <c r="G176" s="84">
        <f>RTD("nest.scriprtd",,"nse_fo|"&amp;$A$173&amp;""&amp;$G$1&amp;""&amp;L176&amp;"CE","LTP")</f>
        <v>5.8</v>
      </c>
      <c r="H176" s="63">
        <f>RTD("nest.scriprtd",,"nse_fo|"&amp;$A$173&amp;""&amp;$G$1&amp;""&amp;L176&amp;"CE","ATP")</f>
        <v>6.52</v>
      </c>
      <c r="I176" s="63">
        <f>RTD("nest.scriprtd",,"nse_fo|"&amp;$A$173&amp;""&amp;$G$1&amp;""&amp;L176&amp;"CE","Volume Traded Today")</f>
        <v>3791400</v>
      </c>
      <c r="J176" s="63">
        <f>RTD("nest.scriprtd",,"nse_fo|"&amp;$A$173&amp;""&amp;$G$1&amp;""&amp;L176&amp;"CE","% Change")</f>
        <v>-33.71</v>
      </c>
      <c r="K176" s="63">
        <f>RTD("nest.scriprtd",,"nse_fo|"&amp;$A$173&amp;""&amp;$G$1&amp;""&amp;L176&amp;"CE","Net Change")</f>
        <v>-2.95</v>
      </c>
      <c r="L176" s="63">
        <v>165</v>
      </c>
      <c r="M176" s="82" t="str">
        <f>RTD("nest.scriprtd",,"nse_fo|"&amp;$A$173&amp;""&amp;$G$1&amp;""&amp;L176&amp;"CE","Option Type")</f>
        <v>CE</v>
      </c>
      <c r="N176" s="58">
        <f t="shared" si="80"/>
        <v>5.8</v>
      </c>
      <c r="Q176" s="58">
        <f t="shared" si="77"/>
        <v>0</v>
      </c>
      <c r="R176" s="58">
        <f t="shared" si="78"/>
        <v>0</v>
      </c>
      <c r="Z176" s="58">
        <f t="shared" si="79"/>
        <v>0</v>
      </c>
    </row>
    <row r="177" spans="1:27" ht="15" x14ac:dyDescent="0.25">
      <c r="A177" s="63" t="str">
        <f>RTD("nest.scriprtd",,"nse_fo|"&amp;$A$173&amp;""&amp;$G$1&amp;""&amp;L177&amp;"CE","Symbol")</f>
        <v>MOTHERSON</v>
      </c>
      <c r="B177" s="63" t="str">
        <f>RTD("nest.scriprtd",,"nse_fo|"&amp;$A$173&amp;""&amp;$G$1&amp;""&amp;L177&amp;"CE","Series/Expiry")</f>
        <v>26Dec2024</v>
      </c>
      <c r="C177" s="63">
        <f>RTD("nest.scriprtd",,"nse_fo|"&amp;$A$173&amp;""&amp;$G$1&amp;""&amp;L177&amp;"CE","Bid Qty")</f>
        <v>42600</v>
      </c>
      <c r="D177" s="63">
        <f>RTD("nest.scriprtd",,"nse_fo|"&amp;$A$173&amp;""&amp;$G$1&amp;""&amp;L177&amp;"CE","Bid Rate")</f>
        <v>4.5</v>
      </c>
      <c r="E177" s="63">
        <f>RTD("nest.scriprtd",,"nse_fo|"&amp;$A$173&amp;""&amp;$G$1&amp;""&amp;L177&amp;"CE","Ask Rate")</f>
        <v>4.5999999999999996</v>
      </c>
      <c r="F177" s="63">
        <f>RTD("nest.scriprtd",,"nse_fo|"&amp;$A$173&amp;""&amp;$G$1&amp;""&amp;L177&amp;"CE","Ask Qty")</f>
        <v>46150</v>
      </c>
      <c r="G177" s="84">
        <f>RTD("nest.scriprtd",,"nse_fo|"&amp;$A$173&amp;""&amp;$G$1&amp;""&amp;L177&amp;"CE","LTP")</f>
        <v>4.55</v>
      </c>
      <c r="H177" s="63">
        <f>RTD("nest.scriprtd",,"nse_fo|"&amp;$A$173&amp;""&amp;$G$1&amp;""&amp;L177&amp;"CE","ATP")</f>
        <v>5.28</v>
      </c>
      <c r="I177" s="63">
        <f>RTD("nest.scriprtd",,"nse_fo|"&amp;$A$173&amp;""&amp;$G$1&amp;""&amp;L177&amp;"CE","Volume Traded Today")</f>
        <v>2868400</v>
      </c>
      <c r="J177" s="63">
        <f>RTD("nest.scriprtd",,"nse_fo|"&amp;$A$173&amp;""&amp;$G$1&amp;""&amp;L177&amp;"CE","% Change")</f>
        <v>-36.36</v>
      </c>
      <c r="K177" s="63">
        <f>RTD("nest.scriprtd",,"nse_fo|"&amp;$A$173&amp;""&amp;$G$1&amp;""&amp;L177&amp;"CE","Net Change")</f>
        <v>-2.6</v>
      </c>
      <c r="L177" s="63">
        <f>+L176+$D$173</f>
        <v>167.5</v>
      </c>
      <c r="M177" s="63" t="str">
        <f>RTD("nest.scriprtd",,"nse_fo|"&amp;$A$173&amp;""&amp;$G$1&amp;""&amp;L177&amp;"CE","Option Type")</f>
        <v>CE</v>
      </c>
      <c r="N177" s="58">
        <f t="shared" si="80"/>
        <v>4.55</v>
      </c>
      <c r="Q177" s="58">
        <f t="shared" ref="Q177:Q182" si="81">+P177+O177</f>
        <v>0</v>
      </c>
      <c r="R177" s="58">
        <f t="shared" si="78"/>
        <v>0</v>
      </c>
      <c r="Z177" s="58">
        <f t="shared" ref="Z177:Z182" si="82">+O177*K177</f>
        <v>0</v>
      </c>
    </row>
    <row r="178" spans="1:27" ht="15" x14ac:dyDescent="0.25">
      <c r="A178" s="63" t="str">
        <f>RTD("nest.scriprtd",,"nse_fo|"&amp;$A$173&amp;""&amp;$G$1&amp;""&amp;L178&amp;"CE","Symbol")</f>
        <v>MOTHERSON</v>
      </c>
      <c r="B178" s="63" t="str">
        <f>RTD("nest.scriprtd",,"nse_fo|"&amp;$A$173&amp;""&amp;$G$1&amp;""&amp;L178&amp;"CE","Series/Expiry")</f>
        <v>26Dec2024</v>
      </c>
      <c r="C178" s="63">
        <f>RTD("nest.scriprtd",,"nse_fo|"&amp;$A$173&amp;""&amp;$G$1&amp;""&amp;L178&amp;"CE","Bid Qty")</f>
        <v>106500</v>
      </c>
      <c r="D178" s="63">
        <f>RTD("nest.scriprtd",,"nse_fo|"&amp;$A$173&amp;""&amp;$G$1&amp;""&amp;L178&amp;"CE","Bid Rate")</f>
        <v>3.5</v>
      </c>
      <c r="E178" s="63">
        <f>RTD("nest.scriprtd",,"nse_fo|"&amp;$A$173&amp;""&amp;$G$1&amp;""&amp;L178&amp;"CE","Ask Rate")</f>
        <v>3.6</v>
      </c>
      <c r="F178" s="63">
        <f>RTD("nest.scriprtd",,"nse_fo|"&amp;$A$173&amp;""&amp;$G$1&amp;""&amp;L178&amp;"CE","Ask Qty")</f>
        <v>95850</v>
      </c>
      <c r="G178" s="84">
        <f>RTD("nest.scriprtd",,"nse_fo|"&amp;$A$173&amp;""&amp;$G$1&amp;""&amp;L178&amp;"CE","LTP")</f>
        <v>3.55</v>
      </c>
      <c r="H178" s="63">
        <f>RTD("nest.scriprtd",,"nse_fo|"&amp;$A$173&amp;""&amp;$G$1&amp;""&amp;L178&amp;"CE","ATP")</f>
        <v>4.18</v>
      </c>
      <c r="I178" s="63">
        <f>RTD("nest.scriprtd",,"nse_fo|"&amp;$A$173&amp;""&amp;$G$1&amp;""&amp;L178&amp;"CE","Volume Traded Today")</f>
        <v>12329150</v>
      </c>
      <c r="J178" s="63">
        <f>RTD("nest.scriprtd",,"nse_fo|"&amp;$A$173&amp;""&amp;$G$1&amp;""&amp;L178&amp;"CE","% Change")</f>
        <v>-38.79</v>
      </c>
      <c r="K178" s="63">
        <f>RTD("nest.scriprtd",,"nse_fo|"&amp;$A$173&amp;""&amp;$G$1&amp;""&amp;L178&amp;"CE","Net Change")</f>
        <v>-2.25</v>
      </c>
      <c r="L178" s="63">
        <f t="shared" ref="L178:L190" si="83">+L177+$D$173</f>
        <v>170</v>
      </c>
      <c r="M178" s="63" t="str">
        <f>RTD("nest.scriprtd",,"nse_fo|"&amp;$A$173&amp;""&amp;$G$1&amp;""&amp;L178&amp;"CE","Option Type")</f>
        <v>CE</v>
      </c>
      <c r="N178" s="58">
        <f t="shared" si="80"/>
        <v>3.55</v>
      </c>
      <c r="Q178" s="58">
        <f t="shared" si="81"/>
        <v>0</v>
      </c>
      <c r="R178" s="58">
        <f t="shared" si="78"/>
        <v>0</v>
      </c>
      <c r="Z178" s="58">
        <f t="shared" si="82"/>
        <v>0</v>
      </c>
    </row>
    <row r="179" spans="1:27" ht="15" x14ac:dyDescent="0.25">
      <c r="A179" s="63" t="str">
        <f>RTD("nest.scriprtd",,"nse_fo|"&amp;$A$173&amp;""&amp;$G$1&amp;""&amp;L179&amp;"CE","Symbol")</f>
        <v>MOTHERSON</v>
      </c>
      <c r="B179" s="63" t="str">
        <f>RTD("nest.scriprtd",,"nse_fo|"&amp;$A$173&amp;""&amp;$G$1&amp;""&amp;L179&amp;"CE","Series/Expiry")</f>
        <v>26Dec2024</v>
      </c>
      <c r="C179" s="63">
        <f>RTD("nest.scriprtd",,"nse_fo|"&amp;$A$173&amp;""&amp;$G$1&amp;""&amp;L179&amp;"CE","Bid Qty")</f>
        <v>7100</v>
      </c>
      <c r="D179" s="63">
        <f>RTD("nest.scriprtd",,"nse_fo|"&amp;$A$173&amp;""&amp;$G$1&amp;""&amp;L179&amp;"CE","Bid Rate")</f>
        <v>2.7</v>
      </c>
      <c r="E179" s="63">
        <f>RTD("nest.scriprtd",,"nse_fo|"&amp;$A$173&amp;""&amp;$G$1&amp;""&amp;L179&amp;"CE","Ask Rate")</f>
        <v>2.75</v>
      </c>
      <c r="F179" s="63">
        <f>RTD("nest.scriprtd",,"nse_fo|"&amp;$A$173&amp;""&amp;$G$1&amp;""&amp;L179&amp;"CE","Ask Qty")</f>
        <v>56800</v>
      </c>
      <c r="G179" s="84">
        <f>RTD("nest.scriprtd",,"nse_fo|"&amp;$A$173&amp;""&amp;$G$1&amp;""&amp;L179&amp;"CE","LTP")</f>
        <v>2.65</v>
      </c>
      <c r="H179" s="63">
        <f>RTD("nest.scriprtd",,"nse_fo|"&amp;$A$173&amp;""&amp;$G$1&amp;""&amp;L179&amp;"CE","ATP")</f>
        <v>3.23</v>
      </c>
      <c r="I179" s="63">
        <f>RTD("nest.scriprtd",,"nse_fo|"&amp;$A$173&amp;""&amp;$G$1&amp;""&amp;L179&amp;"CE","Volume Traded Today")</f>
        <v>3393800</v>
      </c>
      <c r="J179" s="63">
        <f>RTD("nest.scriprtd",,"nse_fo|"&amp;$A$173&amp;""&amp;$G$1&amp;""&amp;L179&amp;"CE","% Change")</f>
        <v>-43.01</v>
      </c>
      <c r="K179" s="63">
        <f>RTD("nest.scriprtd",,"nse_fo|"&amp;$A$173&amp;""&amp;$G$1&amp;""&amp;L179&amp;"CE","Net Change")</f>
        <v>-2</v>
      </c>
      <c r="L179" s="63">
        <f t="shared" si="83"/>
        <v>172.5</v>
      </c>
      <c r="M179" s="63" t="str">
        <f>RTD("nest.scriprtd",,"nse_fo|"&amp;$A$173&amp;""&amp;$G$1&amp;""&amp;L179&amp;"CE","Option Type")</f>
        <v>CE</v>
      </c>
      <c r="N179" s="58">
        <f t="shared" si="80"/>
        <v>2.65</v>
      </c>
      <c r="Q179" s="58">
        <f t="shared" si="81"/>
        <v>0</v>
      </c>
      <c r="R179" s="58">
        <f t="shared" si="78"/>
        <v>0</v>
      </c>
      <c r="U179" s="58"/>
      <c r="Z179" s="58">
        <f t="shared" si="82"/>
        <v>0</v>
      </c>
    </row>
    <row r="180" spans="1:27" ht="15" x14ac:dyDescent="0.25">
      <c r="A180" s="63" t="str">
        <f>RTD("nest.scriprtd",,"nse_fo|"&amp;$A$173&amp;""&amp;$G$1&amp;""&amp;L180&amp;"CE","Symbol")</f>
        <v>MOTHERSON</v>
      </c>
      <c r="B180" s="63" t="str">
        <f>RTD("nest.scriprtd",,"nse_fo|"&amp;$A$173&amp;""&amp;$G$1&amp;""&amp;L180&amp;"CE","Series/Expiry")</f>
        <v>26Dec2024</v>
      </c>
      <c r="C180" s="63">
        <f>RTD("nest.scriprtd",,"nse_fo|"&amp;$A$173&amp;""&amp;$G$1&amp;""&amp;L180&amp;"CE","Bid Qty")</f>
        <v>63900</v>
      </c>
      <c r="D180" s="63">
        <f>RTD("nest.scriprtd",,"nse_fo|"&amp;$A$173&amp;""&amp;$G$1&amp;""&amp;L180&amp;"CE","Bid Rate")</f>
        <v>2.0499999999999998</v>
      </c>
      <c r="E180" s="63">
        <f>RTD("nest.scriprtd",,"nse_fo|"&amp;$A$173&amp;""&amp;$G$1&amp;""&amp;L180&amp;"CE","Ask Rate")</f>
        <v>2.1</v>
      </c>
      <c r="F180" s="63">
        <f>RTD("nest.scriprtd",,"nse_fo|"&amp;$A$173&amp;""&amp;$G$1&amp;""&amp;L180&amp;"CE","Ask Qty")</f>
        <v>53250</v>
      </c>
      <c r="G180" s="84">
        <f>RTD("nest.scriprtd",,"nse_fo|"&amp;$A$173&amp;""&amp;$G$1&amp;""&amp;L180&amp;"CE","LTP")</f>
        <v>2.1</v>
      </c>
      <c r="H180" s="63">
        <f>RTD("nest.scriprtd",,"nse_fo|"&amp;$A$173&amp;""&amp;$G$1&amp;""&amp;L180&amp;"CE","ATP")</f>
        <v>2.5</v>
      </c>
      <c r="I180" s="63">
        <f>RTD("nest.scriprtd",,"nse_fo|"&amp;$A$173&amp;""&amp;$G$1&amp;""&amp;L180&amp;"CE","Volume Traded Today")</f>
        <v>9301000</v>
      </c>
      <c r="J180" s="63">
        <f>RTD("nest.scriprtd",,"nse_fo|"&amp;$A$173&amp;""&amp;$G$1&amp;""&amp;L180&amp;"CE","% Change")</f>
        <v>-43.24</v>
      </c>
      <c r="K180" s="63">
        <f>RTD("nest.scriprtd",,"nse_fo|"&amp;$A$173&amp;""&amp;$G$1&amp;""&amp;L180&amp;"CE","Net Change")</f>
        <v>-1.6</v>
      </c>
      <c r="L180" s="63">
        <f t="shared" si="83"/>
        <v>175</v>
      </c>
      <c r="M180" s="63" t="str">
        <f>RTD("nest.scriprtd",,"nse_fo|"&amp;$A$173&amp;""&amp;$G$1&amp;""&amp;L180&amp;"CE","Option Type")</f>
        <v>CE</v>
      </c>
      <c r="N180" s="58">
        <f t="shared" si="80"/>
        <v>2.1</v>
      </c>
      <c r="Q180" s="58">
        <f t="shared" si="81"/>
        <v>0</v>
      </c>
      <c r="R180" s="58">
        <f t="shared" si="78"/>
        <v>0</v>
      </c>
      <c r="U180" s="58"/>
      <c r="Z180" s="58">
        <f t="shared" si="82"/>
        <v>0</v>
      </c>
    </row>
    <row r="181" spans="1:27" ht="15" x14ac:dyDescent="0.25">
      <c r="A181" s="63" t="str">
        <f>RTD("nest.scriprtd",,"nse_fo|"&amp;$A$173&amp;""&amp;$G$1&amp;""&amp;L181&amp;"CE","Symbol")</f>
        <v>MOTHERSON</v>
      </c>
      <c r="B181" s="63" t="str">
        <f>RTD("nest.scriprtd",,"nse_fo|"&amp;$A$173&amp;""&amp;$G$1&amp;""&amp;L181&amp;"CE","Series/Expiry")</f>
        <v>26Dec2024</v>
      </c>
      <c r="C181" s="63">
        <f>RTD("nest.scriprtd",,"nse_fo|"&amp;$A$173&amp;""&amp;$G$1&amp;""&amp;L181&amp;"CE","Bid Qty")</f>
        <v>49700</v>
      </c>
      <c r="D181" s="63">
        <f>RTD("nest.scriprtd",,"nse_fo|"&amp;$A$173&amp;""&amp;$G$1&amp;""&amp;L181&amp;"CE","Bid Rate")</f>
        <v>1.55</v>
      </c>
      <c r="E181" s="63">
        <f>RTD("nest.scriprtd",,"nse_fo|"&amp;$A$173&amp;""&amp;$G$1&amp;""&amp;L181&amp;"CE","Ask Rate")</f>
        <v>1.6</v>
      </c>
      <c r="F181" s="63">
        <f>RTD("nest.scriprtd",,"nse_fo|"&amp;$A$173&amp;""&amp;$G$1&amp;""&amp;L181&amp;"CE","Ask Qty")</f>
        <v>3550</v>
      </c>
      <c r="G181" s="84">
        <f>RTD("nest.scriprtd",,"nse_fo|"&amp;$A$173&amp;""&amp;$G$1&amp;""&amp;L181&amp;"CE","LTP")</f>
        <v>1.7</v>
      </c>
      <c r="H181" s="63">
        <f>RTD("nest.scriprtd",,"nse_fo|"&amp;$A$173&amp;""&amp;$G$1&amp;""&amp;L181&amp;"CE","ATP")</f>
        <v>1.95</v>
      </c>
      <c r="I181" s="63">
        <f>RTD("nest.scriprtd",,"nse_fo|"&amp;$A$173&amp;""&amp;$G$1&amp;""&amp;L181&amp;"CE","Volume Traded Today")</f>
        <v>1469700</v>
      </c>
      <c r="J181" s="63">
        <f>RTD("nest.scriprtd",,"nse_fo|"&amp;$A$173&amp;""&amp;$G$1&amp;""&amp;L181&amp;"CE","% Change")</f>
        <v>-41.38</v>
      </c>
      <c r="K181" s="63">
        <f>RTD("nest.scriprtd",,"nse_fo|"&amp;$A$173&amp;""&amp;$G$1&amp;""&amp;L181&amp;"CE","Net Change")</f>
        <v>-1.2</v>
      </c>
      <c r="L181" s="63">
        <f t="shared" si="83"/>
        <v>177.5</v>
      </c>
      <c r="M181" s="63" t="str">
        <f>RTD("nest.scriprtd",,"nse_fo|"&amp;$A$173&amp;""&amp;$G$1&amp;""&amp;L181&amp;"CE","Option Type")</f>
        <v>CE</v>
      </c>
      <c r="N181" s="58">
        <f t="shared" si="80"/>
        <v>1.7</v>
      </c>
      <c r="Q181" s="58">
        <f t="shared" si="81"/>
        <v>0</v>
      </c>
      <c r="R181" s="58">
        <f t="shared" si="78"/>
        <v>0</v>
      </c>
      <c r="U181" s="58"/>
      <c r="Z181" s="58">
        <f t="shared" si="82"/>
        <v>0</v>
      </c>
    </row>
    <row r="182" spans="1:27" ht="15" x14ac:dyDescent="0.25">
      <c r="A182" s="63" t="str">
        <f>RTD("nest.scriprtd",,"nse_fo|"&amp;$A$173&amp;""&amp;$G$1&amp;""&amp;L182&amp;"CE","Symbol")</f>
        <v>MOTHERSON</v>
      </c>
      <c r="B182" s="63" t="str">
        <f>RTD("nest.scriprtd",,"nse_fo|"&amp;$A$173&amp;""&amp;$G$1&amp;""&amp;L182&amp;"CE","Series/Expiry")</f>
        <v>26Dec2024</v>
      </c>
      <c r="C182" s="63">
        <f>RTD("nest.scriprtd",,"nse_fo|"&amp;$A$173&amp;""&amp;$G$1&amp;""&amp;L182&amp;"CE","Bid Qty")</f>
        <v>173950</v>
      </c>
      <c r="D182" s="63">
        <f>RTD("nest.scriprtd",,"nse_fo|"&amp;$A$173&amp;""&amp;$G$1&amp;""&amp;L182&amp;"CE","Bid Rate")</f>
        <v>1.2</v>
      </c>
      <c r="E182" s="63">
        <f>RTD("nest.scriprtd",,"nse_fo|"&amp;$A$173&amp;""&amp;$G$1&amp;""&amp;L182&amp;"CE","Ask Rate")</f>
        <v>1.25</v>
      </c>
      <c r="F182" s="63">
        <f>RTD("nest.scriprtd",,"nse_fo|"&amp;$A$173&amp;""&amp;$G$1&amp;""&amp;L182&amp;"CE","Ask Qty")</f>
        <v>142000</v>
      </c>
      <c r="G182" s="84">
        <f>RTD("nest.scriprtd",,"nse_fo|"&amp;$A$173&amp;""&amp;$G$1&amp;""&amp;L182&amp;"CE","LTP")</f>
        <v>1.25</v>
      </c>
      <c r="H182" s="63">
        <f>RTD("nest.scriprtd",,"nse_fo|"&amp;$A$173&amp;""&amp;$G$1&amp;""&amp;L182&amp;"CE","ATP")</f>
        <v>1.51</v>
      </c>
      <c r="I182" s="63">
        <f>RTD("nest.scriprtd",,"nse_fo|"&amp;$A$173&amp;""&amp;$G$1&amp;""&amp;L182&amp;"CE","Volume Traded Today")</f>
        <v>7128400</v>
      </c>
      <c r="J182" s="63">
        <f>RTD("nest.scriprtd",,"nse_fo|"&amp;$A$173&amp;""&amp;$G$1&amp;""&amp;L182&amp;"CE","% Change")</f>
        <v>-45.65</v>
      </c>
      <c r="K182" s="63">
        <f>RTD("nest.scriprtd",,"nse_fo|"&amp;$A$173&amp;""&amp;$G$1&amp;""&amp;L182&amp;"CE","Net Change")</f>
        <v>-1.05</v>
      </c>
      <c r="L182" s="63">
        <f t="shared" si="83"/>
        <v>180</v>
      </c>
      <c r="M182" s="63" t="str">
        <f>RTD("nest.scriprtd",,"nse_fo|"&amp;$A$173&amp;""&amp;$G$1&amp;""&amp;L182&amp;"CE","Option Type")</f>
        <v>CE</v>
      </c>
      <c r="N182" s="58">
        <f t="shared" ref="N182:N183" si="84">MIN($S$174,G182)</f>
        <v>1.25</v>
      </c>
      <c r="Q182" s="58">
        <f t="shared" si="81"/>
        <v>0</v>
      </c>
      <c r="R182" s="58">
        <f t="shared" ref="R182:R183" si="85">+Q182*N182</f>
        <v>0</v>
      </c>
      <c r="U182" s="58"/>
      <c r="Z182" s="58">
        <f t="shared" si="82"/>
        <v>0</v>
      </c>
    </row>
    <row r="183" spans="1:27" ht="15" x14ac:dyDescent="0.25">
      <c r="A183" s="63" t="str">
        <f>RTD("nest.scriprtd",,"nse_fo|"&amp;$A$173&amp;""&amp;$G$1&amp;""&amp;L183&amp;"CE","Symbol")</f>
        <v>MOTHERSON</v>
      </c>
      <c r="B183" s="63" t="str">
        <f>RTD("nest.scriprtd",,"nse_fo|"&amp;$A$173&amp;""&amp;$G$1&amp;""&amp;L183&amp;"CE","Series/Expiry")</f>
        <v>26Dec2024</v>
      </c>
      <c r="C183" s="63">
        <f>RTD("nest.scriprtd",,"nse_fo|"&amp;$A$173&amp;""&amp;$G$1&amp;""&amp;L183&amp;"CE","Bid Qty")</f>
        <v>85200</v>
      </c>
      <c r="D183" s="63">
        <f>RTD("nest.scriprtd",,"nse_fo|"&amp;$A$173&amp;""&amp;$G$1&amp;""&amp;L183&amp;"CE","Bid Rate")</f>
        <v>0.9</v>
      </c>
      <c r="E183" s="63">
        <f>RTD("nest.scriprtd",,"nse_fo|"&amp;$A$173&amp;""&amp;$G$1&amp;""&amp;L183&amp;"CE","Ask Rate")</f>
        <v>0.95</v>
      </c>
      <c r="F183" s="63">
        <f>RTD("nest.scriprtd",,"nse_fo|"&amp;$A$173&amp;""&amp;$G$1&amp;""&amp;L183&amp;"CE","Ask Qty")</f>
        <v>63900</v>
      </c>
      <c r="G183" s="84">
        <f>RTD("nest.scriprtd",,"nse_fo|"&amp;$A$173&amp;""&amp;$G$1&amp;""&amp;L183&amp;"CE","LTP")</f>
        <v>0.95</v>
      </c>
      <c r="H183" s="63">
        <f>RTD("nest.scriprtd",,"nse_fo|"&amp;$A$173&amp;""&amp;$G$1&amp;""&amp;L183&amp;"CE","ATP")</f>
        <v>1.1499999999999999</v>
      </c>
      <c r="I183" s="63">
        <f>RTD("nest.scriprtd",,"nse_fo|"&amp;$A$173&amp;""&amp;$G$1&amp;""&amp;L183&amp;"CE","Volume Traded Today")</f>
        <v>1231850</v>
      </c>
      <c r="J183" s="63">
        <f>RTD("nest.scriprtd",,"nse_fo|"&amp;$A$173&amp;""&amp;$G$1&amp;""&amp;L183&amp;"CE","% Change")</f>
        <v>-47.22</v>
      </c>
      <c r="K183" s="63">
        <f>RTD("nest.scriprtd",,"nse_fo|"&amp;$A$173&amp;""&amp;$G$1&amp;""&amp;L183&amp;"CE","Net Change")</f>
        <v>-0.85</v>
      </c>
      <c r="L183" s="63">
        <f t="shared" si="83"/>
        <v>182.5</v>
      </c>
      <c r="M183" s="63" t="str">
        <f>RTD("nest.scriprtd",,"nse_fo|"&amp;$A$173&amp;""&amp;$G$1&amp;""&amp;L183&amp;"CE","Option Type")</f>
        <v>CE</v>
      </c>
      <c r="N183" s="58">
        <f t="shared" si="84"/>
        <v>0.95</v>
      </c>
      <c r="Q183" s="58">
        <f t="shared" ref="Q183" si="86">+P183+O183</f>
        <v>0</v>
      </c>
      <c r="R183" s="58">
        <f t="shared" si="85"/>
        <v>0</v>
      </c>
      <c r="T183" s="101"/>
      <c r="U183" s="58"/>
      <c r="Z183" s="58">
        <f t="shared" ref="Z183" si="87">+O183*K183</f>
        <v>0</v>
      </c>
    </row>
    <row r="184" spans="1:27" ht="15" x14ac:dyDescent="0.25">
      <c r="A184" s="63" t="str">
        <f>RTD("nest.scriprtd",,"nse_fo|"&amp;$A$173&amp;""&amp;$G$1&amp;""&amp;L184&amp;"CE","Symbol")</f>
        <v>MOTHERSON</v>
      </c>
      <c r="B184" s="63" t="str">
        <f>RTD("nest.scriprtd",,"nse_fo|"&amp;$A$173&amp;""&amp;$G$1&amp;""&amp;L184&amp;"CE","Series/Expiry")</f>
        <v>26Dec2024</v>
      </c>
      <c r="C184" s="63">
        <f>RTD("nest.scriprtd",,"nse_fo|"&amp;$A$173&amp;""&amp;$G$1&amp;""&amp;L184&amp;"CE","Bid Qty")</f>
        <v>191700</v>
      </c>
      <c r="D184" s="63">
        <f>RTD("nest.scriprtd",,"nse_fo|"&amp;$A$173&amp;""&amp;$G$1&amp;""&amp;L184&amp;"CE","Bid Rate")</f>
        <v>0.7</v>
      </c>
      <c r="E184" s="63">
        <f>RTD("nest.scriprtd",,"nse_fo|"&amp;$A$173&amp;""&amp;$G$1&amp;""&amp;L184&amp;"CE","Ask Rate")</f>
        <v>0.75</v>
      </c>
      <c r="F184" s="63">
        <f>RTD("nest.scriprtd",,"nse_fo|"&amp;$A$173&amp;""&amp;$G$1&amp;""&amp;L184&amp;"CE","Ask Qty")</f>
        <v>127800</v>
      </c>
      <c r="G184" s="84">
        <f>RTD("nest.scriprtd",,"nse_fo|"&amp;$A$173&amp;""&amp;$G$1&amp;""&amp;L184&amp;"CE","LTP")</f>
        <v>0.75</v>
      </c>
      <c r="H184" s="63">
        <f>RTD("nest.scriprtd",,"nse_fo|"&amp;$A$173&amp;""&amp;$G$1&amp;""&amp;L184&amp;"CE","ATP")</f>
        <v>0.87</v>
      </c>
      <c r="I184" s="63">
        <f>RTD("nest.scriprtd",,"nse_fo|"&amp;$A$173&amp;""&amp;$G$1&amp;""&amp;L184&amp;"CE","Volume Traded Today")</f>
        <v>4270650</v>
      </c>
      <c r="J184" s="63">
        <f>RTD("nest.scriprtd",,"nse_fo|"&amp;$A$173&amp;""&amp;$G$1&amp;""&amp;L184&amp;"CE","% Change")</f>
        <v>-46.43</v>
      </c>
      <c r="K184" s="63">
        <f>RTD("nest.scriprtd",,"nse_fo|"&amp;$A$173&amp;""&amp;$G$1&amp;""&amp;L184&amp;"CE","Net Change")</f>
        <v>-0.65</v>
      </c>
      <c r="L184" s="63">
        <f t="shared" si="83"/>
        <v>185</v>
      </c>
      <c r="M184" s="63" t="str">
        <f>RTD("nest.scriprtd",,"nse_fo|"&amp;$A$173&amp;""&amp;$G$1&amp;""&amp;L184&amp;"CE","Option Type")</f>
        <v>CE</v>
      </c>
      <c r="N184" s="58">
        <f t="shared" si="80"/>
        <v>0.75</v>
      </c>
      <c r="Q184" s="58">
        <f t="shared" si="77"/>
        <v>0</v>
      </c>
      <c r="R184" s="58">
        <f t="shared" si="78"/>
        <v>0</v>
      </c>
      <c r="U184" s="58"/>
      <c r="Z184" s="58">
        <f t="shared" si="79"/>
        <v>0</v>
      </c>
    </row>
    <row r="185" spans="1:27" ht="15" x14ac:dyDescent="0.25">
      <c r="A185" s="63" t="str">
        <f>RTD("nest.scriprtd",,"nse_fo|"&amp;$A$173&amp;""&amp;$G$1&amp;""&amp;L185&amp;"CE","Symbol")</f>
        <v>MOTHERSON</v>
      </c>
      <c r="B185" s="63" t="str">
        <f>RTD("nest.scriprtd",,"nse_fo|"&amp;$A$173&amp;""&amp;$G$1&amp;""&amp;L185&amp;"CE","Series/Expiry")</f>
        <v>26Dec2024</v>
      </c>
      <c r="C185" s="63">
        <f>RTD("nest.scriprtd",,"nse_fo|"&amp;$A$173&amp;""&amp;$G$1&amp;""&amp;L185&amp;"CE","Bid Qty")</f>
        <v>95850</v>
      </c>
      <c r="D185" s="63">
        <f>RTD("nest.scriprtd",,"nse_fo|"&amp;$A$173&amp;""&amp;$G$1&amp;""&amp;L185&amp;"CE","Bid Rate")</f>
        <v>0.55000000000000004</v>
      </c>
      <c r="E185" s="63">
        <f>RTD("nest.scriprtd",,"nse_fo|"&amp;$A$173&amp;""&amp;$G$1&amp;""&amp;L185&amp;"CE","Ask Rate")</f>
        <v>0.6</v>
      </c>
      <c r="F185" s="63">
        <f>RTD("nest.scriprtd",,"nse_fo|"&amp;$A$173&amp;""&amp;$G$1&amp;""&amp;L185&amp;"CE","Ask Qty")</f>
        <v>67450</v>
      </c>
      <c r="G185" s="84">
        <f>RTD("nest.scriprtd",,"nse_fo|"&amp;$A$173&amp;""&amp;$G$1&amp;""&amp;L185&amp;"CE","LTP")</f>
        <v>0.6</v>
      </c>
      <c r="H185" s="63">
        <f>RTD("nest.scriprtd",,"nse_fo|"&amp;$A$173&amp;""&amp;$G$1&amp;""&amp;L185&amp;"CE","ATP")</f>
        <v>0.69</v>
      </c>
      <c r="I185" s="63">
        <f>RTD("nest.scriprtd",,"nse_fo|"&amp;$A$173&amp;""&amp;$G$1&amp;""&amp;L185&amp;"CE","Volume Traded Today")</f>
        <v>415350</v>
      </c>
      <c r="J185" s="63">
        <f>RTD("nest.scriprtd",,"nse_fo|"&amp;$A$173&amp;""&amp;$G$1&amp;""&amp;L185&amp;"CE","% Change")</f>
        <v>-45.45</v>
      </c>
      <c r="K185" s="63">
        <f>RTD("nest.scriprtd",,"nse_fo|"&amp;$A$173&amp;""&amp;$G$1&amp;""&amp;L185&amp;"CE","Net Change")</f>
        <v>-0.5</v>
      </c>
      <c r="L185" s="63">
        <f t="shared" si="83"/>
        <v>187.5</v>
      </c>
      <c r="M185" s="63" t="str">
        <f>RTD("nest.scriprtd",,"nse_fo|"&amp;$A$173&amp;""&amp;$G$1&amp;""&amp;L185&amp;"CE","Option Type")</f>
        <v>CE</v>
      </c>
      <c r="N185" s="58">
        <f t="shared" si="80"/>
        <v>0.6</v>
      </c>
      <c r="Q185" s="58">
        <f t="shared" si="77"/>
        <v>0</v>
      </c>
      <c r="R185" s="58">
        <f t="shared" si="78"/>
        <v>0</v>
      </c>
      <c r="U185" s="58"/>
      <c r="Z185" s="58">
        <f t="shared" si="79"/>
        <v>0</v>
      </c>
    </row>
    <row r="186" spans="1:27" ht="15" x14ac:dyDescent="0.25">
      <c r="A186" s="63" t="str">
        <f>RTD("nest.scriprtd",,"nse_fo|"&amp;$A$173&amp;""&amp;$G$1&amp;""&amp;L186&amp;"CE","Symbol")</f>
        <v>MOTHERSON</v>
      </c>
      <c r="B186" s="63" t="str">
        <f>RTD("nest.scriprtd",,"nse_fo|"&amp;$A$173&amp;""&amp;$G$1&amp;""&amp;L186&amp;"PE","Series/Expiry")</f>
        <v>26Dec2024</v>
      </c>
      <c r="C186" s="63">
        <f>RTD("nest.scriprtd",,"nse_fo|"&amp;$A$173&amp;""&amp;$G$1&amp;""&amp;L186&amp;"PE","Bid Qty")</f>
        <v>92300</v>
      </c>
      <c r="D186" s="63">
        <f>RTD("nest.scriprtd",,"nse_fo|"&amp;$A$173&amp;""&amp;$G$1&amp;""&amp;L186&amp;"PE","Bid Rate")</f>
        <v>2.25</v>
      </c>
      <c r="E186" s="63">
        <f>RTD("nest.scriprtd",,"nse_fo|"&amp;$A$173&amp;""&amp;$G$1&amp;""&amp;L186&amp;"PE","Ask Rate")</f>
        <v>2.35</v>
      </c>
      <c r="F186" s="63">
        <f>RTD("nest.scriprtd",,"nse_fo|"&amp;$A$173&amp;""&amp;$G$1&amp;""&amp;L186&amp;"PE","Ask Qty")</f>
        <v>63900</v>
      </c>
      <c r="G186" s="84">
        <f>RTD("nest.scriprtd",,"nse_fo|"&amp;$A$173&amp;""&amp;$G$1&amp;""&amp;L186&amp;"PE","LTP")</f>
        <v>2.2999999999999998</v>
      </c>
      <c r="H186" s="63">
        <f>RTD("nest.scriprtd",,"nse_fo|"&amp;$A$173&amp;""&amp;$G$1&amp;""&amp;L186&amp;"PE","ATP")</f>
        <v>2.13</v>
      </c>
      <c r="I186" s="63">
        <f>RTD("nest.scriprtd",,"nse_fo|"&amp;$A$173&amp;""&amp;$G$1&amp;""&amp;L186&amp;"PE","Volume Traded Today")</f>
        <v>3145300</v>
      </c>
      <c r="J186" s="63">
        <f>RTD("nest.scriprtd",,"nse_fo|"&amp;$A$173&amp;""&amp;$G$1&amp;""&amp;L186&amp;"PE","% Change")</f>
        <v>43.75</v>
      </c>
      <c r="K186" s="63">
        <f>RTD("nest.scriprtd",,"nse_fo|"&amp;$A$173&amp;""&amp;$G$1&amp;""&amp;L186&amp;"PE","Net Change")</f>
        <v>0.7</v>
      </c>
      <c r="L186" s="63">
        <v>160</v>
      </c>
      <c r="M186" s="82" t="str">
        <f>RTD("nest.scriprtd",,"nse_fo|"&amp;$A$173&amp;""&amp;$G$1&amp;""&amp;L186&amp;"PE","Option Type")</f>
        <v>PE</v>
      </c>
      <c r="N186" s="58">
        <f t="shared" si="80"/>
        <v>2.2999999999999998</v>
      </c>
      <c r="Q186" s="58">
        <f t="shared" si="77"/>
        <v>0</v>
      </c>
      <c r="R186" s="58">
        <f t="shared" si="78"/>
        <v>0</v>
      </c>
      <c r="Z186" s="58">
        <f t="shared" si="79"/>
        <v>0</v>
      </c>
    </row>
    <row r="187" spans="1:27" ht="15" x14ac:dyDescent="0.25">
      <c r="A187" s="63" t="str">
        <f>RTD("nest.scriprtd",,"nse_fo|"&amp;$A$173&amp;""&amp;$G$1&amp;""&amp;L187&amp;"CE","Symbol")</f>
        <v>MOTHERSON</v>
      </c>
      <c r="B187" s="63" t="str">
        <f>RTD("nest.scriprtd",,"nse_fo|"&amp;$A$173&amp;""&amp;$G$1&amp;""&amp;L187&amp;"PE","Series/Expiry")</f>
        <v>26Dec2024</v>
      </c>
      <c r="C187" s="63">
        <f>RTD("nest.scriprtd",,"nse_fo|"&amp;$A$173&amp;""&amp;$G$1&amp;""&amp;L187&amp;"PE","Bid Qty")</f>
        <v>21300</v>
      </c>
      <c r="D187" s="63">
        <f>RTD("nest.scriprtd",,"nse_fo|"&amp;$A$173&amp;""&amp;$G$1&amp;""&amp;L187&amp;"PE","Bid Rate")</f>
        <v>3.1</v>
      </c>
      <c r="E187" s="63">
        <f>RTD("nest.scriprtd",,"nse_fo|"&amp;$A$173&amp;""&amp;$G$1&amp;""&amp;L187&amp;"PE","Ask Rate")</f>
        <v>3.15</v>
      </c>
      <c r="F187" s="63">
        <f>RTD("nest.scriprtd",,"nse_fo|"&amp;$A$173&amp;""&amp;$G$1&amp;""&amp;L187&amp;"PE","Ask Qty")</f>
        <v>3550</v>
      </c>
      <c r="G187" s="84">
        <f>RTD("nest.scriprtd",,"nse_fo|"&amp;$A$173&amp;""&amp;$G$1&amp;""&amp;L187&amp;"PE","LTP")</f>
        <v>3.1</v>
      </c>
      <c r="H187" s="63">
        <f>RTD("nest.scriprtd",,"nse_fo|"&amp;$A$173&amp;""&amp;$G$1&amp;""&amp;L187&amp;"PE","ATP")</f>
        <v>2.88</v>
      </c>
      <c r="I187" s="63">
        <f>RTD("nest.scriprtd",,"nse_fo|"&amp;$A$173&amp;""&amp;$G$1&amp;""&amp;L187&amp;"PE","Volume Traded Today")</f>
        <v>1093400</v>
      </c>
      <c r="J187" s="63">
        <f>RTD("nest.scriprtd",,"nse_fo|"&amp;$A$173&amp;""&amp;$G$1&amp;""&amp;L187&amp;"PE","% Change")</f>
        <v>47.62</v>
      </c>
      <c r="K187" s="63">
        <f>RTD("nest.scriprtd",,"nse_fo|"&amp;$A$173&amp;""&amp;$G$1&amp;""&amp;L187&amp;"PE","Net Change")</f>
        <v>1</v>
      </c>
      <c r="L187" s="63">
        <f t="shared" si="83"/>
        <v>162.5</v>
      </c>
      <c r="M187" s="63" t="str">
        <f>RTD("nest.scriprtd",,"nse_fo|"&amp;$A$173&amp;""&amp;$G$1&amp;""&amp;L187&amp;"PE","Option Type")</f>
        <v>PE</v>
      </c>
      <c r="N187" s="58">
        <f t="shared" si="80"/>
        <v>3.1</v>
      </c>
      <c r="Q187" s="58">
        <f t="shared" si="77"/>
        <v>0</v>
      </c>
      <c r="R187" s="58">
        <f t="shared" si="78"/>
        <v>0</v>
      </c>
      <c r="Z187" s="58">
        <f t="shared" si="79"/>
        <v>0</v>
      </c>
    </row>
    <row r="188" spans="1:27" ht="15" x14ac:dyDescent="0.25">
      <c r="A188" s="63" t="str">
        <f>RTD("nest.scriprtd",,"nse_fo|"&amp;$A$173&amp;""&amp;$G$1&amp;""&amp;L188&amp;"CE","Symbol")</f>
        <v>MOTHERSON</v>
      </c>
      <c r="B188" s="63" t="str">
        <f>RTD("nest.scriprtd",,"nse_fo|"&amp;$A$173&amp;""&amp;$G$1&amp;""&amp;L188&amp;"PE","Series/Expiry")</f>
        <v>26Dec2024</v>
      </c>
      <c r="C188" s="63">
        <f>RTD("nest.scriprtd",,"nse_fo|"&amp;$A$173&amp;""&amp;$G$1&amp;""&amp;L188&amp;"PE","Bid Qty")</f>
        <v>31950</v>
      </c>
      <c r="D188" s="63">
        <f>RTD("nest.scriprtd",,"nse_fo|"&amp;$A$173&amp;""&amp;$G$1&amp;""&amp;L188&amp;"PE","Bid Rate")</f>
        <v>4.1500000000000004</v>
      </c>
      <c r="E188" s="63">
        <f>RTD("nest.scriprtd",,"nse_fo|"&amp;$A$173&amp;""&amp;$G$1&amp;""&amp;L188&amp;"PE","Ask Rate")</f>
        <v>4.25</v>
      </c>
      <c r="F188" s="63">
        <f>RTD("nest.scriprtd",,"nse_fo|"&amp;$A$173&amp;""&amp;$G$1&amp;""&amp;L188&amp;"PE","Ask Qty")</f>
        <v>60350</v>
      </c>
      <c r="G188" s="84">
        <f>RTD("nest.scriprtd",,"nse_fo|"&amp;$A$173&amp;""&amp;$G$1&amp;""&amp;L188&amp;"PE","LTP")</f>
        <v>4.2</v>
      </c>
      <c r="H188" s="63">
        <f>RTD("nest.scriprtd",,"nse_fo|"&amp;$A$173&amp;""&amp;$G$1&amp;""&amp;L188&amp;"PE","ATP")</f>
        <v>3.85</v>
      </c>
      <c r="I188" s="63">
        <f>RTD("nest.scriprtd",,"nse_fo|"&amp;$A$173&amp;""&amp;$G$1&amp;""&amp;L188&amp;"PE","Volume Traded Today")</f>
        <v>4441050</v>
      </c>
      <c r="J188" s="63">
        <f>RTD("nest.scriprtd",,"nse_fo|"&amp;$A$173&amp;""&amp;$G$1&amp;""&amp;L188&amp;"PE","% Change")</f>
        <v>52.73</v>
      </c>
      <c r="K188" s="63">
        <f>RTD("nest.scriprtd",,"nse_fo|"&amp;$A$173&amp;""&amp;$G$1&amp;""&amp;L188&amp;"PE","Net Change")</f>
        <v>1.45</v>
      </c>
      <c r="L188" s="63">
        <f t="shared" si="83"/>
        <v>165</v>
      </c>
      <c r="M188" s="63" t="str">
        <f>RTD("nest.scriprtd",,"nse_fo|"&amp;$A$173&amp;""&amp;$G$1&amp;""&amp;L188&amp;"PE","Option Type")</f>
        <v>PE</v>
      </c>
      <c r="N188" s="58">
        <f t="shared" si="80"/>
        <v>4.2</v>
      </c>
      <c r="Q188" s="58">
        <f t="shared" si="77"/>
        <v>0</v>
      </c>
      <c r="R188" s="58">
        <f t="shared" si="78"/>
        <v>0</v>
      </c>
      <c r="Z188" s="58">
        <f t="shared" si="79"/>
        <v>0</v>
      </c>
    </row>
    <row r="189" spans="1:27" ht="15" x14ac:dyDescent="0.25">
      <c r="A189" s="63" t="str">
        <f>RTD("nest.scriprtd",,"nse_fo|"&amp;$A$173&amp;""&amp;$G$1&amp;""&amp;L189&amp;"CE","Symbol")</f>
        <v>MOTHERSON</v>
      </c>
      <c r="B189" s="63" t="str">
        <f>RTD("nest.scriprtd",,"nse_fo|"&amp;$A$173&amp;""&amp;$G$1&amp;""&amp;L189&amp;"PE","Series/Expiry")</f>
        <v>26Dec2024</v>
      </c>
      <c r="C189" s="63">
        <f>RTD("nest.scriprtd",,"nse_fo|"&amp;$A$173&amp;""&amp;$G$1&amp;""&amp;L189&amp;"PE","Bid Qty")</f>
        <v>10650</v>
      </c>
      <c r="D189" s="63">
        <f>RTD("nest.scriprtd",,"nse_fo|"&amp;$A$173&amp;""&amp;$G$1&amp;""&amp;L189&amp;"PE","Bid Rate")</f>
        <v>5.4</v>
      </c>
      <c r="E189" s="63">
        <f>RTD("nest.scriprtd",,"nse_fo|"&amp;$A$173&amp;""&amp;$G$1&amp;""&amp;L189&amp;"PE","Ask Rate")</f>
        <v>5.5</v>
      </c>
      <c r="F189" s="63">
        <f>RTD("nest.scriprtd",,"nse_fo|"&amp;$A$173&amp;""&amp;$G$1&amp;""&amp;L189&amp;"PE","Ask Qty")</f>
        <v>42600</v>
      </c>
      <c r="G189" s="84">
        <f>RTD("nest.scriprtd",,"nse_fo|"&amp;$A$173&amp;""&amp;$G$1&amp;""&amp;L189&amp;"PE","LTP")</f>
        <v>5.45</v>
      </c>
      <c r="H189" s="63">
        <f>RTD("nest.scriprtd",,"nse_fo|"&amp;$A$173&amp;""&amp;$G$1&amp;""&amp;L189&amp;"PE","ATP")</f>
        <v>4.91</v>
      </c>
      <c r="I189" s="63">
        <f>RTD("nest.scriprtd",,"nse_fo|"&amp;$A$173&amp;""&amp;$G$1&amp;""&amp;L189&amp;"PE","Volume Traded Today")</f>
        <v>1917000</v>
      </c>
      <c r="J189" s="63">
        <f>RTD("nest.scriprtd",,"nse_fo|"&amp;$A$173&amp;""&amp;$G$1&amp;""&amp;L189&amp;"PE","% Change")</f>
        <v>47.3</v>
      </c>
      <c r="K189" s="63">
        <f>RTD("nest.scriprtd",,"nse_fo|"&amp;$A$173&amp;""&amp;$G$1&amp;""&amp;L189&amp;"PE","Net Change")</f>
        <v>1.75</v>
      </c>
      <c r="L189" s="63">
        <f t="shared" si="83"/>
        <v>167.5</v>
      </c>
      <c r="M189" s="63" t="str">
        <f>RTD("nest.scriprtd",,"nse_fo|"&amp;$A$173&amp;""&amp;$G$1&amp;""&amp;L189&amp;"PE","Option Type")</f>
        <v>PE</v>
      </c>
      <c r="N189" s="58">
        <f t="shared" si="80"/>
        <v>5.45</v>
      </c>
      <c r="Q189" s="58">
        <f t="shared" si="77"/>
        <v>0</v>
      </c>
      <c r="R189" s="58">
        <f t="shared" si="78"/>
        <v>0</v>
      </c>
      <c r="Z189" s="58">
        <f t="shared" si="79"/>
        <v>0</v>
      </c>
    </row>
    <row r="190" spans="1:27" ht="15" x14ac:dyDescent="0.25">
      <c r="A190" s="63" t="str">
        <f>RTD("nest.scriprtd",,"nse_fo|"&amp;$A$173&amp;""&amp;$G$1&amp;""&amp;L190&amp;"CE","Symbol")</f>
        <v>MOTHERSON</v>
      </c>
      <c r="B190" s="63" t="str">
        <f>RTD("nest.scriprtd",,"nse_fo|"&amp;$A$173&amp;""&amp;$G$1&amp;""&amp;L190&amp;"PE","Series/Expiry")</f>
        <v>26Dec2024</v>
      </c>
      <c r="C190" s="63">
        <f>RTD("nest.scriprtd",,"nse_fo|"&amp;$A$173&amp;""&amp;$G$1&amp;""&amp;L190&amp;"PE","Bid Qty")</f>
        <v>10650</v>
      </c>
      <c r="D190" s="63">
        <f>RTD("nest.scriprtd",,"nse_fo|"&amp;$A$173&amp;""&amp;$G$1&amp;""&amp;L190&amp;"PE","Bid Rate")</f>
        <v>6.9</v>
      </c>
      <c r="E190" s="63">
        <f>RTD("nest.scriprtd",,"nse_fo|"&amp;$A$173&amp;""&amp;$G$1&amp;""&amp;L190&amp;"PE","Ask Rate")</f>
        <v>7</v>
      </c>
      <c r="F190" s="63">
        <f>RTD("nest.scriprtd",,"nse_fo|"&amp;$A$173&amp;""&amp;$G$1&amp;""&amp;L190&amp;"PE","Ask Qty")</f>
        <v>35500</v>
      </c>
      <c r="G190" s="84">
        <f>RTD("nest.scriprtd",,"nse_fo|"&amp;$A$173&amp;""&amp;$G$1&amp;""&amp;L190&amp;"PE","LTP")</f>
        <v>6.75</v>
      </c>
      <c r="H190" s="63">
        <f>RTD("nest.scriprtd",,"nse_fo|"&amp;$A$173&amp;""&amp;$G$1&amp;""&amp;L190&amp;"PE","ATP")</f>
        <v>6.17</v>
      </c>
      <c r="I190" s="63">
        <f>RTD("nest.scriprtd",,"nse_fo|"&amp;$A$173&amp;""&amp;$G$1&amp;""&amp;L190&amp;"PE","Volume Traded Today")</f>
        <v>3617450</v>
      </c>
      <c r="J190" s="63">
        <f>RTD("nest.scriprtd",,"nse_fo|"&amp;$A$173&amp;""&amp;$G$1&amp;""&amp;L190&amp;"PE","% Change")</f>
        <v>39.18</v>
      </c>
      <c r="K190" s="63">
        <f>RTD("nest.scriprtd",,"nse_fo|"&amp;$A$173&amp;""&amp;$G$1&amp;""&amp;L190&amp;"PE","Net Change")</f>
        <v>1.9</v>
      </c>
      <c r="L190" s="63">
        <f t="shared" si="83"/>
        <v>170</v>
      </c>
      <c r="M190" s="63" t="str">
        <f>RTD("nest.scriprtd",,"nse_fo|"&amp;$A$173&amp;""&amp;$G$1&amp;""&amp;L190&amp;"PE","Option Type")</f>
        <v>PE</v>
      </c>
      <c r="N190" s="58">
        <f t="shared" si="80"/>
        <v>6.75</v>
      </c>
      <c r="Q190" s="58">
        <f t="shared" si="77"/>
        <v>0</v>
      </c>
      <c r="R190" s="58">
        <f t="shared" si="78"/>
        <v>0</v>
      </c>
      <c r="S190" s="58">
        <f>+SUM(R174:R185)-SUM(R186:R190)</f>
        <v>0</v>
      </c>
      <c r="T190" s="58">
        <f>SUM(R176:R190)-R186</f>
        <v>0</v>
      </c>
      <c r="U190" s="63" t="e">
        <f>+S190/T190</f>
        <v>#DIV/0!</v>
      </c>
      <c r="Z190" s="58">
        <f t="shared" si="79"/>
        <v>0</v>
      </c>
      <c r="AA190" s="58">
        <f>SUM(Z174:Z190)</f>
        <v>0</v>
      </c>
    </row>
    <row r="192" spans="1:27" ht="15" x14ac:dyDescent="0.25">
      <c r="A192" s="58" t="s">
        <v>57</v>
      </c>
      <c r="B192" s="58" t="str">
        <f>$A$192&amp;"-EQ"</f>
        <v>MUTHOOTFIN-EQ</v>
      </c>
      <c r="C192" s="58" t="s">
        <v>168</v>
      </c>
      <c r="D192" s="63">
        <v>20</v>
      </c>
      <c r="E192" s="57">
        <v>275</v>
      </c>
      <c r="F192" s="63"/>
      <c r="G192" s="85"/>
      <c r="K192" s="63"/>
      <c r="L192" s="63"/>
      <c r="M192" s="63"/>
    </row>
    <row r="193" spans="1:26" ht="15" x14ac:dyDescent="0.25">
      <c r="A193" s="63" t="str">
        <f>RTD("nest.scriprtd",,"nse_fo|"&amp;$A$192&amp;""&amp;$G$1&amp;""&amp;C192&amp;"","Symbol")</f>
        <v>MUTHOOTFIN</v>
      </c>
      <c r="B193" s="63" t="str">
        <f>RTD("nest.scriprtd",,"nse_fo|"&amp;$A$192&amp;""&amp;$G$1&amp;""&amp;C192&amp;"","Series/Expiry")</f>
        <v>26Dec2024</v>
      </c>
      <c r="C193" s="63">
        <f>RTD("nest.scriprtd",,"nse_fo|"&amp;$A$192&amp;""&amp;$G$1&amp;""&amp;C192&amp;"","Bid Qty")</f>
        <v>275</v>
      </c>
      <c r="D193" s="63">
        <f>RTD("nest.scriprtd",,"nse_fo|"&amp;$A$192&amp;""&amp;$G$1&amp;""&amp;C192&amp;"","Bid Rate")</f>
        <v>1986.1</v>
      </c>
      <c r="E193" s="63">
        <f>RTD("nest.scriprtd",,"nse_fo|"&amp;$A$192&amp;""&amp;$G$1&amp;""&amp;C192&amp;"","Ask Rate")</f>
        <v>1987.15</v>
      </c>
      <c r="F193" s="63">
        <f>RTD("nest.scriprtd",,"nse_fo|"&amp;$A$192&amp;""&amp;$G$1&amp;""&amp;C192&amp;"","Ask Qty")</f>
        <v>275</v>
      </c>
      <c r="G193" s="84">
        <f>RTD("nest.scriprtd",,"nse_fo|"&amp;$A$192&amp;""&amp;$G$1&amp;""&amp;C192&amp;"","LTP")</f>
        <v>1987.15</v>
      </c>
      <c r="H193" s="63">
        <f>RTD("nest.scriprtd",,"nse_fo|"&amp;$A$192&amp;""&amp;$G$1&amp;""&amp;C192&amp;"","ATP")</f>
        <v>1985.02</v>
      </c>
      <c r="I193" s="63">
        <f>RTD("nest.scriprtd",,"nse_fo|"&amp;$A$192&amp;""&amp;$G$1&amp;""&amp;C192&amp;"","Volume Traded Today")</f>
        <v>724625</v>
      </c>
      <c r="J193" s="63">
        <f>RTD("nest.scriprtd",,"nse_fo|"&amp;$A$192&amp;""&amp;$G$1&amp;""&amp;C192&amp;"","% Change")</f>
        <v>1.3</v>
      </c>
      <c r="K193" s="63">
        <f>RTD("nest.scriprtd",,"nse_fo|"&amp;$A$192&amp;""&amp;$G$1&amp;""&amp;C192&amp;"","Net Change")</f>
        <v>25.5</v>
      </c>
      <c r="L193" s="63">
        <f>RTD("nest.scriprtd",,"nse_fo|"&amp;$A$192&amp;""&amp;$G$1&amp;""&amp;C192&amp;"","Strike Price")</f>
        <v>0</v>
      </c>
      <c r="M193" s="63"/>
      <c r="N193" s="58">
        <f>MIN($S$193,G193)</f>
        <v>97.1</v>
      </c>
      <c r="Q193" s="58">
        <f t="shared" ref="Q193:Q210" si="88">+P193+O193</f>
        <v>0</v>
      </c>
      <c r="R193" s="58">
        <f t="shared" ref="R193:R210" si="89">+Q193*N193</f>
        <v>0</v>
      </c>
      <c r="S193" s="58">
        <f>+$Q$2*T193</f>
        <v>97.1</v>
      </c>
      <c r="T193" s="80">
        <f>+FACTOR!O14</f>
        <v>97.1</v>
      </c>
      <c r="Z193" s="58">
        <f t="shared" ref="Z193:Z210" si="90">+O193*K193</f>
        <v>0</v>
      </c>
    </row>
    <row r="194" spans="1:26" ht="15" x14ac:dyDescent="0.25">
      <c r="A194" s="63" t="str">
        <f>RTD("nest.scriprtd",,"nse_cm|"&amp;B192&amp;"","Symbol")</f>
        <v>MUTHOOTFIN</v>
      </c>
      <c r="B194" s="63" t="str">
        <f>RTD("nest.scriprtd",,"nse_cm|"&amp;B192&amp;"","Series/Expiry")</f>
        <v>EQ</v>
      </c>
      <c r="C194" s="63">
        <f>RTD("nest.scriprtd",,"nse_cm|"&amp;B192&amp;"","Bid Qty")</f>
        <v>4</v>
      </c>
      <c r="D194" s="63">
        <f>RTD("nest.scriprtd",,"nse_cm|"&amp;B192&amp;"","Bid Rate")</f>
        <v>1979.35</v>
      </c>
      <c r="E194" s="63">
        <f>RTD("nest.scriprtd",,"nse_cm|"&amp;B192&amp;"","Ask Rate")</f>
        <v>1979.45</v>
      </c>
      <c r="F194" s="63">
        <f>RTD("nest.scriprtd",,"nse_cm|"&amp;B192&amp;"","Ask Qty")</f>
        <v>20</v>
      </c>
      <c r="G194" s="84">
        <f>RTD("nest.scriprtd",,"nse_cm|"&amp;B192&amp;"","LTP")</f>
        <v>1979.45</v>
      </c>
      <c r="H194" s="63">
        <f>RTD("nest.scriprtd",,"nse_cm|"&amp;B192&amp;"","ATP")</f>
        <v>1977.89</v>
      </c>
      <c r="I194" s="63">
        <f>RTD("nest.scriprtd",,"nse_cm|"&amp;B192&amp;"","Volume Traded Today")</f>
        <v>455174</v>
      </c>
      <c r="J194" s="63">
        <f>RTD("nest.scriprtd",,"nse_cm|"&amp;B192&amp;"","% Change")</f>
        <v>1.43</v>
      </c>
      <c r="K194" s="63">
        <f>RTD("nest.scriprtd",,"nse_cm|"&amp;B192&amp;"","Net Change")</f>
        <v>27.9</v>
      </c>
      <c r="L194" s="63">
        <f>RTD("nest.scriprtd",,"nse_cm|"&amp;B192&amp;"","Strike Price")</f>
        <v>0</v>
      </c>
      <c r="M194" s="63"/>
      <c r="N194" s="58">
        <f t="shared" ref="N194:N210" si="91">MIN($S$193,G194)</f>
        <v>97.1</v>
      </c>
      <c r="Q194" s="58">
        <f t="shared" si="88"/>
        <v>0</v>
      </c>
      <c r="R194" s="58">
        <f t="shared" si="89"/>
        <v>0</v>
      </c>
      <c r="Z194" s="58">
        <f t="shared" si="90"/>
        <v>0</v>
      </c>
    </row>
    <row r="195" spans="1:26" ht="15" x14ac:dyDescent="0.25">
      <c r="A195" s="63" t="str">
        <f>RTD("nest.scriprtd",,"nse_fo|"&amp;$A$192&amp;""&amp;$G$1&amp;""&amp;L195&amp;"CE","Symbol")</f>
        <v>MUTHOOTFIN</v>
      </c>
      <c r="B195" s="63" t="str">
        <f>RTD("nest.scriprtd",,"nse_fo|"&amp;$A$192&amp;""&amp;$G$1&amp;""&amp;L195&amp;"CE","Series/Expiry")</f>
        <v>26Dec2024</v>
      </c>
      <c r="C195" s="63">
        <f>RTD("nest.scriprtd",,"nse_fo|"&amp;$A$192&amp;""&amp;$G$1&amp;""&amp;L195&amp;"CE","Bid Qty")</f>
        <v>550</v>
      </c>
      <c r="D195" s="63">
        <f>RTD("nest.scriprtd",,"nse_fo|"&amp;$A$192&amp;""&amp;$G$1&amp;""&amp;L195&amp;"CE","Bid Rate")</f>
        <v>134.1</v>
      </c>
      <c r="E195" s="63">
        <f>RTD("nest.scriprtd",,"nse_fo|"&amp;$A$192&amp;""&amp;$G$1&amp;""&amp;L195&amp;"CE","Ask Rate")</f>
        <v>142.65</v>
      </c>
      <c r="F195" s="63">
        <f>RTD("nest.scriprtd",,"nse_fo|"&amp;$A$192&amp;""&amp;$G$1&amp;""&amp;L195&amp;"CE","Ask Qty")</f>
        <v>825</v>
      </c>
      <c r="G195" s="84">
        <f>RTD("nest.scriprtd",,"nse_fo|"&amp;$A$192&amp;""&amp;$G$1&amp;""&amp;L195&amp;"CE","LTP")</f>
        <v>136.55000000000001</v>
      </c>
      <c r="H195" s="63">
        <f>RTD("nest.scriprtd",,"nse_fo|"&amp;$A$192&amp;""&amp;$G$1&amp;""&amp;L195&amp;"CE","ATP")</f>
        <v>136.55000000000001</v>
      </c>
      <c r="I195" s="63">
        <f>RTD("nest.scriprtd",,"nse_fo|"&amp;$A$192&amp;""&amp;$G$1&amp;""&amp;L195&amp;"CE","Volume Traded Today")</f>
        <v>275</v>
      </c>
      <c r="J195" s="63">
        <f>RTD("nest.scriprtd",,"nse_fo|"&amp;$A$192&amp;""&amp;$G$1&amp;""&amp;L195&amp;"CE","% Change")</f>
        <v>22.47</v>
      </c>
      <c r="K195" s="63">
        <f>RTD("nest.scriprtd",,"nse_fo|"&amp;$A$192&amp;""&amp;$G$1&amp;""&amp;L195&amp;"CE","Net Change")</f>
        <v>25.05</v>
      </c>
      <c r="L195" s="63">
        <v>1860</v>
      </c>
      <c r="M195" s="82" t="str">
        <f>RTD("nest.scriprtd",,"nse_fo|"&amp;$A$192&amp;""&amp;$G$1&amp;""&amp;L195&amp;"CE","Option Type")</f>
        <v>CE</v>
      </c>
      <c r="N195" s="58">
        <f t="shared" si="91"/>
        <v>97.1</v>
      </c>
      <c r="Q195" s="58">
        <f t="shared" si="88"/>
        <v>0</v>
      </c>
      <c r="R195" s="58">
        <f t="shared" si="89"/>
        <v>0</v>
      </c>
      <c r="Z195" s="58">
        <f t="shared" si="90"/>
        <v>0</v>
      </c>
    </row>
    <row r="196" spans="1:26" ht="15" x14ac:dyDescent="0.25">
      <c r="A196" s="63" t="str">
        <f>RTD("nest.scriprtd",,"nse_fo|"&amp;$A$192&amp;""&amp;$G$1&amp;""&amp;L196&amp;"CE","Symbol")</f>
        <v>MUTHOOTFIN</v>
      </c>
      <c r="B196" s="63" t="str">
        <f>RTD("nest.scriprtd",,"nse_fo|"&amp;$A$192&amp;""&amp;$G$1&amp;""&amp;L196&amp;"CE","Series/Expiry")</f>
        <v>26Dec2024</v>
      </c>
      <c r="C196" s="63">
        <f>RTD("nest.scriprtd",,"nse_fo|"&amp;$A$192&amp;""&amp;$G$1&amp;""&amp;L196&amp;"CE","Bid Qty")</f>
        <v>275</v>
      </c>
      <c r="D196" s="63">
        <f>RTD("nest.scriprtd",,"nse_fo|"&amp;$A$192&amp;""&amp;$G$1&amp;""&amp;L196&amp;"CE","Bid Rate")</f>
        <v>118.05</v>
      </c>
      <c r="E196" s="63">
        <f>RTD("nest.scriprtd",,"nse_fo|"&amp;$A$192&amp;""&amp;$G$1&amp;""&amp;L196&amp;"CE","Ask Rate")</f>
        <v>127.15</v>
      </c>
      <c r="F196" s="63">
        <f>RTD("nest.scriprtd",,"nse_fo|"&amp;$A$192&amp;""&amp;$G$1&amp;""&amp;L196&amp;"CE","Ask Qty")</f>
        <v>1100</v>
      </c>
      <c r="G196" s="84">
        <f>RTD("nest.scriprtd",,"nse_fo|"&amp;$A$192&amp;""&amp;$G$1&amp;""&amp;L196&amp;"CE","LTP")</f>
        <v>96.9</v>
      </c>
      <c r="H196" s="63">
        <f>RTD("nest.scriprtd",,"nse_fo|"&amp;$A$192&amp;""&amp;$G$1&amp;""&amp;L196&amp;"CE","ATP")</f>
        <v>0</v>
      </c>
      <c r="I196" s="63">
        <f>RTD("nest.scriprtd",,"nse_fo|"&amp;$A$192&amp;""&amp;$G$1&amp;""&amp;L196&amp;"CE","Volume Traded Today")</f>
        <v>0</v>
      </c>
      <c r="J196" s="63">
        <f>RTD("nest.scriprtd",,"nse_fo|"&amp;$A$192&amp;""&amp;$G$1&amp;""&amp;L196&amp;"CE","% Change")</f>
        <v>0</v>
      </c>
      <c r="K196" s="63">
        <f>RTD("nest.scriprtd",,"nse_fo|"&amp;$A$192&amp;""&amp;$G$1&amp;""&amp;L196&amp;"CE","Net Change")</f>
        <v>0</v>
      </c>
      <c r="L196" s="63">
        <f>+L195+$D$192</f>
        <v>1880</v>
      </c>
      <c r="M196" s="63" t="str">
        <f>RTD("nest.scriprtd",,"nse_fo|"&amp;$A$192&amp;""&amp;$G$1&amp;""&amp;L196&amp;"CE","Option Type")</f>
        <v>CE</v>
      </c>
      <c r="N196" s="58">
        <f t="shared" si="91"/>
        <v>96.9</v>
      </c>
      <c r="Q196" s="58">
        <f t="shared" si="88"/>
        <v>0</v>
      </c>
      <c r="R196" s="58">
        <f t="shared" si="89"/>
        <v>0</v>
      </c>
      <c r="U196" s="58"/>
      <c r="Z196" s="58">
        <f t="shared" si="90"/>
        <v>0</v>
      </c>
    </row>
    <row r="197" spans="1:26" ht="15" x14ac:dyDescent="0.25">
      <c r="A197" s="63" t="str">
        <f>RTD("nest.scriprtd",,"nse_fo|"&amp;$A$192&amp;""&amp;$G$1&amp;""&amp;L197&amp;"CE","Symbol")</f>
        <v>MUTHOOTFIN</v>
      </c>
      <c r="B197" s="63" t="str">
        <f>RTD("nest.scriprtd",,"nse_fo|"&amp;$A$192&amp;""&amp;$G$1&amp;""&amp;L197&amp;"CE","Series/Expiry")</f>
        <v>26Dec2024</v>
      </c>
      <c r="C197" s="63">
        <f>RTD("nest.scriprtd",,"nse_fo|"&amp;$A$192&amp;""&amp;$G$1&amp;""&amp;L197&amp;"CE","Bid Qty")</f>
        <v>550</v>
      </c>
      <c r="D197" s="63">
        <f>RTD("nest.scriprtd",,"nse_fo|"&amp;$A$192&amp;""&amp;$G$1&amp;""&amp;L197&amp;"CE","Bid Rate")</f>
        <v>104.1</v>
      </c>
      <c r="E197" s="63">
        <f>RTD("nest.scriprtd",,"nse_fo|"&amp;$A$192&amp;""&amp;$G$1&amp;""&amp;L197&amp;"CE","Ask Rate")</f>
        <v>105.7</v>
      </c>
      <c r="F197" s="63">
        <f>RTD("nest.scriprtd",,"nse_fo|"&amp;$A$192&amp;""&amp;$G$1&amp;""&amp;L197&amp;"CE","Ask Qty")</f>
        <v>275</v>
      </c>
      <c r="G197" s="84">
        <f>RTD("nest.scriprtd",,"nse_fo|"&amp;$A$192&amp;""&amp;$G$1&amp;""&amp;L197&amp;"CE","LTP")</f>
        <v>105.1</v>
      </c>
      <c r="H197" s="63">
        <f>RTD("nest.scriprtd",,"nse_fo|"&amp;$A$192&amp;""&amp;$G$1&amp;""&amp;L197&amp;"CE","ATP")</f>
        <v>101.75</v>
      </c>
      <c r="I197" s="63">
        <f>RTD("nest.scriprtd",,"nse_fo|"&amp;$A$192&amp;""&amp;$G$1&amp;""&amp;L197&amp;"CE","Volume Traded Today")</f>
        <v>28325</v>
      </c>
      <c r="J197" s="63">
        <f>RTD("nest.scriprtd",,"nse_fo|"&amp;$A$192&amp;""&amp;$G$1&amp;""&amp;L197&amp;"CE","% Change")</f>
        <v>27.32</v>
      </c>
      <c r="K197" s="63">
        <f>RTD("nest.scriprtd",,"nse_fo|"&amp;$A$192&amp;""&amp;$G$1&amp;""&amp;L197&amp;"CE","Net Change")</f>
        <v>22.55</v>
      </c>
      <c r="L197" s="63">
        <f t="shared" ref="L197:L210" si="92">+L196+$D$192</f>
        <v>1900</v>
      </c>
      <c r="M197" s="63" t="str">
        <f>RTD("nest.scriprtd",,"nse_fo|"&amp;$A$192&amp;""&amp;$G$1&amp;""&amp;L197&amp;"CE","Option Type")</f>
        <v>CE</v>
      </c>
      <c r="N197" s="58">
        <f t="shared" si="91"/>
        <v>97.1</v>
      </c>
      <c r="Q197" s="58">
        <f t="shared" si="88"/>
        <v>0</v>
      </c>
      <c r="R197" s="58">
        <f t="shared" si="89"/>
        <v>0</v>
      </c>
      <c r="U197" s="58"/>
      <c r="Z197" s="58">
        <f t="shared" si="90"/>
        <v>0</v>
      </c>
    </row>
    <row r="198" spans="1:26" ht="15" x14ac:dyDescent="0.25">
      <c r="A198" s="63" t="str">
        <f>RTD("nest.scriprtd",,"nse_fo|"&amp;$A$192&amp;""&amp;$G$1&amp;""&amp;L198&amp;"CE","Symbol")</f>
        <v>MUTHOOTFIN</v>
      </c>
      <c r="B198" s="63" t="str">
        <f>RTD("nest.scriprtd",,"nse_fo|"&amp;$A$192&amp;""&amp;$G$1&amp;""&amp;L198&amp;"CE","Series/Expiry")</f>
        <v>26Dec2024</v>
      </c>
      <c r="C198" s="63">
        <f>RTD("nest.scriprtd",,"nse_fo|"&amp;$A$192&amp;""&amp;$G$1&amp;""&amp;L198&amp;"CE","Bid Qty")</f>
        <v>275</v>
      </c>
      <c r="D198" s="63">
        <f>RTD("nest.scriprtd",,"nse_fo|"&amp;$A$192&amp;""&amp;$G$1&amp;""&amp;L198&amp;"CE","Bid Rate")</f>
        <v>88.7</v>
      </c>
      <c r="E198" s="63">
        <f>RTD("nest.scriprtd",,"nse_fo|"&amp;$A$192&amp;""&amp;$G$1&amp;""&amp;L198&amp;"CE","Ask Rate")</f>
        <v>91.85</v>
      </c>
      <c r="F198" s="63">
        <f>RTD("nest.scriprtd",,"nse_fo|"&amp;$A$192&amp;""&amp;$G$1&amp;""&amp;L198&amp;"CE","Ask Qty")</f>
        <v>275</v>
      </c>
      <c r="G198" s="84">
        <f>RTD("nest.scriprtd",,"nse_fo|"&amp;$A$192&amp;""&amp;$G$1&amp;""&amp;L198&amp;"CE","LTP")</f>
        <v>88.2</v>
      </c>
      <c r="H198" s="63">
        <f>RTD("nest.scriprtd",,"nse_fo|"&amp;$A$192&amp;""&amp;$G$1&amp;""&amp;L198&amp;"CE","ATP")</f>
        <v>93.39</v>
      </c>
      <c r="I198" s="63">
        <f>RTD("nest.scriprtd",,"nse_fo|"&amp;$A$192&amp;""&amp;$G$1&amp;""&amp;L198&amp;"CE","Volume Traded Today")</f>
        <v>1375</v>
      </c>
      <c r="J198" s="63">
        <f>RTD("nest.scriprtd",,"nse_fo|"&amp;$A$192&amp;""&amp;$G$1&amp;""&amp;L198&amp;"CE","% Change")</f>
        <v>19.350000000000001</v>
      </c>
      <c r="K198" s="63">
        <f>RTD("nest.scriprtd",,"nse_fo|"&amp;$A$192&amp;""&amp;$G$1&amp;""&amp;L198&amp;"CE","Net Change")</f>
        <v>14.3</v>
      </c>
      <c r="L198" s="63">
        <f t="shared" si="92"/>
        <v>1920</v>
      </c>
      <c r="M198" s="63" t="str">
        <f>RTD("nest.scriprtd",,"nse_fo|"&amp;$A$192&amp;""&amp;$G$1&amp;""&amp;L198&amp;"CE","Option Type")</f>
        <v>CE</v>
      </c>
      <c r="N198" s="58">
        <f t="shared" si="91"/>
        <v>88.2</v>
      </c>
      <c r="Q198" s="58">
        <f t="shared" si="88"/>
        <v>0</v>
      </c>
      <c r="R198" s="58">
        <f t="shared" si="89"/>
        <v>0</v>
      </c>
      <c r="U198" s="58"/>
      <c r="Z198" s="58">
        <f t="shared" si="90"/>
        <v>0</v>
      </c>
    </row>
    <row r="199" spans="1:26" ht="15" x14ac:dyDescent="0.25">
      <c r="A199" s="63" t="str">
        <f>RTD("nest.scriprtd",,"nse_fo|"&amp;$A$192&amp;""&amp;$G$1&amp;""&amp;L199&amp;"CE","Symbol")</f>
        <v>MUTHOOTFIN</v>
      </c>
      <c r="B199" s="63" t="str">
        <f>RTD("nest.scriprtd",,"nse_fo|"&amp;$A$192&amp;""&amp;$G$1&amp;""&amp;L199&amp;"CE","Series/Expiry")</f>
        <v>26Dec2024</v>
      </c>
      <c r="C199" s="63">
        <f>RTD("nest.scriprtd",,"nse_fo|"&amp;$A$192&amp;""&amp;$G$1&amp;""&amp;L199&amp;"CE","Bid Qty")</f>
        <v>275</v>
      </c>
      <c r="D199" s="63">
        <f>RTD("nest.scriprtd",,"nse_fo|"&amp;$A$192&amp;""&amp;$G$1&amp;""&amp;L199&amp;"CE","Bid Rate")</f>
        <v>75.55</v>
      </c>
      <c r="E199" s="63">
        <f>RTD("nest.scriprtd",,"nse_fo|"&amp;$A$192&amp;""&amp;$G$1&amp;""&amp;L199&amp;"CE","Ask Rate")</f>
        <v>76.95</v>
      </c>
      <c r="F199" s="63">
        <f>RTD("nest.scriprtd",,"nse_fo|"&amp;$A$192&amp;""&amp;$G$1&amp;""&amp;L199&amp;"CE","Ask Qty")</f>
        <v>275</v>
      </c>
      <c r="G199" s="84">
        <f>RTD("nest.scriprtd",,"nse_fo|"&amp;$A$192&amp;""&amp;$G$1&amp;""&amp;L199&amp;"CE","LTP")</f>
        <v>77.25</v>
      </c>
      <c r="H199" s="63">
        <f>RTD("nest.scriprtd",,"nse_fo|"&amp;$A$192&amp;""&amp;$G$1&amp;""&amp;L199&amp;"CE","ATP")</f>
        <v>69.05</v>
      </c>
      <c r="I199" s="63">
        <f>RTD("nest.scriprtd",,"nse_fo|"&amp;$A$192&amp;""&amp;$G$1&amp;""&amp;L199&amp;"CE","Volume Traded Today")</f>
        <v>90475</v>
      </c>
      <c r="J199" s="63">
        <f>RTD("nest.scriprtd",,"nse_fo|"&amp;$A$192&amp;""&amp;$G$1&amp;""&amp;L199&amp;"CE","% Change")</f>
        <v>40.97</v>
      </c>
      <c r="K199" s="63">
        <f>RTD("nest.scriprtd",,"nse_fo|"&amp;$A$192&amp;""&amp;$G$1&amp;""&amp;L199&amp;"CE","Net Change")</f>
        <v>22.45</v>
      </c>
      <c r="L199" s="63">
        <f t="shared" si="92"/>
        <v>1940</v>
      </c>
      <c r="M199" s="63" t="str">
        <f>RTD("nest.scriprtd",,"nse_fo|"&amp;$A$192&amp;""&amp;$G$1&amp;""&amp;L199&amp;"CE","Option Type")</f>
        <v>CE</v>
      </c>
      <c r="N199" s="58">
        <f t="shared" si="91"/>
        <v>77.25</v>
      </c>
      <c r="Q199" s="58">
        <f>+P199+O199</f>
        <v>0</v>
      </c>
      <c r="R199" s="58">
        <f t="shared" si="89"/>
        <v>0</v>
      </c>
      <c r="U199" s="58"/>
      <c r="Z199" s="58">
        <f>+O199*K199</f>
        <v>0</v>
      </c>
    </row>
    <row r="200" spans="1:26" ht="15" x14ac:dyDescent="0.25">
      <c r="A200" s="63" t="str">
        <f>RTD("nest.scriprtd",,"nse_fo|"&amp;$A$192&amp;""&amp;$G$1&amp;""&amp;L200&amp;"CE","Symbol")</f>
        <v>MUTHOOTFIN</v>
      </c>
      <c r="B200" s="63" t="str">
        <f>RTD("nest.scriprtd",,"nse_fo|"&amp;$A$192&amp;""&amp;$G$1&amp;""&amp;L200&amp;"CE","Series/Expiry")</f>
        <v>26Dec2024</v>
      </c>
      <c r="C200" s="63">
        <f>RTD("nest.scriprtd",,"nse_fo|"&amp;$A$192&amp;""&amp;$G$1&amp;""&amp;L200&amp;"CE","Bid Qty")</f>
        <v>550</v>
      </c>
      <c r="D200" s="63">
        <f>RTD("nest.scriprtd",,"nse_fo|"&amp;$A$192&amp;""&amp;$G$1&amp;""&amp;L200&amp;"CE","Bid Rate")</f>
        <v>63.4</v>
      </c>
      <c r="E200" s="63">
        <f>RTD("nest.scriprtd",,"nse_fo|"&amp;$A$192&amp;""&amp;$G$1&amp;""&amp;L200&amp;"CE","Ask Rate")</f>
        <v>64.3</v>
      </c>
      <c r="F200" s="63">
        <f>RTD("nest.scriprtd",,"nse_fo|"&amp;$A$192&amp;""&amp;$G$1&amp;""&amp;L200&amp;"CE","Ask Qty")</f>
        <v>275</v>
      </c>
      <c r="G200" s="84">
        <f>RTD("nest.scriprtd",,"nse_fo|"&amp;$A$192&amp;""&amp;$G$1&amp;""&amp;L200&amp;"CE","LTP")</f>
        <v>63.65</v>
      </c>
      <c r="H200" s="63">
        <f>RTD("nest.scriprtd",,"nse_fo|"&amp;$A$192&amp;""&amp;$G$1&amp;""&amp;L200&amp;"CE","ATP")</f>
        <v>58.39</v>
      </c>
      <c r="I200" s="63">
        <f>RTD("nest.scriprtd",,"nse_fo|"&amp;$A$192&amp;""&amp;$G$1&amp;""&amp;L200&amp;"CE","Volume Traded Today")</f>
        <v>337975</v>
      </c>
      <c r="J200" s="63">
        <f>RTD("nest.scriprtd",,"nse_fo|"&amp;$A$192&amp;""&amp;$G$1&amp;""&amp;L200&amp;"CE","% Change")</f>
        <v>44.99</v>
      </c>
      <c r="K200" s="63">
        <f>RTD("nest.scriprtd",,"nse_fo|"&amp;$A$192&amp;""&amp;$G$1&amp;""&amp;L200&amp;"CE","Net Change")</f>
        <v>19.75</v>
      </c>
      <c r="L200" s="63">
        <f t="shared" si="92"/>
        <v>1960</v>
      </c>
      <c r="M200" s="63" t="str">
        <f>RTD("nest.scriprtd",,"nse_fo|"&amp;$A$192&amp;""&amp;$G$1&amp;""&amp;L200&amp;"CE","Option Type")</f>
        <v>CE</v>
      </c>
      <c r="N200" s="58">
        <f t="shared" si="91"/>
        <v>63.65</v>
      </c>
      <c r="Q200" s="58">
        <f>+P200+O200</f>
        <v>0</v>
      </c>
      <c r="R200" s="58">
        <f t="shared" si="89"/>
        <v>0</v>
      </c>
      <c r="Z200" s="58">
        <f>+O200*K200</f>
        <v>0</v>
      </c>
    </row>
    <row r="201" spans="1:26" ht="15" x14ac:dyDescent="0.25">
      <c r="A201" s="63" t="str">
        <f>RTD("nest.scriprtd",,"nse_fo|"&amp;$A$192&amp;""&amp;$G$1&amp;""&amp;L201&amp;"CE","Symbol")</f>
        <v>MUTHOOTFIN</v>
      </c>
      <c r="B201" s="63" t="str">
        <f>RTD("nest.scriprtd",,"nse_fo|"&amp;$A$192&amp;""&amp;$G$1&amp;""&amp;L201&amp;"CE","Series/Expiry")</f>
        <v>26Dec2024</v>
      </c>
      <c r="C201" s="63">
        <f>RTD("nest.scriprtd",,"nse_fo|"&amp;$A$192&amp;""&amp;$G$1&amp;""&amp;L201&amp;"CE","Bid Qty")</f>
        <v>275</v>
      </c>
      <c r="D201" s="63">
        <f>RTD("nest.scriprtd",,"nse_fo|"&amp;$A$192&amp;""&amp;$G$1&amp;""&amp;L201&amp;"CE","Bid Rate")</f>
        <v>52.55</v>
      </c>
      <c r="E201" s="63">
        <f>RTD("nest.scriprtd",,"nse_fo|"&amp;$A$192&amp;""&amp;$G$1&amp;""&amp;L201&amp;"CE","Ask Rate")</f>
        <v>53.15</v>
      </c>
      <c r="F201" s="63">
        <f>RTD("nest.scriprtd",,"nse_fo|"&amp;$A$192&amp;""&amp;$G$1&amp;""&amp;L201&amp;"CE","Ask Qty")</f>
        <v>275</v>
      </c>
      <c r="G201" s="84">
        <f>RTD("nest.scriprtd",,"nse_fo|"&amp;$A$192&amp;""&amp;$G$1&amp;""&amp;L201&amp;"CE","LTP")</f>
        <v>52.75</v>
      </c>
      <c r="H201" s="63">
        <f>RTD("nest.scriprtd",,"nse_fo|"&amp;$A$192&amp;""&amp;$G$1&amp;""&amp;L201&amp;"CE","ATP")</f>
        <v>50.67</v>
      </c>
      <c r="I201" s="63">
        <f>RTD("nest.scriprtd",,"nse_fo|"&amp;$A$192&amp;""&amp;$G$1&amp;""&amp;L201&amp;"CE","Volume Traded Today")</f>
        <v>422675</v>
      </c>
      <c r="J201" s="63">
        <f>RTD("nest.scriprtd",,"nse_fo|"&amp;$A$192&amp;""&amp;$G$1&amp;""&amp;L201&amp;"CE","% Change")</f>
        <v>55.38</v>
      </c>
      <c r="K201" s="63">
        <f>RTD("nest.scriprtd",,"nse_fo|"&amp;$A$192&amp;""&amp;$G$1&amp;""&amp;L201&amp;"CE","Net Change")</f>
        <v>18.8</v>
      </c>
      <c r="L201" s="63">
        <f t="shared" si="92"/>
        <v>1980</v>
      </c>
      <c r="M201" s="63" t="str">
        <f>RTD("nest.scriprtd",,"nse_fo|"&amp;$A$192&amp;""&amp;$G$1&amp;""&amp;L201&amp;"CE","Option Type")</f>
        <v>CE</v>
      </c>
      <c r="N201" s="58">
        <f t="shared" si="91"/>
        <v>52.75</v>
      </c>
      <c r="Q201" s="58">
        <f>+P201+O201</f>
        <v>0</v>
      </c>
      <c r="R201" s="58">
        <f t="shared" si="89"/>
        <v>0</v>
      </c>
      <c r="Z201" s="58">
        <f>+O201*K201</f>
        <v>0</v>
      </c>
    </row>
    <row r="202" spans="1:26" ht="15" x14ac:dyDescent="0.25">
      <c r="A202" s="63" t="str">
        <f>RTD("nest.scriprtd",,"nse_fo|"&amp;$A$192&amp;""&amp;$G$1&amp;""&amp;L202&amp;"CE","Symbol")</f>
        <v>MUTHOOTFIN</v>
      </c>
      <c r="B202" s="63" t="str">
        <f>RTD("nest.scriprtd",,"nse_fo|"&amp;$A$192&amp;""&amp;$G$1&amp;""&amp;L202&amp;"CE","Series/Expiry")</f>
        <v>26Dec2024</v>
      </c>
      <c r="C202" s="63">
        <f>RTD("nest.scriprtd",,"nse_fo|"&amp;$A$192&amp;""&amp;$G$1&amp;""&amp;L202&amp;"CE","Bid Qty")</f>
        <v>275</v>
      </c>
      <c r="D202" s="63">
        <f>RTD("nest.scriprtd",,"nse_fo|"&amp;$A$192&amp;""&amp;$G$1&amp;""&amp;L202&amp;"CE","Bid Rate")</f>
        <v>43.05</v>
      </c>
      <c r="E202" s="63">
        <f>RTD("nest.scriprtd",,"nse_fo|"&amp;$A$192&amp;""&amp;$G$1&amp;""&amp;L202&amp;"CE","Ask Rate")</f>
        <v>43.5</v>
      </c>
      <c r="F202" s="63">
        <f>RTD("nest.scriprtd",,"nse_fo|"&amp;$A$192&amp;""&amp;$G$1&amp;""&amp;L202&amp;"CE","Ask Qty")</f>
        <v>275</v>
      </c>
      <c r="G202" s="84">
        <f>RTD("nest.scriprtd",,"nse_fo|"&amp;$A$192&amp;""&amp;$G$1&amp;""&amp;L202&amp;"CE","LTP")</f>
        <v>43.2</v>
      </c>
      <c r="H202" s="63">
        <f>RTD("nest.scriprtd",,"nse_fo|"&amp;$A$192&amp;""&amp;$G$1&amp;""&amp;L202&amp;"CE","ATP")</f>
        <v>43.71</v>
      </c>
      <c r="I202" s="63">
        <f>RTD("nest.scriprtd",,"nse_fo|"&amp;$A$192&amp;""&amp;$G$1&amp;""&amp;L202&amp;"CE","Volume Traded Today")</f>
        <v>2657875</v>
      </c>
      <c r="J202" s="63">
        <f>RTD("nest.scriprtd",,"nse_fo|"&amp;$A$192&amp;""&amp;$G$1&amp;""&amp;L202&amp;"CE","% Change")</f>
        <v>64.89</v>
      </c>
      <c r="K202" s="63">
        <f>RTD("nest.scriprtd",,"nse_fo|"&amp;$A$192&amp;""&amp;$G$1&amp;""&amp;L202&amp;"CE","Net Change")</f>
        <v>17</v>
      </c>
      <c r="L202" s="63">
        <f t="shared" ref="L202:L205" si="93">+L201+$D$192</f>
        <v>2000</v>
      </c>
      <c r="M202" s="63" t="str">
        <f>RTD("nest.scriprtd",,"nse_fo|"&amp;$A$192&amp;""&amp;$G$1&amp;""&amp;L202&amp;"CE","Option Type")</f>
        <v>CE</v>
      </c>
      <c r="N202" s="58">
        <f t="shared" ref="N202:N204" si="94">MIN($S$193,G202)</f>
        <v>43.2</v>
      </c>
      <c r="Q202" s="58">
        <f t="shared" ref="Q202:Q204" si="95">+P202+O202</f>
        <v>0</v>
      </c>
      <c r="R202" s="58">
        <f t="shared" ref="R202:R204" si="96">+Q202*N202</f>
        <v>0</v>
      </c>
      <c r="Z202" s="58">
        <f t="shared" ref="Z202:Z204" si="97">+O202*K202</f>
        <v>0</v>
      </c>
    </row>
    <row r="203" spans="1:26" ht="15" x14ac:dyDescent="0.25">
      <c r="A203" s="63" t="str">
        <f>RTD("nest.scriprtd",,"nse_fo|"&amp;$A$192&amp;""&amp;$G$1&amp;""&amp;L203&amp;"CE","Symbol")</f>
        <v>MUTHOOTFIN</v>
      </c>
      <c r="B203" s="63" t="str">
        <f>RTD("nest.scriprtd",,"nse_fo|"&amp;$A$192&amp;""&amp;$G$1&amp;""&amp;L203&amp;"CE","Series/Expiry")</f>
        <v>26Dec2024</v>
      </c>
      <c r="C203" s="63">
        <f>RTD("nest.scriprtd",,"nse_fo|"&amp;$A$192&amp;""&amp;$G$1&amp;""&amp;L203&amp;"CE","Bid Qty")</f>
        <v>275</v>
      </c>
      <c r="D203" s="63">
        <f>RTD("nest.scriprtd",,"nse_fo|"&amp;$A$192&amp;""&amp;$G$1&amp;""&amp;L203&amp;"CE","Bid Rate")</f>
        <v>34.1</v>
      </c>
      <c r="E203" s="63">
        <f>RTD("nest.scriprtd",,"nse_fo|"&amp;$A$192&amp;""&amp;$G$1&amp;""&amp;L203&amp;"CE","Ask Rate")</f>
        <v>35</v>
      </c>
      <c r="F203" s="63">
        <f>RTD("nest.scriprtd",,"nse_fo|"&amp;$A$192&amp;""&amp;$G$1&amp;""&amp;L203&amp;"CE","Ask Qty")</f>
        <v>275</v>
      </c>
      <c r="G203" s="84">
        <f>RTD("nest.scriprtd",,"nse_fo|"&amp;$A$192&amp;""&amp;$G$1&amp;""&amp;L203&amp;"CE","LTP")</f>
        <v>34.950000000000003</v>
      </c>
      <c r="H203" s="63">
        <f>RTD("nest.scriprtd",,"nse_fo|"&amp;$A$192&amp;""&amp;$G$1&amp;""&amp;L203&amp;"CE","ATP")</f>
        <v>34.56</v>
      </c>
      <c r="I203" s="63">
        <f>RTD("nest.scriprtd",,"nse_fo|"&amp;$A$192&amp;""&amp;$G$1&amp;""&amp;L203&amp;"CE","Volume Traded Today")</f>
        <v>141625</v>
      </c>
      <c r="J203" s="63">
        <f>RTD("nest.scriprtd",,"nse_fo|"&amp;$A$192&amp;""&amp;$G$1&amp;""&amp;L203&amp;"CE","% Change")</f>
        <v>80.150000000000006</v>
      </c>
      <c r="K203" s="63">
        <f>RTD("nest.scriprtd",,"nse_fo|"&amp;$A$192&amp;""&amp;$G$1&amp;""&amp;L203&amp;"CE","Net Change")</f>
        <v>15.55</v>
      </c>
      <c r="L203" s="63">
        <f t="shared" si="93"/>
        <v>2020</v>
      </c>
      <c r="M203" s="63" t="str">
        <f>RTD("nest.scriprtd",,"nse_fo|"&amp;$A$192&amp;""&amp;$G$1&amp;""&amp;L203&amp;"CE","Option Type")</f>
        <v>CE</v>
      </c>
      <c r="N203" s="58">
        <f t="shared" si="94"/>
        <v>34.950000000000003</v>
      </c>
      <c r="Q203" s="58">
        <f t="shared" si="95"/>
        <v>0</v>
      </c>
      <c r="R203" s="58">
        <f t="shared" si="96"/>
        <v>0</v>
      </c>
      <c r="Z203" s="58">
        <f t="shared" si="97"/>
        <v>0</v>
      </c>
    </row>
    <row r="204" spans="1:26" ht="15" x14ac:dyDescent="0.25">
      <c r="A204" s="63" t="str">
        <f>RTD("nest.scriprtd",,"nse_fo|"&amp;$A$192&amp;""&amp;$G$1&amp;""&amp;L204&amp;"CE","Symbol")</f>
        <v>MUTHOOTFIN</v>
      </c>
      <c r="B204" s="63" t="str">
        <f>RTD("nest.scriprtd",,"nse_fo|"&amp;$A$192&amp;""&amp;$G$1&amp;""&amp;L204&amp;"CE","Series/Expiry")</f>
        <v>26Dec2024</v>
      </c>
      <c r="C204" s="63">
        <f>RTD("nest.scriprtd",,"nse_fo|"&amp;$A$192&amp;""&amp;$G$1&amp;""&amp;L204&amp;"CE","Bid Qty")</f>
        <v>275</v>
      </c>
      <c r="D204" s="63">
        <f>RTD("nest.scriprtd",,"nse_fo|"&amp;$A$192&amp;""&amp;$G$1&amp;""&amp;L204&amp;"CE","Bid Rate")</f>
        <v>27.2</v>
      </c>
      <c r="E204" s="63">
        <f>RTD("nest.scriprtd",,"nse_fo|"&amp;$A$192&amp;""&amp;$G$1&amp;""&amp;L204&amp;"CE","Ask Rate")</f>
        <v>27.7</v>
      </c>
      <c r="F204" s="63">
        <f>RTD("nest.scriprtd",,"nse_fo|"&amp;$A$192&amp;""&amp;$G$1&amp;""&amp;L204&amp;"CE","Ask Qty")</f>
        <v>550</v>
      </c>
      <c r="G204" s="84">
        <f>RTD("nest.scriprtd",,"nse_fo|"&amp;$A$192&amp;""&amp;$G$1&amp;""&amp;L204&amp;"CE","LTP")</f>
        <v>27.5</v>
      </c>
      <c r="H204" s="63">
        <f>RTD("nest.scriprtd",,"nse_fo|"&amp;$A$192&amp;""&amp;$G$1&amp;""&amp;L204&amp;"CE","ATP")</f>
        <v>26.82</v>
      </c>
      <c r="I204" s="63">
        <f>RTD("nest.scriprtd",,"nse_fo|"&amp;$A$192&amp;""&amp;$G$1&amp;""&amp;L204&amp;"CE","Volume Traded Today")</f>
        <v>152350</v>
      </c>
      <c r="J204" s="63">
        <f>RTD("nest.scriprtd",,"nse_fo|"&amp;$A$192&amp;""&amp;$G$1&amp;""&amp;L204&amp;"CE","% Change")</f>
        <v>86.44</v>
      </c>
      <c r="K204" s="63">
        <f>RTD("nest.scriprtd",,"nse_fo|"&amp;$A$192&amp;""&amp;$G$1&amp;""&amp;L204&amp;"CE","Net Change")</f>
        <v>12.75</v>
      </c>
      <c r="L204" s="63">
        <f t="shared" si="93"/>
        <v>2040</v>
      </c>
      <c r="M204" s="63" t="str">
        <f>RTD("nest.scriprtd",,"nse_fo|"&amp;$A$192&amp;""&amp;$G$1&amp;""&amp;L204&amp;"CE","Option Type")</f>
        <v>CE</v>
      </c>
      <c r="N204" s="58">
        <f t="shared" si="94"/>
        <v>27.5</v>
      </c>
      <c r="Q204" s="58">
        <f t="shared" si="95"/>
        <v>0</v>
      </c>
      <c r="R204" s="58">
        <f t="shared" si="96"/>
        <v>0</v>
      </c>
      <c r="Z204" s="58">
        <f t="shared" si="97"/>
        <v>0</v>
      </c>
    </row>
    <row r="205" spans="1:26" ht="15" x14ac:dyDescent="0.25">
      <c r="A205" s="63" t="str">
        <f>RTD("nest.scriprtd",,"nse_fo|"&amp;$A$192&amp;""&amp;$G$1&amp;""&amp;L205&amp;"CE","Symbol")</f>
        <v>MUTHOOTFIN</v>
      </c>
      <c r="B205" s="63" t="str">
        <f>RTD("nest.scriprtd",,"nse_fo|"&amp;$A$192&amp;""&amp;$G$1&amp;""&amp;L205&amp;"CE","Series/Expiry")</f>
        <v>26Dec2024</v>
      </c>
      <c r="C205" s="63">
        <f>RTD("nest.scriprtd",,"nse_fo|"&amp;$A$192&amp;""&amp;$G$1&amp;""&amp;L205&amp;"CE","Bid Qty")</f>
        <v>275</v>
      </c>
      <c r="D205" s="63">
        <f>RTD("nest.scriprtd",,"nse_fo|"&amp;$A$192&amp;""&amp;$G$1&amp;""&amp;L205&amp;"CE","Bid Rate")</f>
        <v>21.2</v>
      </c>
      <c r="E205" s="63">
        <f>RTD("nest.scriprtd",,"nse_fo|"&amp;$A$192&amp;""&amp;$G$1&amp;""&amp;L205&amp;"CE","Ask Rate")</f>
        <v>21.75</v>
      </c>
      <c r="F205" s="63">
        <f>RTD("nest.scriprtd",,"nse_fo|"&amp;$A$192&amp;""&amp;$G$1&amp;""&amp;L205&amp;"CE","Ask Qty")</f>
        <v>550</v>
      </c>
      <c r="G205" s="84">
        <f>RTD("nest.scriprtd",,"nse_fo|"&amp;$A$192&amp;""&amp;$G$1&amp;""&amp;L205&amp;"CE","LTP")</f>
        <v>21</v>
      </c>
      <c r="H205" s="63">
        <f>RTD("nest.scriprtd",,"nse_fo|"&amp;$A$192&amp;""&amp;$G$1&amp;""&amp;L205&amp;"CE","ATP")</f>
        <v>19.62</v>
      </c>
      <c r="I205" s="63">
        <f>RTD("nest.scriprtd",,"nse_fo|"&amp;$A$192&amp;""&amp;$G$1&amp;""&amp;L205&amp;"CE","Volume Traded Today")</f>
        <v>88275</v>
      </c>
      <c r="J205" s="63">
        <f>RTD("nest.scriprtd",,"nse_fo|"&amp;$A$192&amp;""&amp;$G$1&amp;""&amp;L205&amp;"CE","% Change")</f>
        <v>90.91</v>
      </c>
      <c r="K205" s="63">
        <f>RTD("nest.scriprtd",,"nse_fo|"&amp;$A$192&amp;""&amp;$G$1&amp;""&amp;L205&amp;"CE","Net Change")</f>
        <v>10</v>
      </c>
      <c r="L205" s="63">
        <f t="shared" si="93"/>
        <v>2060</v>
      </c>
      <c r="M205" s="63" t="str">
        <f>RTD("nest.scriprtd",,"nse_fo|"&amp;$A$192&amp;""&amp;$G$1&amp;""&amp;L205&amp;"CE","Option Type")</f>
        <v>CE</v>
      </c>
      <c r="N205" s="58">
        <f t="shared" si="91"/>
        <v>21</v>
      </c>
      <c r="Q205" s="58">
        <f>+P205+O205</f>
        <v>0</v>
      </c>
      <c r="R205" s="58">
        <f t="shared" si="89"/>
        <v>0</v>
      </c>
      <c r="Z205" s="58">
        <f>+O205*K205</f>
        <v>0</v>
      </c>
    </row>
    <row r="206" spans="1:26" ht="15" x14ac:dyDescent="0.25">
      <c r="A206" s="63" t="str">
        <f>RTD("nest.scriprtd",,"nse_fo|"&amp;$A$192&amp;""&amp;$G$1&amp;""&amp;L206&amp;"CE","Symbol")</f>
        <v>MUTHOOTFIN</v>
      </c>
      <c r="B206" s="63" t="str">
        <f>RTD("nest.scriprtd",,"nse_fo|"&amp;$A$192&amp;""&amp;$G$1&amp;""&amp;L206&amp;"PE","Series/Expiry")</f>
        <v>26Dec2024</v>
      </c>
      <c r="C206" s="63">
        <f>RTD("nest.scriprtd",,"nse_fo|"&amp;$A$192&amp;""&amp;$G$1&amp;""&amp;L206&amp;"PE","Bid Qty")</f>
        <v>1100</v>
      </c>
      <c r="D206" s="63">
        <f>RTD("nest.scriprtd",,"nse_fo|"&amp;$A$192&amp;""&amp;$G$1&amp;""&amp;L206&amp;"PE","Bid Rate")</f>
        <v>4.3499999999999996</v>
      </c>
      <c r="E206" s="63">
        <f>RTD("nest.scriprtd",,"nse_fo|"&amp;$A$192&amp;""&amp;$G$1&amp;""&amp;L206&amp;"PE","Ask Rate")</f>
        <v>4.5</v>
      </c>
      <c r="F206" s="63">
        <f>RTD("nest.scriprtd",,"nse_fo|"&amp;$A$192&amp;""&amp;$G$1&amp;""&amp;L206&amp;"PE","Ask Qty")</f>
        <v>825</v>
      </c>
      <c r="G206" s="84">
        <f>RTD("nest.scriprtd",,"nse_fo|"&amp;$A$192&amp;""&amp;$G$1&amp;""&amp;L206&amp;"PE","LTP")</f>
        <v>4.4000000000000004</v>
      </c>
      <c r="H206" s="63">
        <f>RTD("nest.scriprtd",,"nse_fo|"&amp;$A$192&amp;""&amp;$G$1&amp;""&amp;L206&amp;"PE","ATP")</f>
        <v>4.79</v>
      </c>
      <c r="I206" s="63">
        <f>RTD("nest.scriprtd",,"nse_fo|"&amp;$A$192&amp;""&amp;$G$1&amp;""&amp;L206&amp;"PE","Volume Traded Today")</f>
        <v>84425</v>
      </c>
      <c r="J206" s="63">
        <f>RTD("nest.scriprtd",,"nse_fo|"&amp;$A$192&amp;""&amp;$G$1&amp;""&amp;L206&amp;"PE","% Change")</f>
        <v>-18.52</v>
      </c>
      <c r="K206" s="63">
        <f>RTD("nest.scriprtd",,"nse_fo|"&amp;$A$192&amp;""&amp;$G$1&amp;""&amp;L206&amp;"PE","Net Change")</f>
        <v>-1</v>
      </c>
      <c r="L206" s="63">
        <v>1800</v>
      </c>
      <c r="M206" s="82" t="str">
        <f>RTD("nest.scriprtd",,"nse_fo|"&amp;$A$192&amp;""&amp;$G$1&amp;""&amp;L206&amp;"PE","Option Type")</f>
        <v>PE</v>
      </c>
      <c r="N206" s="58">
        <f t="shared" si="91"/>
        <v>4.4000000000000004</v>
      </c>
      <c r="Q206" s="58">
        <f t="shared" si="88"/>
        <v>0</v>
      </c>
      <c r="R206" s="58">
        <f t="shared" si="89"/>
        <v>0</v>
      </c>
      <c r="Z206" s="58">
        <f t="shared" si="90"/>
        <v>0</v>
      </c>
    </row>
    <row r="207" spans="1:26" ht="15" x14ac:dyDescent="0.25">
      <c r="A207" s="63" t="str">
        <f>RTD("nest.scriprtd",,"nse_fo|"&amp;$A$192&amp;""&amp;$G$1&amp;""&amp;L207&amp;"CE","Symbol")</f>
        <v>MUTHOOTFIN</v>
      </c>
      <c r="B207" s="63" t="str">
        <f>RTD("nest.scriprtd",,"nse_fo|"&amp;$A$192&amp;""&amp;$G$1&amp;""&amp;L207&amp;"PE","Series/Expiry")</f>
        <v>26Dec2024</v>
      </c>
      <c r="C207" s="63">
        <f>RTD("nest.scriprtd",,"nse_fo|"&amp;$A$192&amp;""&amp;$G$1&amp;""&amp;L207&amp;"PE","Bid Qty")</f>
        <v>550</v>
      </c>
      <c r="D207" s="63">
        <f>RTD("nest.scriprtd",,"nse_fo|"&amp;$A$192&amp;""&amp;$G$1&amp;""&amp;L207&amp;"PE","Bid Rate")</f>
        <v>5.7</v>
      </c>
      <c r="E207" s="63">
        <f>RTD("nest.scriprtd",,"nse_fo|"&amp;$A$192&amp;""&amp;$G$1&amp;""&amp;L207&amp;"PE","Ask Rate")</f>
        <v>5.9</v>
      </c>
      <c r="F207" s="63">
        <f>RTD("nest.scriprtd",,"nse_fo|"&amp;$A$192&amp;""&amp;$G$1&amp;""&amp;L207&amp;"PE","Ask Qty")</f>
        <v>550</v>
      </c>
      <c r="G207" s="84">
        <f>RTD("nest.scriprtd",,"nse_fo|"&amp;$A$192&amp;""&amp;$G$1&amp;""&amp;L207&amp;"PE","LTP")</f>
        <v>5.65</v>
      </c>
      <c r="H207" s="63">
        <f>RTD("nest.scriprtd",,"nse_fo|"&amp;$A$192&amp;""&amp;$G$1&amp;""&amp;L207&amp;"PE","ATP")</f>
        <v>6.2</v>
      </c>
      <c r="I207" s="63">
        <f>RTD("nest.scriprtd",,"nse_fo|"&amp;$A$192&amp;""&amp;$G$1&amp;""&amp;L207&amp;"PE","Volume Traded Today")</f>
        <v>9625</v>
      </c>
      <c r="J207" s="63">
        <f>RTD("nest.scriprtd",,"nse_fo|"&amp;$A$192&amp;""&amp;$G$1&amp;""&amp;L207&amp;"PE","% Change")</f>
        <v>-17.52</v>
      </c>
      <c r="K207" s="63">
        <f>RTD("nest.scriprtd",,"nse_fo|"&amp;$A$192&amp;""&amp;$G$1&amp;""&amp;L207&amp;"PE","Net Change")</f>
        <v>-1.2</v>
      </c>
      <c r="L207" s="63">
        <f t="shared" si="92"/>
        <v>1820</v>
      </c>
      <c r="M207" s="63" t="str">
        <f>RTD("nest.scriprtd",,"nse_fo|"&amp;$A$192&amp;""&amp;$G$1&amp;""&amp;L207&amp;"PE","Option Type")</f>
        <v>PE</v>
      </c>
      <c r="N207" s="58">
        <f t="shared" si="91"/>
        <v>5.65</v>
      </c>
      <c r="Q207" s="58">
        <f t="shared" si="88"/>
        <v>0</v>
      </c>
      <c r="R207" s="58">
        <f t="shared" si="89"/>
        <v>0</v>
      </c>
      <c r="Z207" s="58">
        <f t="shared" si="90"/>
        <v>0</v>
      </c>
    </row>
    <row r="208" spans="1:26" ht="15" x14ac:dyDescent="0.25">
      <c r="A208" s="63" t="str">
        <f>RTD("nest.scriprtd",,"nse_fo|"&amp;$A$192&amp;""&amp;$G$1&amp;""&amp;L208&amp;"CE","Symbol")</f>
        <v>MUTHOOTFIN</v>
      </c>
      <c r="B208" s="63" t="str">
        <f>RTD("nest.scriprtd",,"nse_fo|"&amp;$A$192&amp;""&amp;$G$1&amp;""&amp;L208&amp;"PE","Series/Expiry")</f>
        <v>26Dec2024</v>
      </c>
      <c r="C208" s="63">
        <f>RTD("nest.scriprtd",,"nse_fo|"&amp;$A$192&amp;""&amp;$G$1&amp;""&amp;L208&amp;"PE","Bid Qty")</f>
        <v>275</v>
      </c>
      <c r="D208" s="63">
        <f>RTD("nest.scriprtd",,"nse_fo|"&amp;$A$192&amp;""&amp;$G$1&amp;""&amp;L208&amp;"PE","Bid Rate")</f>
        <v>7.6</v>
      </c>
      <c r="E208" s="63">
        <f>RTD("nest.scriprtd",,"nse_fo|"&amp;$A$192&amp;""&amp;$G$1&amp;""&amp;L208&amp;"PE","Ask Rate")</f>
        <v>7.75</v>
      </c>
      <c r="F208" s="63">
        <f>RTD("nest.scriprtd",,"nse_fo|"&amp;$A$192&amp;""&amp;$G$1&amp;""&amp;L208&amp;"PE","Ask Qty")</f>
        <v>550</v>
      </c>
      <c r="G208" s="84">
        <f>RTD("nest.scriprtd",,"nse_fo|"&amp;$A$192&amp;""&amp;$G$1&amp;""&amp;L208&amp;"PE","LTP")</f>
        <v>7.6</v>
      </c>
      <c r="H208" s="63">
        <f>RTD("nest.scriprtd",,"nse_fo|"&amp;$A$192&amp;""&amp;$G$1&amp;""&amp;L208&amp;"PE","ATP")</f>
        <v>7.6</v>
      </c>
      <c r="I208" s="63">
        <f>RTD("nest.scriprtd",,"nse_fo|"&amp;$A$192&amp;""&amp;$G$1&amp;""&amp;L208&amp;"PE","Volume Traded Today")</f>
        <v>91575</v>
      </c>
      <c r="J208" s="63">
        <f>RTD("nest.scriprtd",,"nse_fo|"&amp;$A$192&amp;""&amp;$G$1&amp;""&amp;L208&amp;"PE","% Change")</f>
        <v>-15.08</v>
      </c>
      <c r="K208" s="63">
        <f>RTD("nest.scriprtd",,"nse_fo|"&amp;$A$192&amp;""&amp;$G$1&amp;""&amp;L208&amp;"PE","Net Change")</f>
        <v>-1.35</v>
      </c>
      <c r="L208" s="63">
        <f t="shared" si="92"/>
        <v>1840</v>
      </c>
      <c r="M208" s="63" t="str">
        <f>RTD("nest.scriprtd",,"nse_fo|"&amp;$A$192&amp;""&amp;$G$1&amp;""&amp;L208&amp;"PE","Option Type")</f>
        <v>PE</v>
      </c>
      <c r="N208" s="58">
        <f t="shared" si="91"/>
        <v>7.6</v>
      </c>
      <c r="Q208" s="58">
        <f t="shared" si="88"/>
        <v>0</v>
      </c>
      <c r="R208" s="58">
        <f t="shared" si="89"/>
        <v>0</v>
      </c>
      <c r="Z208" s="58">
        <f t="shared" si="90"/>
        <v>0</v>
      </c>
    </row>
    <row r="209" spans="1:27" ht="15" x14ac:dyDescent="0.25">
      <c r="A209" s="63" t="str">
        <f>RTD("nest.scriprtd",,"nse_fo|"&amp;$A$192&amp;""&amp;$G$1&amp;""&amp;L209&amp;"CE","Symbol")</f>
        <v>MUTHOOTFIN</v>
      </c>
      <c r="B209" s="63" t="str">
        <f>RTD("nest.scriprtd",,"nse_fo|"&amp;$A$192&amp;""&amp;$G$1&amp;""&amp;L209&amp;"PE","Series/Expiry")</f>
        <v>26Dec2024</v>
      </c>
      <c r="C209" s="63">
        <f>RTD("nest.scriprtd",,"nse_fo|"&amp;$A$192&amp;""&amp;$G$1&amp;""&amp;L209&amp;"PE","Bid Qty")</f>
        <v>550</v>
      </c>
      <c r="D209" s="63">
        <f>RTD("nest.scriprtd",,"nse_fo|"&amp;$A$192&amp;""&amp;$G$1&amp;""&amp;L209&amp;"PE","Bid Rate")</f>
        <v>10</v>
      </c>
      <c r="E209" s="63">
        <f>RTD("nest.scriprtd",,"nse_fo|"&amp;$A$192&amp;""&amp;$G$1&amp;""&amp;L209&amp;"PE","Ask Rate")</f>
        <v>10.35</v>
      </c>
      <c r="F209" s="63">
        <f>RTD("nest.scriprtd",,"nse_fo|"&amp;$A$192&amp;""&amp;$G$1&amp;""&amp;L209&amp;"PE","Ask Qty")</f>
        <v>550</v>
      </c>
      <c r="G209" s="84">
        <f>RTD("nest.scriprtd",,"nse_fo|"&amp;$A$192&amp;""&amp;$G$1&amp;""&amp;L209&amp;"PE","LTP")</f>
        <v>9.9</v>
      </c>
      <c r="H209" s="63">
        <f>RTD("nest.scriprtd",,"nse_fo|"&amp;$A$192&amp;""&amp;$G$1&amp;""&amp;L209&amp;"PE","ATP")</f>
        <v>9.74</v>
      </c>
      <c r="I209" s="63">
        <f>RTD("nest.scriprtd",,"nse_fo|"&amp;$A$192&amp;""&amp;$G$1&amp;""&amp;L209&amp;"PE","Volume Traded Today")</f>
        <v>40150</v>
      </c>
      <c r="J209" s="63">
        <f>RTD("nest.scriprtd",,"nse_fo|"&amp;$A$192&amp;""&amp;$G$1&amp;""&amp;L209&amp;"PE","% Change")</f>
        <v>-14.29</v>
      </c>
      <c r="K209" s="63">
        <f>RTD("nest.scriprtd",,"nse_fo|"&amp;$A$192&amp;""&amp;$G$1&amp;""&amp;L209&amp;"PE","Net Change")</f>
        <v>-1.65</v>
      </c>
      <c r="L209" s="63">
        <f t="shared" si="92"/>
        <v>1860</v>
      </c>
      <c r="M209" s="63" t="str">
        <f>RTD("nest.scriprtd",,"nse_fo|"&amp;$A$192&amp;""&amp;$G$1&amp;""&amp;L209&amp;"PE","Option Type")</f>
        <v>PE</v>
      </c>
      <c r="N209" s="58">
        <f t="shared" si="91"/>
        <v>9.9</v>
      </c>
      <c r="Q209" s="58">
        <f t="shared" si="88"/>
        <v>0</v>
      </c>
      <c r="R209" s="58">
        <f t="shared" si="89"/>
        <v>0</v>
      </c>
      <c r="Z209" s="58">
        <f t="shared" si="90"/>
        <v>0</v>
      </c>
    </row>
    <row r="210" spans="1:27" ht="15" x14ac:dyDescent="0.25">
      <c r="A210" s="63" t="str">
        <f>RTD("nest.scriprtd",,"nse_fo|"&amp;$A$192&amp;""&amp;$G$1&amp;""&amp;L210&amp;"CE","Symbol")</f>
        <v>MUTHOOTFIN</v>
      </c>
      <c r="B210" s="63" t="str">
        <f>RTD("nest.scriprtd",,"nse_fo|"&amp;$A$192&amp;""&amp;$G$1&amp;""&amp;L210&amp;"PE","Series/Expiry")</f>
        <v>26Dec2024</v>
      </c>
      <c r="C210" s="63">
        <f>RTD("nest.scriprtd",,"nse_fo|"&amp;$A$192&amp;""&amp;$G$1&amp;""&amp;L210&amp;"PE","Bid Qty")</f>
        <v>275</v>
      </c>
      <c r="D210" s="63">
        <f>RTD("nest.scriprtd",,"nse_fo|"&amp;$A$192&amp;""&amp;$G$1&amp;""&amp;L210&amp;"PE","Bid Rate")</f>
        <v>13.2</v>
      </c>
      <c r="E210" s="63">
        <f>RTD("nest.scriprtd",,"nse_fo|"&amp;$A$192&amp;""&amp;$G$1&amp;""&amp;L210&amp;"PE","Ask Rate")</f>
        <v>13.5</v>
      </c>
      <c r="F210" s="63">
        <f>RTD("nest.scriprtd",,"nse_fo|"&amp;$A$192&amp;""&amp;$G$1&amp;""&amp;L210&amp;"PE","Ask Qty")</f>
        <v>275</v>
      </c>
      <c r="G210" s="84">
        <f>RTD("nest.scriprtd",,"nse_fo|"&amp;$A$192&amp;""&amp;$G$1&amp;""&amp;L210&amp;"PE","LTP")</f>
        <v>13.4</v>
      </c>
      <c r="H210" s="63">
        <f>RTD("nest.scriprtd",,"nse_fo|"&amp;$A$192&amp;""&amp;$G$1&amp;""&amp;L210&amp;"PE","ATP")</f>
        <v>13.09</v>
      </c>
      <c r="I210" s="63">
        <f>RTD("nest.scriprtd",,"nse_fo|"&amp;$A$192&amp;""&amp;$G$1&amp;""&amp;L210&amp;"PE","Volume Traded Today")</f>
        <v>51975</v>
      </c>
      <c r="J210" s="63">
        <f>RTD("nest.scriprtd",,"nse_fo|"&amp;$A$192&amp;""&amp;$G$1&amp;""&amp;L210&amp;"PE","% Change")</f>
        <v>-10.96</v>
      </c>
      <c r="K210" s="63">
        <f>RTD("nest.scriprtd",,"nse_fo|"&amp;$A$192&amp;""&amp;$G$1&amp;""&amp;L210&amp;"PE","Net Change")</f>
        <v>-1.65</v>
      </c>
      <c r="L210" s="63">
        <f t="shared" si="92"/>
        <v>1880</v>
      </c>
      <c r="M210" s="63" t="str">
        <f>RTD("nest.scriprtd",,"nse_fo|"&amp;$A$192&amp;""&amp;$G$1&amp;""&amp;L210&amp;"PE","Option Type")</f>
        <v>PE</v>
      </c>
      <c r="N210" s="58">
        <f t="shared" si="91"/>
        <v>13.4</v>
      </c>
      <c r="Q210" s="58">
        <f t="shared" si="88"/>
        <v>0</v>
      </c>
      <c r="R210" s="58">
        <f t="shared" si="89"/>
        <v>0</v>
      </c>
      <c r="S210" s="58">
        <f>+SUM(R193:R205)-SUM(R206:R210)</f>
        <v>0</v>
      </c>
      <c r="T210" s="58">
        <f>SUM(R195:R210)-R208</f>
        <v>0</v>
      </c>
      <c r="U210" s="63" t="e">
        <f>+S210/T210</f>
        <v>#DIV/0!</v>
      </c>
      <c r="Z210" s="58">
        <f t="shared" si="90"/>
        <v>0</v>
      </c>
      <c r="AA210" s="58">
        <f>SUM(Z193:Z210)</f>
        <v>0</v>
      </c>
    </row>
    <row r="212" spans="1:27" ht="15" x14ac:dyDescent="0.25">
      <c r="A212" s="58" t="s">
        <v>102</v>
      </c>
      <c r="B212" s="58" t="str">
        <f>$A$212&amp;"-EQ"</f>
        <v>TATAMOTORS-EQ</v>
      </c>
      <c r="C212" s="58" t="s">
        <v>168</v>
      </c>
      <c r="D212" s="63">
        <v>10</v>
      </c>
      <c r="E212" s="57">
        <v>550</v>
      </c>
      <c r="F212" s="63"/>
      <c r="G212" s="85"/>
      <c r="K212" s="63"/>
      <c r="L212" s="63"/>
      <c r="M212" s="63"/>
    </row>
    <row r="213" spans="1:27" ht="15" x14ac:dyDescent="0.25">
      <c r="A213" s="63" t="str">
        <f>RTD("nest.scriprtd",,"nse_fo|"&amp;$A$212&amp;""&amp;$G$1&amp;""&amp;C212&amp;"","Symbol")</f>
        <v>TATAMOTORS</v>
      </c>
      <c r="B213" s="63" t="str">
        <f>RTD("nest.scriprtd",,"nse_fo|"&amp;$A$212&amp;""&amp;$G$1&amp;""&amp;C212&amp;"","Series/Expiry")</f>
        <v>26Dec2024</v>
      </c>
      <c r="C213" s="63">
        <f>RTD("nest.scriprtd",,"nse_fo|"&amp;$A$212&amp;""&amp;$G$1&amp;""&amp;C212&amp;"","Bid Qty")</f>
        <v>5500</v>
      </c>
      <c r="D213" s="63">
        <f>RTD("nest.scriprtd",,"nse_fo|"&amp;$A$212&amp;""&amp;$G$1&amp;""&amp;C212&amp;"","Bid Rate")</f>
        <v>806.6</v>
      </c>
      <c r="E213" s="63">
        <f>RTD("nest.scriprtd",,"nse_fo|"&amp;$A$212&amp;""&amp;$G$1&amp;""&amp;C212&amp;"","Ask Rate")</f>
        <v>806.65</v>
      </c>
      <c r="F213" s="63">
        <f>RTD("nest.scriprtd",,"nse_fo|"&amp;$A$212&amp;""&amp;$G$1&amp;""&amp;C212&amp;"","Ask Qty")</f>
        <v>550</v>
      </c>
      <c r="G213" s="84">
        <f>RTD("nest.scriprtd",,"nse_fo|"&amp;$A$212&amp;""&amp;$G$1&amp;""&amp;C212&amp;"","LTP")</f>
        <v>806.65</v>
      </c>
      <c r="H213" s="63">
        <f>RTD("nest.scriprtd",,"nse_fo|"&amp;$A$212&amp;""&amp;$G$1&amp;""&amp;C212&amp;"","ATP")</f>
        <v>813.33</v>
      </c>
      <c r="I213" s="63">
        <f>RTD("nest.scriprtd",,"nse_fo|"&amp;$A$212&amp;""&amp;$G$1&amp;""&amp;C212&amp;"","Volume Traded Today")</f>
        <v>15163500</v>
      </c>
      <c r="J213" s="63">
        <f>RTD("nest.scriprtd",,"nse_fo|"&amp;$A$212&amp;""&amp;$G$1&amp;""&amp;C212&amp;"","% Change")</f>
        <v>-1.58</v>
      </c>
      <c r="K213" s="63">
        <f>RTD("nest.scriprtd",,"nse_fo|"&amp;$A$212&amp;""&amp;$G$1&amp;""&amp;C212&amp;"","Net Change")</f>
        <v>-12.95</v>
      </c>
      <c r="L213" s="63">
        <f>RTD("nest.scriprtd",,"nse_fo|"&amp;$A$212&amp;""&amp;$G$1&amp;""&amp;C212&amp;"","Strike Price")</f>
        <v>0</v>
      </c>
      <c r="M213" s="63"/>
      <c r="N213" s="58">
        <f>MIN($S$213,G213)</f>
        <v>38.200000000000003</v>
      </c>
      <c r="Q213" s="58">
        <f t="shared" ref="Q213:Q227" si="98">+P213+O213</f>
        <v>0</v>
      </c>
      <c r="R213" s="58">
        <f t="shared" ref="R213:R227" si="99">+Q213*N213</f>
        <v>0</v>
      </c>
      <c r="S213" s="58">
        <f>+$Q$2*T213</f>
        <v>38.200000000000003</v>
      </c>
      <c r="T213" s="80">
        <f>+FACTOR!O18</f>
        <v>38.200000000000003</v>
      </c>
      <c r="Z213" s="58">
        <f t="shared" ref="Z213:Z227" si="100">+O213*K213</f>
        <v>0</v>
      </c>
    </row>
    <row r="214" spans="1:27" ht="15" x14ac:dyDescent="0.25">
      <c r="A214" s="63" t="str">
        <f>RTD("nest.scriprtd",,"nse_cm|"&amp;B212&amp;"","Symbol")</f>
        <v>TATAMOTORS</v>
      </c>
      <c r="B214" s="63" t="str">
        <f>RTD("nest.scriprtd",,"nse_cm|"&amp;B212&amp;"","Series/Expiry")</f>
        <v>EQ</v>
      </c>
      <c r="C214" s="63">
        <f>RTD("nest.scriprtd",,"nse_cm|"&amp;B212&amp;"","Bid Qty")</f>
        <v>14</v>
      </c>
      <c r="D214" s="63">
        <f>RTD("nest.scriprtd",,"nse_cm|"&amp;B212&amp;"","Bid Rate")</f>
        <v>804.75</v>
      </c>
      <c r="E214" s="63">
        <f>RTD("nest.scriprtd",,"nse_cm|"&amp;B212&amp;"","Ask Rate")</f>
        <v>804.8</v>
      </c>
      <c r="F214" s="63">
        <f>RTD("nest.scriprtd",,"nse_cm|"&amp;B212&amp;"","Ask Qty")</f>
        <v>1720</v>
      </c>
      <c r="G214" s="84">
        <f>RTD("nest.scriprtd",,"nse_cm|"&amp;B212&amp;"","LTP")</f>
        <v>804.75</v>
      </c>
      <c r="H214" s="63">
        <f>RTD("nest.scriprtd",,"nse_cm|"&amp;B212&amp;"","ATP")</f>
        <v>811.79</v>
      </c>
      <c r="I214" s="63">
        <f>RTD("nest.scriprtd",,"nse_cm|"&amp;B212&amp;"","Volume Traded Today")</f>
        <v>9499280</v>
      </c>
      <c r="J214" s="63">
        <f>RTD("nest.scriprtd",,"nse_cm|"&amp;B212&amp;"","% Change")</f>
        <v>-1.48</v>
      </c>
      <c r="K214" s="63">
        <f>RTD("nest.scriprtd",,"nse_cm|"&amp;B212&amp;"","Net Change")</f>
        <v>-12.05</v>
      </c>
      <c r="L214" s="63">
        <f>RTD("nest.scriprtd",,"nse_cm|"&amp;B212&amp;"","Strike Price")</f>
        <v>0</v>
      </c>
      <c r="M214" s="63"/>
      <c r="N214" s="58">
        <f t="shared" ref="N214:N227" si="101">MIN($S$213,G214)</f>
        <v>38.200000000000003</v>
      </c>
      <c r="Q214" s="58">
        <f t="shared" si="98"/>
        <v>0</v>
      </c>
      <c r="R214" s="58">
        <f t="shared" si="99"/>
        <v>0</v>
      </c>
      <c r="Z214" s="58">
        <f t="shared" si="100"/>
        <v>0</v>
      </c>
    </row>
    <row r="215" spans="1:27" ht="15" x14ac:dyDescent="0.25">
      <c r="A215" s="63" t="str">
        <f>RTD("nest.scriprtd",,"nse_fo|"&amp;$A$212&amp;""&amp;$G$1&amp;""&amp;L215&amp;"CE","Symbol")</f>
        <v>TATAMOTORS</v>
      </c>
      <c r="B215" s="63" t="str">
        <f>RTD("nest.scriprtd",,"nse_fo|"&amp;$A$212&amp;""&amp;$G$1&amp;""&amp;L215&amp;"CE","Series/Expiry")</f>
        <v>26Dec2024</v>
      </c>
      <c r="C215" s="63">
        <f>RTD("nest.scriprtd",,"nse_fo|"&amp;$A$212&amp;""&amp;$G$1&amp;""&amp;L215&amp;"CE","Bid Qty")</f>
        <v>550</v>
      </c>
      <c r="D215" s="63">
        <f>RTD("nest.scriprtd",,"nse_fo|"&amp;$A$212&amp;""&amp;$G$1&amp;""&amp;L215&amp;"CE","Bid Rate")</f>
        <v>35.5</v>
      </c>
      <c r="E215" s="63">
        <f>RTD("nest.scriprtd",,"nse_fo|"&amp;$A$212&amp;""&amp;$G$1&amp;""&amp;L215&amp;"CE","Ask Rate")</f>
        <v>35.65</v>
      </c>
      <c r="F215" s="63">
        <f>RTD("nest.scriprtd",,"nse_fo|"&amp;$A$212&amp;""&amp;$G$1&amp;""&amp;L215&amp;"CE","Ask Qty")</f>
        <v>550</v>
      </c>
      <c r="G215" s="84">
        <f>RTD("nest.scriprtd",,"nse_fo|"&amp;$A$212&amp;""&amp;$G$1&amp;""&amp;L215&amp;"CE","LTP")</f>
        <v>35.5</v>
      </c>
      <c r="H215" s="63">
        <f>RTD("nest.scriprtd",,"nse_fo|"&amp;$A$212&amp;""&amp;$G$1&amp;""&amp;L215&amp;"CE","ATP")</f>
        <v>40.31</v>
      </c>
      <c r="I215" s="63">
        <f>RTD("nest.scriprtd",,"nse_fo|"&amp;$A$212&amp;""&amp;$G$1&amp;""&amp;L215&amp;"CE","Volume Traded Today")</f>
        <v>1397550</v>
      </c>
      <c r="J215" s="63">
        <f>RTD("nest.scriprtd",,"nse_fo|"&amp;$A$212&amp;""&amp;$G$1&amp;""&amp;L215&amp;"CE","% Change")</f>
        <v>-21.29</v>
      </c>
      <c r="K215" s="63">
        <f>RTD("nest.scriprtd",,"nse_fo|"&amp;$A$212&amp;""&amp;$G$1&amp;""&amp;L215&amp;"CE","Net Change")</f>
        <v>-9.6</v>
      </c>
      <c r="L215" s="63">
        <v>780</v>
      </c>
      <c r="M215" s="82" t="str">
        <f>RTD("nest.scriprtd",,"nse_fo|"&amp;$A$212&amp;""&amp;$G$1&amp;""&amp;L215&amp;"CE","Option Type")</f>
        <v>CE</v>
      </c>
      <c r="N215" s="58">
        <f t="shared" si="101"/>
        <v>35.5</v>
      </c>
      <c r="Q215" s="58">
        <f t="shared" si="98"/>
        <v>0</v>
      </c>
      <c r="R215" s="58">
        <f t="shared" si="99"/>
        <v>0</v>
      </c>
      <c r="Z215" s="58">
        <f t="shared" si="100"/>
        <v>0</v>
      </c>
    </row>
    <row r="216" spans="1:27" ht="15" x14ac:dyDescent="0.25">
      <c r="A216" s="63" t="str">
        <f>RTD("nest.scriprtd",,"nse_fo|"&amp;$A$212&amp;""&amp;$G$1&amp;""&amp;L216&amp;"CE","Symbol")</f>
        <v>TATAMOTORS</v>
      </c>
      <c r="B216" s="63" t="str">
        <f>RTD("nest.scriprtd",,"nse_fo|"&amp;$A$212&amp;""&amp;$G$1&amp;""&amp;L216&amp;"CE","Series/Expiry")</f>
        <v>26Dec2024</v>
      </c>
      <c r="C216" s="63">
        <f>RTD("nest.scriprtd",,"nse_fo|"&amp;$A$212&amp;""&amp;$G$1&amp;""&amp;L216&amp;"CE","Bid Qty")</f>
        <v>1100</v>
      </c>
      <c r="D216" s="63">
        <f>RTD("nest.scriprtd",,"nse_fo|"&amp;$A$212&amp;""&amp;$G$1&amp;""&amp;L216&amp;"CE","Bid Rate")</f>
        <v>28.55</v>
      </c>
      <c r="E216" s="63">
        <f>RTD("nest.scriprtd",,"nse_fo|"&amp;$A$212&amp;""&amp;$G$1&amp;""&amp;L216&amp;"CE","Ask Rate")</f>
        <v>28.7</v>
      </c>
      <c r="F216" s="63">
        <f>RTD("nest.scriprtd",,"nse_fo|"&amp;$A$212&amp;""&amp;$G$1&amp;""&amp;L216&amp;"CE","Ask Qty")</f>
        <v>1100</v>
      </c>
      <c r="G216" s="84">
        <f>RTD("nest.scriprtd",,"nse_fo|"&amp;$A$212&amp;""&amp;$G$1&amp;""&amp;L216&amp;"CE","LTP")</f>
        <v>28.6</v>
      </c>
      <c r="H216" s="63">
        <f>RTD("nest.scriprtd",,"nse_fo|"&amp;$A$212&amp;""&amp;$G$1&amp;""&amp;L216&amp;"CE","ATP")</f>
        <v>32.99</v>
      </c>
      <c r="I216" s="63">
        <f>RTD("nest.scriprtd",,"nse_fo|"&amp;$A$212&amp;""&amp;$G$1&amp;""&amp;L216&amp;"CE","Volume Traded Today")</f>
        <v>1151700</v>
      </c>
      <c r="J216" s="63">
        <f>RTD("nest.scriprtd",,"nse_fo|"&amp;$A$212&amp;""&amp;$G$1&amp;""&amp;L216&amp;"CE","% Change")</f>
        <v>-23.43</v>
      </c>
      <c r="K216" s="63">
        <f>RTD("nest.scriprtd",,"nse_fo|"&amp;$A$212&amp;""&amp;$G$1&amp;""&amp;L216&amp;"CE","Net Change")</f>
        <v>-8.75</v>
      </c>
      <c r="L216" s="63">
        <f>+L215+D212</f>
        <v>790</v>
      </c>
      <c r="M216" s="63" t="str">
        <f>RTD("nest.scriprtd",,"nse_fo|"&amp;$A$212&amp;""&amp;$G$1&amp;""&amp;L216&amp;"CE","Option Type")</f>
        <v>CE</v>
      </c>
      <c r="N216" s="58">
        <f t="shared" si="101"/>
        <v>28.6</v>
      </c>
      <c r="Q216" s="58">
        <f t="shared" si="98"/>
        <v>0</v>
      </c>
      <c r="R216" s="58">
        <f t="shared" si="99"/>
        <v>0</v>
      </c>
      <c r="Z216" s="58">
        <f t="shared" si="100"/>
        <v>0</v>
      </c>
    </row>
    <row r="217" spans="1:27" ht="15" x14ac:dyDescent="0.25">
      <c r="A217" s="63" t="str">
        <f>RTD("nest.scriprtd",,"nse_fo|"&amp;$A$212&amp;""&amp;$G$1&amp;""&amp;L217&amp;"CE","Symbol")</f>
        <v>TATAMOTORS</v>
      </c>
      <c r="B217" s="63" t="str">
        <f>RTD("nest.scriprtd",,"nse_fo|"&amp;$A$212&amp;""&amp;$G$1&amp;""&amp;L217&amp;"CE","Series/Expiry")</f>
        <v>26Dec2024</v>
      </c>
      <c r="C217" s="63">
        <f>RTD("nest.scriprtd",,"nse_fo|"&amp;$A$212&amp;""&amp;$G$1&amp;""&amp;L217&amp;"CE","Bid Qty")</f>
        <v>2750</v>
      </c>
      <c r="D217" s="63">
        <f>RTD("nest.scriprtd",,"nse_fo|"&amp;$A$212&amp;""&amp;$G$1&amp;""&amp;L217&amp;"CE","Bid Rate")</f>
        <v>22.65</v>
      </c>
      <c r="E217" s="63">
        <f>RTD("nest.scriprtd",,"nse_fo|"&amp;$A$212&amp;""&amp;$G$1&amp;""&amp;L217&amp;"CE","Ask Rate")</f>
        <v>22.75</v>
      </c>
      <c r="F217" s="63">
        <f>RTD("nest.scriprtd",,"nse_fo|"&amp;$A$212&amp;""&amp;$G$1&amp;""&amp;L217&amp;"CE","Ask Qty")</f>
        <v>550</v>
      </c>
      <c r="G217" s="84">
        <f>RTD("nest.scriprtd",,"nse_fo|"&amp;$A$212&amp;""&amp;$G$1&amp;""&amp;L217&amp;"CE","LTP")</f>
        <v>22.75</v>
      </c>
      <c r="H217" s="63">
        <f>RTD("nest.scriprtd",,"nse_fo|"&amp;$A$212&amp;""&amp;$G$1&amp;""&amp;L217&amp;"CE","ATP")</f>
        <v>26.57</v>
      </c>
      <c r="I217" s="63">
        <f>RTD("nest.scriprtd",,"nse_fo|"&amp;$A$212&amp;""&amp;$G$1&amp;""&amp;L217&amp;"CE","Volume Traded Today")</f>
        <v>6642900</v>
      </c>
      <c r="J217" s="63">
        <f>RTD("nest.scriprtd",,"nse_fo|"&amp;$A$212&amp;""&amp;$G$1&amp;""&amp;L217&amp;"CE","% Change")</f>
        <v>-24.54</v>
      </c>
      <c r="K217" s="63">
        <f>RTD("nest.scriprtd",,"nse_fo|"&amp;$A$212&amp;""&amp;$G$1&amp;""&amp;L217&amp;"CE","Net Change")</f>
        <v>-7.4</v>
      </c>
      <c r="L217" s="63">
        <f>+L216+D212</f>
        <v>800</v>
      </c>
      <c r="M217" s="63" t="str">
        <f>RTD("nest.scriprtd",,"nse_fo|"&amp;$A$212&amp;""&amp;$G$1&amp;""&amp;L217&amp;"CE","Option Type")</f>
        <v>CE</v>
      </c>
      <c r="N217" s="58">
        <f t="shared" si="101"/>
        <v>22.75</v>
      </c>
      <c r="Q217" s="58">
        <f t="shared" si="98"/>
        <v>0</v>
      </c>
      <c r="R217" s="58">
        <f t="shared" si="99"/>
        <v>0</v>
      </c>
      <c r="Z217" s="58">
        <f t="shared" si="100"/>
        <v>0</v>
      </c>
    </row>
    <row r="218" spans="1:27" ht="15" x14ac:dyDescent="0.25">
      <c r="A218" s="63" t="str">
        <f>RTD("nest.scriprtd",,"nse_fo|"&amp;$A$212&amp;""&amp;$G$1&amp;""&amp;L218&amp;"CE","Symbol")</f>
        <v>TATAMOTORS</v>
      </c>
      <c r="B218" s="63" t="str">
        <f>RTD("nest.scriprtd",,"nse_fo|"&amp;$A$212&amp;""&amp;$G$1&amp;""&amp;L218&amp;"CE","Series/Expiry")</f>
        <v>26Dec2024</v>
      </c>
      <c r="C218" s="63">
        <f>RTD("nest.scriprtd",,"nse_fo|"&amp;$A$212&amp;""&amp;$G$1&amp;""&amp;L218&amp;"CE","Bid Qty")</f>
        <v>2750</v>
      </c>
      <c r="D218" s="63">
        <f>RTD("nest.scriprtd",,"nse_fo|"&amp;$A$212&amp;""&amp;$G$1&amp;""&amp;L218&amp;"CE","Bid Rate")</f>
        <v>17.600000000000001</v>
      </c>
      <c r="E218" s="63">
        <f>RTD("nest.scriprtd",,"nse_fo|"&amp;$A$212&amp;""&amp;$G$1&amp;""&amp;L218&amp;"CE","Ask Rate")</f>
        <v>17.7</v>
      </c>
      <c r="F218" s="63">
        <f>RTD("nest.scriprtd",,"nse_fo|"&amp;$A$212&amp;""&amp;$G$1&amp;""&amp;L218&amp;"CE","Ask Qty")</f>
        <v>3850</v>
      </c>
      <c r="G218" s="84">
        <f>RTD("nest.scriprtd",,"nse_fo|"&amp;$A$212&amp;""&amp;$G$1&amp;""&amp;L218&amp;"CE","LTP")</f>
        <v>17.7</v>
      </c>
      <c r="H218" s="63">
        <f>RTD("nest.scriprtd",,"nse_fo|"&amp;$A$212&amp;""&amp;$G$1&amp;""&amp;L218&amp;"CE","ATP")</f>
        <v>20.73</v>
      </c>
      <c r="I218" s="63">
        <f>RTD("nest.scriprtd",,"nse_fo|"&amp;$A$212&amp;""&amp;$G$1&amp;""&amp;L218&amp;"CE","Volume Traded Today")</f>
        <v>7365600</v>
      </c>
      <c r="J218" s="63">
        <f>RTD("nest.scriprtd",,"nse_fo|"&amp;$A$212&amp;""&amp;$G$1&amp;""&amp;L218&amp;"CE","% Change")</f>
        <v>-25.79</v>
      </c>
      <c r="K218" s="63">
        <f>RTD("nest.scriprtd",,"nse_fo|"&amp;$A$212&amp;""&amp;$G$1&amp;""&amp;L218&amp;"CE","Net Change")</f>
        <v>-6.15</v>
      </c>
      <c r="L218" s="63">
        <f>+L217+D212</f>
        <v>810</v>
      </c>
      <c r="M218" s="63" t="str">
        <f>RTD("nest.scriprtd",,"nse_fo|"&amp;$A$212&amp;""&amp;$G$1&amp;""&amp;L218&amp;"CE","Option Type")</f>
        <v>CE</v>
      </c>
      <c r="N218" s="58">
        <f t="shared" si="101"/>
        <v>17.7</v>
      </c>
      <c r="Q218" s="58">
        <f t="shared" si="98"/>
        <v>0</v>
      </c>
      <c r="R218" s="58">
        <f t="shared" si="99"/>
        <v>0</v>
      </c>
      <c r="Z218" s="58">
        <f t="shared" si="100"/>
        <v>0</v>
      </c>
    </row>
    <row r="219" spans="1:27" ht="15" x14ac:dyDescent="0.25">
      <c r="A219" s="63" t="str">
        <f>RTD("nest.scriprtd",,"nse_fo|"&amp;$A$212&amp;""&amp;$G$1&amp;""&amp;L219&amp;"CE","Symbol")</f>
        <v>TATAMOTORS</v>
      </c>
      <c r="B219" s="63" t="str">
        <f>RTD("nest.scriprtd",,"nse_fo|"&amp;$A$212&amp;""&amp;$G$1&amp;""&amp;L219&amp;"CE","Series/Expiry")</f>
        <v>26Dec2024</v>
      </c>
      <c r="C219" s="63">
        <f>RTD("nest.scriprtd",,"nse_fo|"&amp;$A$212&amp;""&amp;$G$1&amp;""&amp;L219&amp;"CE","Bid Qty")</f>
        <v>7150</v>
      </c>
      <c r="D219" s="63">
        <f>RTD("nest.scriprtd",,"nse_fo|"&amp;$A$212&amp;""&amp;$G$1&amp;""&amp;L219&amp;"CE","Bid Rate")</f>
        <v>13.45</v>
      </c>
      <c r="E219" s="63">
        <f>RTD("nest.scriprtd",,"nse_fo|"&amp;$A$212&amp;""&amp;$G$1&amp;""&amp;L219&amp;"CE","Ask Rate")</f>
        <v>13.55</v>
      </c>
      <c r="F219" s="63">
        <f>RTD("nest.scriprtd",,"nse_fo|"&amp;$A$212&amp;""&amp;$G$1&amp;""&amp;L219&amp;"CE","Ask Qty")</f>
        <v>10450</v>
      </c>
      <c r="G219" s="84">
        <f>RTD("nest.scriprtd",,"nse_fo|"&amp;$A$212&amp;""&amp;$G$1&amp;""&amp;L219&amp;"CE","LTP")</f>
        <v>13.5</v>
      </c>
      <c r="H219" s="63">
        <f>RTD("nest.scriprtd",,"nse_fo|"&amp;$A$212&amp;""&amp;$G$1&amp;""&amp;L219&amp;"CE","ATP")</f>
        <v>16.47</v>
      </c>
      <c r="I219" s="63">
        <f>RTD("nest.scriprtd",,"nse_fo|"&amp;$A$212&amp;""&amp;$G$1&amp;""&amp;L219&amp;"CE","Volume Traded Today")</f>
        <v>15106850</v>
      </c>
      <c r="J219" s="63">
        <f>RTD("nest.scriprtd",,"nse_fo|"&amp;$A$212&amp;""&amp;$G$1&amp;""&amp;L219&amp;"CE","% Change")</f>
        <v>-27.61</v>
      </c>
      <c r="K219" s="63">
        <f>RTD("nest.scriprtd",,"nse_fo|"&amp;$A$212&amp;""&amp;$G$1&amp;""&amp;L219&amp;"CE","Net Change")</f>
        <v>-5.15</v>
      </c>
      <c r="L219" s="63">
        <f>+L218+D212</f>
        <v>820</v>
      </c>
      <c r="M219" s="63" t="str">
        <f>RTD("nest.scriprtd",,"nse_fo|"&amp;$A$212&amp;""&amp;$G$1&amp;""&amp;L219&amp;"CE","Option Type")</f>
        <v>CE</v>
      </c>
      <c r="N219" s="58">
        <f t="shared" si="101"/>
        <v>13.5</v>
      </c>
      <c r="Q219" s="58">
        <f t="shared" si="98"/>
        <v>0</v>
      </c>
      <c r="R219" s="58">
        <f t="shared" si="99"/>
        <v>0</v>
      </c>
      <c r="Z219" s="58">
        <f t="shared" si="100"/>
        <v>0</v>
      </c>
    </row>
    <row r="220" spans="1:27" ht="15" x14ac:dyDescent="0.25">
      <c r="A220" s="63" t="str">
        <f>RTD("nest.scriprtd",,"nse_fo|"&amp;$A$212&amp;""&amp;$G$1&amp;""&amp;L220&amp;"CE","Symbol")</f>
        <v>TATAMOTORS</v>
      </c>
      <c r="B220" s="63" t="str">
        <f>RTD("nest.scriprtd",,"nse_fo|"&amp;$A$212&amp;""&amp;$G$1&amp;""&amp;L220&amp;"CE","Series/Expiry")</f>
        <v>26Dec2024</v>
      </c>
      <c r="C220" s="63">
        <f>RTD("nest.scriprtd",,"nse_fo|"&amp;$A$212&amp;""&amp;$G$1&amp;""&amp;L220&amp;"CE","Bid Qty")</f>
        <v>13200</v>
      </c>
      <c r="D220" s="63">
        <f>RTD("nest.scriprtd",,"nse_fo|"&amp;$A$212&amp;""&amp;$G$1&amp;""&amp;L220&amp;"CE","Bid Rate")</f>
        <v>10.050000000000001</v>
      </c>
      <c r="E220" s="63">
        <f>RTD("nest.scriprtd",,"nse_fo|"&amp;$A$212&amp;""&amp;$G$1&amp;""&amp;L220&amp;"CE","Ask Rate")</f>
        <v>10.15</v>
      </c>
      <c r="F220" s="63">
        <f>RTD("nest.scriprtd",,"nse_fo|"&amp;$A$212&amp;""&amp;$G$1&amp;""&amp;L220&amp;"CE","Ask Qty")</f>
        <v>5500</v>
      </c>
      <c r="G220" s="84">
        <f>RTD("nest.scriprtd",,"nse_fo|"&amp;$A$212&amp;""&amp;$G$1&amp;""&amp;L220&amp;"CE","LTP")</f>
        <v>10.1</v>
      </c>
      <c r="H220" s="63">
        <f>RTD("nest.scriprtd",,"nse_fo|"&amp;$A$212&amp;""&amp;$G$1&amp;""&amp;L220&amp;"CE","ATP")</f>
        <v>12.67</v>
      </c>
      <c r="I220" s="63">
        <f>RTD("nest.scriprtd",,"nse_fo|"&amp;$A$212&amp;""&amp;$G$1&amp;""&amp;L220&amp;"CE","Volume Traded Today")</f>
        <v>7465700</v>
      </c>
      <c r="J220" s="63">
        <f>RTD("nest.scriprtd",,"nse_fo|"&amp;$A$212&amp;""&amp;$G$1&amp;""&amp;L220&amp;"CE","% Change")</f>
        <v>-29.62</v>
      </c>
      <c r="K220" s="63">
        <f>RTD("nest.scriprtd",,"nse_fo|"&amp;$A$212&amp;""&amp;$G$1&amp;""&amp;L220&amp;"CE","Net Change")</f>
        <v>-4.25</v>
      </c>
      <c r="L220" s="63">
        <f>+L219+D212</f>
        <v>830</v>
      </c>
      <c r="M220" s="63" t="str">
        <f>RTD("nest.scriprtd",,"nse_fo|"&amp;$A$212&amp;""&amp;$G$1&amp;""&amp;L220&amp;"CE","Option Type")</f>
        <v>CE</v>
      </c>
      <c r="N220" s="58">
        <f t="shared" si="101"/>
        <v>10.1</v>
      </c>
      <c r="Q220" s="58">
        <f t="shared" si="98"/>
        <v>0</v>
      </c>
      <c r="R220" s="58">
        <f t="shared" si="99"/>
        <v>0</v>
      </c>
      <c r="Z220" s="58">
        <f t="shared" si="100"/>
        <v>0</v>
      </c>
    </row>
    <row r="221" spans="1:27" ht="15" x14ac:dyDescent="0.25">
      <c r="A221" s="63" t="str">
        <f>RTD("nest.scriprtd",,"nse_fo|"&amp;$A$212&amp;""&amp;$G$1&amp;""&amp;L221&amp;"CE","Symbol")</f>
        <v>TATAMOTORS</v>
      </c>
      <c r="B221" s="63" t="str">
        <f>RTD("nest.scriprtd",,"nse_fo|"&amp;$A$212&amp;""&amp;$G$1&amp;""&amp;L221&amp;"CE","Series/Expiry")</f>
        <v>26Dec2024</v>
      </c>
      <c r="C221" s="63">
        <f>RTD("nest.scriprtd",,"nse_fo|"&amp;$A$212&amp;""&amp;$G$1&amp;""&amp;L221&amp;"CE","Bid Qty")</f>
        <v>6600</v>
      </c>
      <c r="D221" s="63">
        <f>RTD("nest.scriprtd",,"nse_fo|"&amp;$A$212&amp;""&amp;$G$1&amp;""&amp;L221&amp;"CE","Bid Rate")</f>
        <v>7.55</v>
      </c>
      <c r="E221" s="63">
        <f>RTD("nest.scriprtd",,"nse_fo|"&amp;$A$212&amp;""&amp;$G$1&amp;""&amp;L221&amp;"CE","Ask Rate")</f>
        <v>7.65</v>
      </c>
      <c r="F221" s="63">
        <f>RTD("nest.scriprtd",,"nse_fo|"&amp;$A$212&amp;""&amp;$G$1&amp;""&amp;L221&amp;"CE","Ask Qty")</f>
        <v>9350</v>
      </c>
      <c r="G221" s="84">
        <f>RTD("nest.scriprtd",,"nse_fo|"&amp;$A$212&amp;""&amp;$G$1&amp;""&amp;L221&amp;"CE","LTP")</f>
        <v>7.6</v>
      </c>
      <c r="H221" s="63">
        <f>RTD("nest.scriprtd",,"nse_fo|"&amp;$A$212&amp;""&amp;$G$1&amp;""&amp;L221&amp;"CE","ATP")</f>
        <v>9.52</v>
      </c>
      <c r="I221" s="63">
        <f>RTD("nest.scriprtd",,"nse_fo|"&amp;$A$212&amp;""&amp;$G$1&amp;""&amp;L221&amp;"CE","Volume Traded Today")</f>
        <v>4767400</v>
      </c>
      <c r="J221" s="63">
        <f>RTD("nest.scriprtd",,"nse_fo|"&amp;$A$212&amp;""&amp;$G$1&amp;""&amp;L221&amp;"CE","% Change")</f>
        <v>-30.59</v>
      </c>
      <c r="K221" s="63">
        <f>RTD("nest.scriprtd",,"nse_fo|"&amp;$A$212&amp;""&amp;$G$1&amp;""&amp;L221&amp;"CE","Net Change")</f>
        <v>-3.35</v>
      </c>
      <c r="L221" s="63">
        <f>+L220+D212</f>
        <v>840</v>
      </c>
      <c r="M221" s="63" t="str">
        <f>RTD("nest.scriprtd",,"nse_fo|"&amp;$A$212&amp;""&amp;$G$1&amp;""&amp;L221&amp;"CE","Option Type")</f>
        <v>CE</v>
      </c>
      <c r="N221" s="58">
        <f t="shared" si="101"/>
        <v>7.6</v>
      </c>
      <c r="Q221" s="58">
        <f t="shared" si="98"/>
        <v>0</v>
      </c>
      <c r="R221" s="58">
        <f t="shared" si="99"/>
        <v>0</v>
      </c>
      <c r="Z221" s="58">
        <f t="shared" si="100"/>
        <v>0</v>
      </c>
    </row>
    <row r="222" spans="1:27" ht="15" x14ac:dyDescent="0.25">
      <c r="A222" s="63" t="str">
        <f>RTD("nest.scriprtd",,"nse_fo|"&amp;$A$212&amp;""&amp;$G$1&amp;""&amp;L222&amp;"CE","Symbol")</f>
        <v>TATAMOTORS</v>
      </c>
      <c r="B222" s="63" t="str">
        <f>RTD("nest.scriprtd",,"nse_fo|"&amp;$A$212&amp;""&amp;$G$1&amp;""&amp;L222&amp;"CE","Series/Expiry")</f>
        <v>26Dec2024</v>
      </c>
      <c r="C222" s="63">
        <f>RTD("nest.scriprtd",,"nse_fo|"&amp;$A$212&amp;""&amp;$G$1&amp;""&amp;L222&amp;"CE","Bid Qty")</f>
        <v>7150</v>
      </c>
      <c r="D222" s="63">
        <f>RTD("nest.scriprtd",,"nse_fo|"&amp;$A$212&amp;""&amp;$G$1&amp;""&amp;L222&amp;"CE","Bid Rate")</f>
        <v>5.75</v>
      </c>
      <c r="E222" s="63">
        <f>RTD("nest.scriprtd",,"nse_fo|"&amp;$A$212&amp;""&amp;$G$1&amp;""&amp;L222&amp;"CE","Ask Rate")</f>
        <v>5.8</v>
      </c>
      <c r="F222" s="63">
        <f>RTD("nest.scriprtd",,"nse_fo|"&amp;$A$212&amp;""&amp;$G$1&amp;""&amp;L222&amp;"CE","Ask Qty")</f>
        <v>2200</v>
      </c>
      <c r="G222" s="84">
        <f>RTD("nest.scriprtd",,"nse_fo|"&amp;$A$212&amp;""&amp;$G$1&amp;""&amp;L222&amp;"CE","LTP")</f>
        <v>5.8</v>
      </c>
      <c r="H222" s="63">
        <f>RTD("nest.scriprtd",,"nse_fo|"&amp;$A$212&amp;""&amp;$G$1&amp;""&amp;L222&amp;"CE","ATP")</f>
        <v>7.15</v>
      </c>
      <c r="I222" s="63">
        <f>RTD("nest.scriprtd",,"nse_fo|"&amp;$A$212&amp;""&amp;$G$1&amp;""&amp;L222&amp;"CE","Volume Traded Today")</f>
        <v>8124050</v>
      </c>
      <c r="J222" s="63">
        <f>RTD("nest.scriprtd",,"nse_fo|"&amp;$A$212&amp;""&amp;$G$1&amp;""&amp;L222&amp;"CE","% Change")</f>
        <v>-31.76</v>
      </c>
      <c r="K222" s="63">
        <f>RTD("nest.scriprtd",,"nse_fo|"&amp;$A$212&amp;""&amp;$G$1&amp;""&amp;L222&amp;"CE","Net Change")</f>
        <v>-2.7</v>
      </c>
      <c r="L222" s="63">
        <f>+L221+D212</f>
        <v>850</v>
      </c>
      <c r="M222" s="63" t="str">
        <f>RTD("nest.scriprtd",,"nse_fo|"&amp;$A$212&amp;""&amp;$G$1&amp;""&amp;L222&amp;"CE","Option Type")</f>
        <v>CE</v>
      </c>
      <c r="N222" s="58">
        <f t="shared" si="101"/>
        <v>5.8</v>
      </c>
      <c r="Q222" s="58">
        <f t="shared" si="98"/>
        <v>0</v>
      </c>
      <c r="R222" s="58">
        <f t="shared" si="99"/>
        <v>0</v>
      </c>
      <c r="Z222" s="58">
        <f t="shared" si="100"/>
        <v>0</v>
      </c>
    </row>
    <row r="223" spans="1:27" ht="15" x14ac:dyDescent="0.25">
      <c r="A223" s="63" t="str">
        <f>RTD("nest.scriprtd",,"nse_fo|"&amp;$A$212&amp;""&amp;$G$1&amp;""&amp;L223&amp;"CE","Symbol")</f>
        <v>TATAMOTORS</v>
      </c>
      <c r="B223" s="63" t="str">
        <f>RTD("nest.scriprtd",,"nse_fo|"&amp;$A$212&amp;""&amp;$G$1&amp;""&amp;L223&amp;"PE","Series/Expiry")</f>
        <v>26Dec2024</v>
      </c>
      <c r="C223" s="63">
        <f>RTD("nest.scriprtd",,"nse_fo|"&amp;$A$212&amp;""&amp;$G$1&amp;""&amp;L223&amp;"PE","Bid Qty")</f>
        <v>11000</v>
      </c>
      <c r="D223" s="63">
        <f>RTD("nest.scriprtd",,"nse_fo|"&amp;$A$212&amp;""&amp;$G$1&amp;""&amp;L223&amp;"PE","Bid Rate")</f>
        <v>3.45</v>
      </c>
      <c r="E223" s="63">
        <f>RTD("nest.scriprtd",,"nse_fo|"&amp;$A$212&amp;""&amp;$G$1&amp;""&amp;L223&amp;"PE","Ask Rate")</f>
        <v>3.5</v>
      </c>
      <c r="F223" s="63">
        <f>RTD("nest.scriprtd",,"nse_fo|"&amp;$A$212&amp;""&amp;$G$1&amp;""&amp;L223&amp;"PE","Ask Qty")</f>
        <v>7700</v>
      </c>
      <c r="G223" s="84">
        <f>RTD("nest.scriprtd",,"nse_fo|"&amp;$A$212&amp;""&amp;$G$1&amp;""&amp;L223&amp;"PE","LTP")</f>
        <v>3.5</v>
      </c>
      <c r="H223" s="63">
        <f>RTD("nest.scriprtd",,"nse_fo|"&amp;$A$212&amp;""&amp;$G$1&amp;""&amp;L223&amp;"PE","ATP")</f>
        <v>3.04</v>
      </c>
      <c r="I223" s="63">
        <f>RTD("nest.scriprtd",,"nse_fo|"&amp;$A$212&amp;""&amp;$G$1&amp;""&amp;L223&amp;"PE","Volume Traded Today")</f>
        <v>1578500</v>
      </c>
      <c r="J223" s="63">
        <f>RTD("nest.scriprtd",,"nse_fo|"&amp;$A$212&amp;""&amp;$G$1&amp;""&amp;L223&amp;"PE","% Change")</f>
        <v>42.86</v>
      </c>
      <c r="K223" s="63">
        <f>RTD("nest.scriprtd",,"nse_fo|"&amp;$A$212&amp;""&amp;$G$1&amp;""&amp;L223&amp;"PE","Net Change")</f>
        <v>1.05</v>
      </c>
      <c r="L223" s="63">
        <v>750</v>
      </c>
      <c r="M223" s="82" t="str">
        <f>RTD("nest.scriprtd",,"nse_fo|"&amp;$A$212&amp;""&amp;$G$1&amp;""&amp;L223&amp;"PE","Option Type")</f>
        <v>PE</v>
      </c>
      <c r="N223" s="58">
        <f t="shared" si="101"/>
        <v>3.5</v>
      </c>
      <c r="Q223" s="58">
        <f t="shared" si="98"/>
        <v>0</v>
      </c>
      <c r="R223" s="58">
        <f t="shared" si="99"/>
        <v>0</v>
      </c>
      <c r="Z223" s="58">
        <f t="shared" si="100"/>
        <v>0</v>
      </c>
    </row>
    <row r="224" spans="1:27" ht="15" x14ac:dyDescent="0.25">
      <c r="A224" s="63" t="str">
        <f>RTD("nest.scriprtd",,"nse_fo|"&amp;$A$212&amp;""&amp;$G$1&amp;""&amp;L224&amp;"CE","Symbol")</f>
        <v>TATAMOTORS</v>
      </c>
      <c r="B224" s="63" t="str">
        <f>RTD("nest.scriprtd",,"nse_fo|"&amp;$A$212&amp;""&amp;$G$1&amp;""&amp;L224&amp;"PE","Series/Expiry")</f>
        <v>26Dec2024</v>
      </c>
      <c r="C224" s="63">
        <f>RTD("nest.scriprtd",,"nse_fo|"&amp;$A$212&amp;""&amp;$G$1&amp;""&amp;L224&amp;"PE","Bid Qty")</f>
        <v>8250</v>
      </c>
      <c r="D224" s="63">
        <f>RTD("nest.scriprtd",,"nse_fo|"&amp;$A$212&amp;""&amp;$G$1&amp;""&amp;L224&amp;"PE","Bid Rate")</f>
        <v>4.6500000000000004</v>
      </c>
      <c r="E224" s="63">
        <f>RTD("nest.scriprtd",,"nse_fo|"&amp;$A$212&amp;""&amp;$G$1&amp;""&amp;L224&amp;"PE","Ask Rate")</f>
        <v>4.7</v>
      </c>
      <c r="F224" s="63">
        <f>RTD("nest.scriprtd",,"nse_fo|"&amp;$A$212&amp;""&amp;$G$1&amp;""&amp;L224&amp;"PE","Ask Qty")</f>
        <v>8800</v>
      </c>
      <c r="G224" s="84">
        <f>RTD("nest.scriprtd",,"nse_fo|"&amp;$A$212&amp;""&amp;$G$1&amp;""&amp;L224&amp;"PE","LTP")</f>
        <v>4.6500000000000004</v>
      </c>
      <c r="H224" s="63">
        <f>RTD("nest.scriprtd",,"nse_fo|"&amp;$A$212&amp;""&amp;$G$1&amp;""&amp;L224&amp;"PE","ATP")</f>
        <v>4.01</v>
      </c>
      <c r="I224" s="63">
        <f>RTD("nest.scriprtd",,"nse_fo|"&amp;$A$212&amp;""&amp;$G$1&amp;""&amp;L224&amp;"PE","Volume Traded Today")</f>
        <v>1642300</v>
      </c>
      <c r="J224" s="63">
        <f>RTD("nest.scriprtd",,"nse_fo|"&amp;$A$212&amp;""&amp;$G$1&amp;""&amp;L224&amp;"PE","% Change")</f>
        <v>43.08</v>
      </c>
      <c r="K224" s="63">
        <f>RTD("nest.scriprtd",,"nse_fo|"&amp;$A$212&amp;""&amp;$G$1&amp;""&amp;L224&amp;"PE","Net Change")</f>
        <v>1.4</v>
      </c>
      <c r="L224" s="63">
        <f>+L223+D212</f>
        <v>760</v>
      </c>
      <c r="M224" s="63" t="str">
        <f>RTD("nest.scriprtd",,"nse_fo|"&amp;$A$212&amp;""&amp;$G$1&amp;""&amp;L224&amp;"PE","Option Type")</f>
        <v>PE</v>
      </c>
      <c r="N224" s="58">
        <f t="shared" si="101"/>
        <v>4.6500000000000004</v>
      </c>
      <c r="Q224" s="58">
        <f t="shared" si="98"/>
        <v>0</v>
      </c>
      <c r="R224" s="58">
        <f t="shared" si="99"/>
        <v>0</v>
      </c>
      <c r="Z224" s="58">
        <f t="shared" si="100"/>
        <v>0</v>
      </c>
    </row>
    <row r="225" spans="1:27" ht="15" x14ac:dyDescent="0.25">
      <c r="A225" s="63" t="str">
        <f>RTD("nest.scriprtd",,"nse_fo|"&amp;$A$212&amp;""&amp;$G$1&amp;""&amp;L225&amp;"CE","Symbol")</f>
        <v>TATAMOTORS</v>
      </c>
      <c r="B225" s="63" t="str">
        <f>RTD("nest.scriprtd",,"nse_fo|"&amp;$A$212&amp;""&amp;$G$1&amp;""&amp;L225&amp;"PE","Series/Expiry")</f>
        <v>26Dec2024</v>
      </c>
      <c r="C225" s="63">
        <f>RTD("nest.scriprtd",,"nse_fo|"&amp;$A$212&amp;""&amp;$G$1&amp;""&amp;L225&amp;"PE","Bid Qty")</f>
        <v>4950</v>
      </c>
      <c r="D225" s="63">
        <f>RTD("nest.scriprtd",,"nse_fo|"&amp;$A$212&amp;""&amp;$G$1&amp;""&amp;L225&amp;"PE","Bid Rate")</f>
        <v>6.3</v>
      </c>
      <c r="E225" s="63">
        <f>RTD("nest.scriprtd",,"nse_fo|"&amp;$A$212&amp;""&amp;$G$1&amp;""&amp;L225&amp;"PE","Ask Rate")</f>
        <v>6.35</v>
      </c>
      <c r="F225" s="63">
        <f>RTD("nest.scriprtd",,"nse_fo|"&amp;$A$212&amp;""&amp;$G$1&amp;""&amp;L225&amp;"PE","Ask Qty")</f>
        <v>3300</v>
      </c>
      <c r="G225" s="84">
        <f>RTD("nest.scriprtd",,"nse_fo|"&amp;$A$212&amp;""&amp;$G$1&amp;""&amp;L225&amp;"PE","LTP")</f>
        <v>6.35</v>
      </c>
      <c r="H225" s="63">
        <f>RTD("nest.scriprtd",,"nse_fo|"&amp;$A$212&amp;""&amp;$G$1&amp;""&amp;L225&amp;"PE","ATP")</f>
        <v>5.37</v>
      </c>
      <c r="I225" s="63">
        <f>RTD("nest.scriprtd",,"nse_fo|"&amp;$A$212&amp;""&amp;$G$1&amp;""&amp;L225&amp;"PE","Volume Traded Today")</f>
        <v>1642300</v>
      </c>
      <c r="J225" s="63">
        <f>RTD("nest.scriprtd",,"nse_fo|"&amp;$A$212&amp;""&amp;$G$1&amp;""&amp;L225&amp;"PE","% Change")</f>
        <v>49.41</v>
      </c>
      <c r="K225" s="63">
        <f>RTD("nest.scriprtd",,"nse_fo|"&amp;$A$212&amp;""&amp;$G$1&amp;""&amp;L225&amp;"PE","Net Change")</f>
        <v>2.1</v>
      </c>
      <c r="L225" s="63">
        <f>+L224+D212</f>
        <v>770</v>
      </c>
      <c r="M225" s="63" t="str">
        <f>RTD("nest.scriprtd",,"nse_fo|"&amp;$A$212&amp;""&amp;$G$1&amp;""&amp;L225&amp;"PE","Option Type")</f>
        <v>PE</v>
      </c>
      <c r="N225" s="58">
        <f t="shared" si="101"/>
        <v>6.35</v>
      </c>
      <c r="Q225" s="58">
        <f t="shared" si="98"/>
        <v>0</v>
      </c>
      <c r="R225" s="58">
        <f t="shared" si="99"/>
        <v>0</v>
      </c>
      <c r="Z225" s="58">
        <f t="shared" si="100"/>
        <v>0</v>
      </c>
    </row>
    <row r="226" spans="1:27" ht="15" x14ac:dyDescent="0.25">
      <c r="A226" s="63" t="str">
        <f>RTD("nest.scriprtd",,"nse_fo|"&amp;$A$212&amp;""&amp;$G$1&amp;""&amp;L226&amp;"CE","Symbol")</f>
        <v>TATAMOTORS</v>
      </c>
      <c r="B226" s="63" t="str">
        <f>RTD("nest.scriprtd",,"nse_fo|"&amp;$A$212&amp;""&amp;$G$1&amp;""&amp;L226&amp;"PE","Series/Expiry")</f>
        <v>26Dec2024</v>
      </c>
      <c r="C226" s="63">
        <f>RTD("nest.scriprtd",,"nse_fo|"&amp;$A$212&amp;""&amp;$G$1&amp;""&amp;L226&amp;"PE","Bid Qty")</f>
        <v>4950</v>
      </c>
      <c r="D226" s="63">
        <f>RTD("nest.scriprtd",,"nse_fo|"&amp;$A$212&amp;""&amp;$G$1&amp;""&amp;L226&amp;"PE","Bid Rate")</f>
        <v>8.5500000000000007</v>
      </c>
      <c r="E226" s="63">
        <f>RTD("nest.scriprtd",,"nse_fo|"&amp;$A$212&amp;""&amp;$G$1&amp;""&amp;L226&amp;"PE","Ask Rate")</f>
        <v>8.65</v>
      </c>
      <c r="F226" s="63">
        <f>RTD("nest.scriprtd",,"nse_fo|"&amp;$A$212&amp;""&amp;$G$1&amp;""&amp;L226&amp;"PE","Ask Qty")</f>
        <v>11550</v>
      </c>
      <c r="G226" s="84">
        <f>RTD("nest.scriprtd",,"nse_fo|"&amp;$A$212&amp;""&amp;$G$1&amp;""&amp;L226&amp;"PE","LTP")</f>
        <v>8.6</v>
      </c>
      <c r="H226" s="63">
        <f>RTD("nest.scriprtd",,"nse_fo|"&amp;$A$212&amp;""&amp;$G$1&amp;""&amp;L226&amp;"PE","ATP")</f>
        <v>7.12</v>
      </c>
      <c r="I226" s="63">
        <f>RTD("nest.scriprtd",,"nse_fo|"&amp;$A$212&amp;""&amp;$G$1&amp;""&amp;L226&amp;"PE","Volume Traded Today")</f>
        <v>3275800</v>
      </c>
      <c r="J226" s="63">
        <f>RTD("nest.scriprtd",,"nse_fo|"&amp;$A$212&amp;""&amp;$G$1&amp;""&amp;L226&amp;"PE","% Change")</f>
        <v>50.88</v>
      </c>
      <c r="K226" s="63">
        <f>RTD("nest.scriprtd",,"nse_fo|"&amp;$A$212&amp;""&amp;$G$1&amp;""&amp;L226&amp;"PE","Net Change")</f>
        <v>2.9</v>
      </c>
      <c r="L226" s="63">
        <f>+L225+D212</f>
        <v>780</v>
      </c>
      <c r="M226" s="63" t="str">
        <f>RTD("nest.scriprtd",,"nse_fo|"&amp;$A$212&amp;""&amp;$G$1&amp;""&amp;L226&amp;"PE","Option Type")</f>
        <v>PE</v>
      </c>
      <c r="N226" s="58">
        <f t="shared" si="101"/>
        <v>8.6</v>
      </c>
      <c r="Q226" s="58">
        <f t="shared" si="98"/>
        <v>0</v>
      </c>
      <c r="R226" s="58">
        <f t="shared" si="99"/>
        <v>0</v>
      </c>
      <c r="Z226" s="58">
        <f t="shared" si="100"/>
        <v>0</v>
      </c>
    </row>
    <row r="227" spans="1:27" ht="15" x14ac:dyDescent="0.25">
      <c r="A227" s="63" t="str">
        <f>RTD("nest.scriprtd",,"nse_fo|"&amp;$A$212&amp;""&amp;$G$1&amp;""&amp;L227&amp;"CE","Symbol")</f>
        <v>TATAMOTORS</v>
      </c>
      <c r="B227" s="63" t="str">
        <f>RTD("nest.scriprtd",,"nse_fo|"&amp;$A$212&amp;""&amp;$G$1&amp;""&amp;L227&amp;"PE","Series/Expiry")</f>
        <v>26Dec2024</v>
      </c>
      <c r="C227" s="63">
        <f>RTD("nest.scriprtd",,"nse_fo|"&amp;$A$212&amp;""&amp;$G$1&amp;""&amp;L227&amp;"PE","Bid Qty")</f>
        <v>2200</v>
      </c>
      <c r="D227" s="63">
        <f>RTD("nest.scriprtd",,"nse_fo|"&amp;$A$212&amp;""&amp;$G$1&amp;""&amp;L227&amp;"PE","Bid Rate")</f>
        <v>11.55</v>
      </c>
      <c r="E227" s="63">
        <f>RTD("nest.scriprtd",,"nse_fo|"&amp;$A$212&amp;""&amp;$G$1&amp;""&amp;L227&amp;"PE","Ask Rate")</f>
        <v>11.65</v>
      </c>
      <c r="F227" s="63">
        <f>RTD("nest.scriprtd",,"nse_fo|"&amp;$A$212&amp;""&amp;$G$1&amp;""&amp;L227&amp;"PE","Ask Qty")</f>
        <v>3850</v>
      </c>
      <c r="G227" s="84">
        <f>RTD("nest.scriprtd",,"nse_fo|"&amp;$A$212&amp;""&amp;$G$1&amp;""&amp;L227&amp;"PE","LTP")</f>
        <v>11.65</v>
      </c>
      <c r="H227" s="63">
        <f>RTD("nest.scriprtd",,"nse_fo|"&amp;$A$212&amp;""&amp;$G$1&amp;""&amp;L227&amp;"PE","ATP")</f>
        <v>9.7200000000000006</v>
      </c>
      <c r="I227" s="63">
        <f>RTD("nest.scriprtd",,"nse_fo|"&amp;$A$212&amp;""&amp;$G$1&amp;""&amp;L227&amp;"PE","Volume Traded Today")</f>
        <v>2861650</v>
      </c>
      <c r="J227" s="63">
        <f>RTD("nest.scriprtd",,"nse_fo|"&amp;$A$212&amp;""&amp;$G$1&amp;""&amp;L227&amp;"PE","% Change")</f>
        <v>50.32</v>
      </c>
      <c r="K227" s="63">
        <f>RTD("nest.scriprtd",,"nse_fo|"&amp;$A$212&amp;""&amp;$G$1&amp;""&amp;L227&amp;"PE","Net Change")</f>
        <v>3.9</v>
      </c>
      <c r="L227" s="63">
        <f>+L226+D212</f>
        <v>790</v>
      </c>
      <c r="M227" s="63" t="str">
        <f>RTD("nest.scriprtd",,"nse_fo|"&amp;$A$212&amp;""&amp;$G$1&amp;""&amp;L227&amp;"PE","Option Type")</f>
        <v>PE</v>
      </c>
      <c r="N227" s="58">
        <f t="shared" si="101"/>
        <v>11.65</v>
      </c>
      <c r="Q227" s="58">
        <f t="shared" si="98"/>
        <v>0</v>
      </c>
      <c r="R227" s="58">
        <f t="shared" si="99"/>
        <v>0</v>
      </c>
      <c r="S227" s="58">
        <f>+SUM(R213:R222)-SUM(R223:R227)</f>
        <v>0</v>
      </c>
      <c r="T227" s="58">
        <f>SUM(R215:R227)-R225</f>
        <v>0</v>
      </c>
      <c r="U227" s="63" t="e">
        <f>+S227/T227</f>
        <v>#DIV/0!</v>
      </c>
      <c r="Z227" s="58">
        <f t="shared" si="100"/>
        <v>0</v>
      </c>
      <c r="AA227" s="58">
        <f>SUM(Z213:Z227)</f>
        <v>0</v>
      </c>
    </row>
    <row r="229" spans="1:27" ht="15" x14ac:dyDescent="0.25">
      <c r="A229" s="58" t="s">
        <v>53</v>
      </c>
      <c r="B229" s="58" t="str">
        <f>A229&amp;"-EQ"</f>
        <v>VEDL-EQ</v>
      </c>
      <c r="C229" s="58" t="s">
        <v>168</v>
      </c>
      <c r="D229" s="63">
        <v>10</v>
      </c>
      <c r="E229" s="57">
        <v>1150</v>
      </c>
      <c r="F229" s="63"/>
      <c r="G229" s="85"/>
      <c r="K229" s="63"/>
      <c r="L229" s="63"/>
      <c r="M229" s="63"/>
    </row>
    <row r="230" spans="1:27" ht="15" x14ac:dyDescent="0.25">
      <c r="A230" s="63" t="str">
        <f>RTD("nest.scriprtd",,"nse_fo|"&amp;$A$229&amp;""&amp;$G$1&amp;""&amp;C229&amp;"","Symbol")</f>
        <v>VEDL</v>
      </c>
      <c r="B230" s="63" t="str">
        <f>RTD("nest.scriprtd",,"nse_fo|"&amp;$A$229&amp;""&amp;$G$1&amp;""&amp;C229&amp;"","Series/Expiry")</f>
        <v>26Dec2024</v>
      </c>
      <c r="C230" s="63">
        <f>RTD("nest.scriprtd",,"nse_fo|"&amp;$A$229&amp;""&amp;$G$1&amp;""&amp;C229&amp;"","Bid Qty")</f>
        <v>1150</v>
      </c>
      <c r="D230" s="63">
        <f>RTD("nest.scriprtd",,"nse_fo|"&amp;$A$229&amp;""&amp;$G$1&amp;""&amp;C229&amp;"","Bid Rate")</f>
        <v>490.4</v>
      </c>
      <c r="E230" s="63">
        <f>RTD("nest.scriprtd",,"nse_fo|"&amp;$A$229&amp;""&amp;$G$1&amp;""&amp;C229&amp;"","Ask Rate")</f>
        <v>490.5</v>
      </c>
      <c r="F230" s="63">
        <f>RTD("nest.scriprtd",,"nse_fo|"&amp;$A$229&amp;""&amp;$G$1&amp;""&amp;C229&amp;"","Ask Qty")</f>
        <v>11500</v>
      </c>
      <c r="G230" s="84">
        <f>RTD("nest.scriprtd",,"nse_fo|"&amp;$A$229&amp;""&amp;$G$1&amp;""&amp;C229&amp;"","LTP")</f>
        <v>490.45</v>
      </c>
      <c r="H230" s="63">
        <f>RTD("nest.scriprtd",,"nse_fo|"&amp;$A$229&amp;""&amp;$G$1&amp;""&amp;C229&amp;"","ATP")</f>
        <v>493.76</v>
      </c>
      <c r="I230" s="63">
        <f>RTD("nest.scriprtd",,"nse_fo|"&amp;$A$229&amp;""&amp;$G$1&amp;""&amp;C229&amp;"","Volume Traded Today")</f>
        <v>12434950</v>
      </c>
      <c r="J230" s="63">
        <f>RTD("nest.scriprtd",,"nse_fo|"&amp;$A$229&amp;""&amp;$G$1&amp;""&amp;C229&amp;"","% Change")</f>
        <v>-2.4900000000000002</v>
      </c>
      <c r="K230" s="63">
        <f>RTD("nest.scriprtd",,"nse_fo|"&amp;$A$229&amp;""&amp;$G$1&amp;""&amp;C229&amp;"","Net Change")</f>
        <v>-12.55</v>
      </c>
      <c r="L230" s="63">
        <f>RTD("nest.scriprtd",,"nse_fo|"&amp;$A$229&amp;""&amp;$G$1&amp;""&amp;C229&amp;"","Strike Price")</f>
        <v>0</v>
      </c>
      <c r="M230" s="63"/>
      <c r="N230" s="58">
        <f>MIN($S$230,G230)</f>
        <v>25.65</v>
      </c>
      <c r="Q230" s="58">
        <f t="shared" ref="Q230:Q248" si="102">+P230+O230</f>
        <v>0</v>
      </c>
      <c r="R230" s="58">
        <f t="shared" ref="R230:R248" si="103">+Q230*N230</f>
        <v>0</v>
      </c>
      <c r="S230" s="58">
        <f>+$Q$2*T230</f>
        <v>25.65</v>
      </c>
      <c r="T230" s="80">
        <f>+FACTOR!O23</f>
        <v>25.65</v>
      </c>
      <c r="Z230" s="58">
        <f t="shared" ref="Z230:Z248" si="104">+O230*K230</f>
        <v>0</v>
      </c>
    </row>
    <row r="231" spans="1:27" ht="15" x14ac:dyDescent="0.25">
      <c r="A231" s="63" t="str">
        <f>RTD("nest.scriprtd",,"nse_cm|"&amp;B229&amp;"","Symbol")</f>
        <v>VEDL</v>
      </c>
      <c r="B231" s="63" t="str">
        <f>RTD("nest.scriprtd",,"nse_cm|"&amp;B229&amp;"","Series/Expiry")</f>
        <v>EQ</v>
      </c>
      <c r="C231" s="63">
        <f>RTD("nest.scriprtd",,"nse_cm|"&amp;B229&amp;"","Bid Qty")</f>
        <v>23</v>
      </c>
      <c r="D231" s="63">
        <f>RTD("nest.scriprtd",,"nse_cm|"&amp;B229&amp;"","Bid Rate")</f>
        <v>489.75</v>
      </c>
      <c r="E231" s="63">
        <f>RTD("nest.scriprtd",,"nse_cm|"&amp;B229&amp;"","Ask Rate")</f>
        <v>489.9</v>
      </c>
      <c r="F231" s="63">
        <f>RTD("nest.scriprtd",,"nse_cm|"&amp;B229&amp;"","Ask Qty")</f>
        <v>683</v>
      </c>
      <c r="G231" s="84">
        <f>RTD("nest.scriprtd",,"nse_cm|"&amp;B229&amp;"","LTP")</f>
        <v>489.9</v>
      </c>
      <c r="H231" s="63">
        <f>RTD("nest.scriprtd",,"nse_cm|"&amp;B229&amp;"","ATP")</f>
        <v>492.8</v>
      </c>
      <c r="I231" s="63">
        <f>RTD("nest.scriprtd",,"nse_cm|"&amp;B229&amp;"","Volume Traded Today")</f>
        <v>6181742</v>
      </c>
      <c r="J231" s="63">
        <f>RTD("nest.scriprtd",,"nse_cm|"&amp;B229&amp;"","% Change")</f>
        <v>-2.29</v>
      </c>
      <c r="K231" s="63">
        <f>RTD("nest.scriprtd",,"nse_cm|"&amp;B229&amp;"","Net Change")</f>
        <v>-11.5</v>
      </c>
      <c r="L231" s="63">
        <f>RTD("nest.scriprtd",,"nse_cm|"&amp;B229&amp;"","Strike Price")</f>
        <v>0</v>
      </c>
      <c r="M231" s="63"/>
      <c r="N231" s="58">
        <f t="shared" ref="N231:N248" si="105">MIN($S$230,G231)</f>
        <v>25.65</v>
      </c>
      <c r="Q231" s="58">
        <f t="shared" si="102"/>
        <v>0</v>
      </c>
      <c r="R231" s="58">
        <f t="shared" si="103"/>
        <v>0</v>
      </c>
      <c r="Z231" s="58">
        <f t="shared" si="104"/>
        <v>0</v>
      </c>
    </row>
    <row r="232" spans="1:27" ht="15" x14ac:dyDescent="0.25">
      <c r="A232" s="63" t="str">
        <f>RTD("nest.scriprtd",,"nse_fo|"&amp;$A$229&amp;""&amp;$G$1&amp;""&amp;L232&amp;"CE","Symbol")</f>
        <v>VEDL</v>
      </c>
      <c r="B232" s="63" t="str">
        <f>RTD("nest.scriprtd",,"nse_fo|"&amp;$A$229&amp;""&amp;$G$1&amp;""&amp;L232&amp;"CE","Series/Expiry")</f>
        <v>26Dec2024</v>
      </c>
      <c r="C232" s="63">
        <f>RTD("nest.scriprtd",,"nse_fo|"&amp;$A$229&amp;""&amp;$G$1&amp;""&amp;L232&amp;"CE","Bid Qty")</f>
        <v>6900</v>
      </c>
      <c r="D232" s="63">
        <f>RTD("nest.scriprtd",,"nse_fo|"&amp;$A$229&amp;""&amp;$G$1&amp;""&amp;L232&amp;"CE","Bid Rate")</f>
        <v>69.55</v>
      </c>
      <c r="E232" s="63">
        <f>RTD("nest.scriprtd",,"nse_fo|"&amp;$A$229&amp;""&amp;$G$1&amp;""&amp;L232&amp;"CE","Ask Rate")</f>
        <v>73.7</v>
      </c>
      <c r="F232" s="63">
        <f>RTD("nest.scriprtd",,"nse_fo|"&amp;$A$229&amp;""&amp;$G$1&amp;""&amp;L232&amp;"CE","Ask Qty")</f>
        <v>6900</v>
      </c>
      <c r="G232" s="84">
        <f>RTD("nest.scriprtd",,"nse_fo|"&amp;$A$229&amp;""&amp;$G$1&amp;""&amp;L232&amp;"CE","LTP")</f>
        <v>86.65</v>
      </c>
      <c r="H232" s="63">
        <f>RTD("nest.scriprtd",,"nse_fo|"&amp;$A$229&amp;""&amp;$G$1&amp;""&amp;L232&amp;"CE","ATP")</f>
        <v>0</v>
      </c>
      <c r="I232" s="63">
        <f>RTD("nest.scriprtd",,"nse_fo|"&amp;$A$229&amp;""&amp;$G$1&amp;""&amp;L232&amp;"CE","Volume Traded Today")</f>
        <v>0</v>
      </c>
      <c r="J232" s="63">
        <f>RTD("nest.scriprtd",,"nse_fo|"&amp;$A$229&amp;""&amp;$G$1&amp;""&amp;L232&amp;"CE","% Change")</f>
        <v>0</v>
      </c>
      <c r="K232" s="63">
        <f>RTD("nest.scriprtd",,"nse_fo|"&amp;$A$229&amp;""&amp;$G$1&amp;""&amp;L232&amp;"CE","Net Change")</f>
        <v>0</v>
      </c>
      <c r="L232" s="63">
        <v>420</v>
      </c>
      <c r="M232" s="82" t="str">
        <f>RTD("nest.scriprtd",,"nse_fo|"&amp;$A$229&amp;""&amp;$G$1&amp;""&amp;L232&amp;"CE","Option Type")</f>
        <v>CE</v>
      </c>
      <c r="N232" s="58">
        <f t="shared" si="105"/>
        <v>25.65</v>
      </c>
      <c r="Q232" s="58">
        <f t="shared" ref="Q232:Q240" si="106">+P232+O232</f>
        <v>0</v>
      </c>
      <c r="R232" s="58">
        <f t="shared" ref="R232:R240" si="107">+Q232*N232</f>
        <v>0</v>
      </c>
      <c r="Z232" s="58">
        <f t="shared" si="104"/>
        <v>0</v>
      </c>
    </row>
    <row r="233" spans="1:27" ht="15" x14ac:dyDescent="0.25">
      <c r="A233" s="63" t="str">
        <f>RTD("nest.scriprtd",,"nse_fo|"&amp;$A$229&amp;""&amp;$G$1&amp;""&amp;L233&amp;"CE","Symbol")</f>
        <v>VEDL</v>
      </c>
      <c r="B233" s="63" t="str">
        <f>RTD("nest.scriprtd",,"nse_fo|"&amp;$A$229&amp;""&amp;$G$1&amp;""&amp;L233&amp;"CE","Series/Expiry")</f>
        <v>26Dec2024</v>
      </c>
      <c r="C233" s="63">
        <f>RTD("nest.scriprtd",,"nse_fo|"&amp;$A$229&amp;""&amp;$G$1&amp;""&amp;L233&amp;"CE","Bid Qty")</f>
        <v>1150</v>
      </c>
      <c r="D233" s="63">
        <f>RTD("nest.scriprtd",,"nse_fo|"&amp;$A$229&amp;""&amp;$G$1&amp;""&amp;L233&amp;"CE","Bid Rate")</f>
        <v>60.95</v>
      </c>
      <c r="E233" s="63">
        <f>RTD("nest.scriprtd",,"nse_fo|"&amp;$A$229&amp;""&amp;$G$1&amp;""&amp;L233&amp;"CE","Ask Rate")</f>
        <v>61.95</v>
      </c>
      <c r="F233" s="63">
        <f>RTD("nest.scriprtd",,"nse_fo|"&amp;$A$229&amp;""&amp;$G$1&amp;""&amp;L233&amp;"CE","Ask Qty")</f>
        <v>1150</v>
      </c>
      <c r="G233" s="84">
        <f>RTD("nest.scriprtd",,"nse_fo|"&amp;$A$229&amp;""&amp;$G$1&amp;""&amp;L233&amp;"CE","LTP")</f>
        <v>62.35</v>
      </c>
      <c r="H233" s="63">
        <f>RTD("nest.scriprtd",,"nse_fo|"&amp;$A$229&amp;""&amp;$G$1&amp;""&amp;L233&amp;"CE","ATP")</f>
        <v>62.07</v>
      </c>
      <c r="I233" s="63">
        <f>RTD("nest.scriprtd",,"nse_fo|"&amp;$A$229&amp;""&amp;$G$1&amp;""&amp;L233&amp;"CE","Volume Traded Today")</f>
        <v>2300</v>
      </c>
      <c r="J233" s="63">
        <f>RTD("nest.scriprtd",,"nse_fo|"&amp;$A$229&amp;""&amp;$G$1&amp;""&amp;L233&amp;"CE","% Change")</f>
        <v>-15.97</v>
      </c>
      <c r="K233" s="63">
        <f>RTD("nest.scriprtd",,"nse_fo|"&amp;$A$229&amp;""&amp;$G$1&amp;""&amp;L233&amp;"CE","Net Change")</f>
        <v>-11.85</v>
      </c>
      <c r="L233" s="63">
        <f>+L232+$D$229</f>
        <v>430</v>
      </c>
      <c r="M233" s="63" t="str">
        <f>RTD("nest.scriprtd",,"nse_fo|"&amp;$A$229&amp;""&amp;$G$1&amp;""&amp;L233&amp;"CE","Option Type")</f>
        <v>CE</v>
      </c>
      <c r="N233" s="58">
        <f t="shared" si="105"/>
        <v>25.65</v>
      </c>
      <c r="Q233" s="58">
        <f t="shared" si="106"/>
        <v>0</v>
      </c>
      <c r="R233" s="58">
        <f t="shared" si="107"/>
        <v>0</v>
      </c>
      <c r="Z233" s="58">
        <f t="shared" si="104"/>
        <v>0</v>
      </c>
    </row>
    <row r="234" spans="1:27" ht="15" x14ac:dyDescent="0.25">
      <c r="A234" s="63" t="str">
        <f>RTD("nest.scriprtd",,"nse_fo|"&amp;$A$229&amp;""&amp;$G$1&amp;""&amp;L234&amp;"CE","Symbol")</f>
        <v>VEDL</v>
      </c>
      <c r="B234" s="63" t="str">
        <f>RTD("nest.scriprtd",,"nse_fo|"&amp;$A$229&amp;""&amp;$G$1&amp;""&amp;L234&amp;"CE","Series/Expiry")</f>
        <v>26Dec2024</v>
      </c>
      <c r="C234" s="63">
        <f>RTD("nest.scriprtd",,"nse_fo|"&amp;$A$229&amp;""&amp;$G$1&amp;""&amp;L234&amp;"CE","Bid Qty")</f>
        <v>2300</v>
      </c>
      <c r="D234" s="63">
        <f>RTD("nest.scriprtd",,"nse_fo|"&amp;$A$229&amp;""&amp;$G$1&amp;""&amp;L234&amp;"CE","Bid Rate")</f>
        <v>51.7</v>
      </c>
      <c r="E234" s="63">
        <f>RTD("nest.scriprtd",,"nse_fo|"&amp;$A$229&amp;""&amp;$G$1&amp;""&amp;L234&amp;"CE","Ask Rate")</f>
        <v>52.35</v>
      </c>
      <c r="F234" s="63">
        <f>RTD("nest.scriprtd",,"nse_fo|"&amp;$A$229&amp;""&amp;$G$1&amp;""&amp;L234&amp;"CE","Ask Qty")</f>
        <v>1150</v>
      </c>
      <c r="G234" s="84">
        <f>RTD("nest.scriprtd",,"nse_fo|"&amp;$A$229&amp;""&amp;$G$1&amp;""&amp;L234&amp;"CE","LTP")</f>
        <v>52.6</v>
      </c>
      <c r="H234" s="63">
        <f>RTD("nest.scriprtd",,"nse_fo|"&amp;$A$229&amp;""&amp;$G$1&amp;""&amp;L234&amp;"CE","ATP")</f>
        <v>56.31</v>
      </c>
      <c r="I234" s="63">
        <f>RTD("nest.scriprtd",,"nse_fo|"&amp;$A$229&amp;""&amp;$G$1&amp;""&amp;L234&amp;"CE","Volume Traded Today")</f>
        <v>40250</v>
      </c>
      <c r="J234" s="63">
        <f>RTD("nest.scriprtd",,"nse_fo|"&amp;$A$229&amp;""&amp;$G$1&amp;""&amp;L234&amp;"CE","% Change")</f>
        <v>-18.13</v>
      </c>
      <c r="K234" s="63">
        <f>RTD("nest.scriprtd",,"nse_fo|"&amp;$A$229&amp;""&amp;$G$1&amp;""&amp;L234&amp;"CE","Net Change")</f>
        <v>-11.65</v>
      </c>
      <c r="L234" s="63">
        <f>+L233+$D$229</f>
        <v>440</v>
      </c>
      <c r="M234" s="63" t="str">
        <f>RTD("nest.scriprtd",,"nse_fo|"&amp;$A$229&amp;""&amp;$G$1&amp;""&amp;L234&amp;"CE","Option Type")</f>
        <v>CE</v>
      </c>
      <c r="N234" s="58">
        <f t="shared" si="105"/>
        <v>25.65</v>
      </c>
      <c r="Q234" s="58">
        <f t="shared" si="106"/>
        <v>0</v>
      </c>
      <c r="R234" s="58">
        <f t="shared" si="107"/>
        <v>0</v>
      </c>
      <c r="Z234" s="58">
        <f t="shared" si="104"/>
        <v>0</v>
      </c>
    </row>
    <row r="235" spans="1:27" ht="15" x14ac:dyDescent="0.25">
      <c r="A235" s="63" t="str">
        <f>RTD("nest.scriprtd",,"nse_fo|"&amp;$A$229&amp;""&amp;$G$1&amp;""&amp;L235&amp;"CE","Symbol")</f>
        <v>VEDL</v>
      </c>
      <c r="B235" s="63" t="str">
        <f>RTD("nest.scriprtd",,"nse_fo|"&amp;$A$229&amp;""&amp;$G$1&amp;""&amp;L235&amp;"CE","Series/Expiry")</f>
        <v>26Dec2024</v>
      </c>
      <c r="C235" s="63">
        <f>RTD("nest.scriprtd",,"nse_fo|"&amp;$A$229&amp;""&amp;$G$1&amp;""&amp;L235&amp;"CE","Bid Qty")</f>
        <v>2300</v>
      </c>
      <c r="D235" s="63">
        <f>RTD("nest.scriprtd",,"nse_fo|"&amp;$A$229&amp;""&amp;$G$1&amp;""&amp;L235&amp;"CE","Bid Rate")</f>
        <v>42.65</v>
      </c>
      <c r="E235" s="63">
        <f>RTD("nest.scriprtd",,"nse_fo|"&amp;$A$229&amp;""&amp;$G$1&amp;""&amp;L235&amp;"CE","Ask Rate")</f>
        <v>43.05</v>
      </c>
      <c r="F235" s="63">
        <f>RTD("nest.scriprtd",,"nse_fo|"&amp;$A$229&amp;""&amp;$G$1&amp;""&amp;L235&amp;"CE","Ask Qty")</f>
        <v>1150</v>
      </c>
      <c r="G235" s="84">
        <f>RTD("nest.scriprtd",,"nse_fo|"&amp;$A$229&amp;""&amp;$G$1&amp;""&amp;L235&amp;"CE","LTP")</f>
        <v>42.35</v>
      </c>
      <c r="H235" s="63">
        <f>RTD("nest.scriprtd",,"nse_fo|"&amp;$A$229&amp;""&amp;$G$1&amp;""&amp;L235&amp;"CE","ATP")</f>
        <v>45.43</v>
      </c>
      <c r="I235" s="63">
        <f>RTD("nest.scriprtd",,"nse_fo|"&amp;$A$229&amp;""&amp;$G$1&amp;""&amp;L235&amp;"CE","Volume Traded Today")</f>
        <v>126500</v>
      </c>
      <c r="J235" s="63">
        <f>RTD("nest.scriprtd",,"nse_fo|"&amp;$A$229&amp;""&amp;$G$1&amp;""&amp;L235&amp;"CE","% Change")</f>
        <v>-22.65</v>
      </c>
      <c r="K235" s="63">
        <f>RTD("nest.scriprtd",,"nse_fo|"&amp;$A$229&amp;""&amp;$G$1&amp;""&amp;L235&amp;"CE","Net Change")</f>
        <v>-12.4</v>
      </c>
      <c r="L235" s="63">
        <f>+L234+$D$229</f>
        <v>450</v>
      </c>
      <c r="M235" s="63" t="str">
        <f>RTD("nest.scriprtd",,"nse_fo|"&amp;$A$229&amp;""&amp;$G$1&amp;""&amp;L235&amp;"CE","Option Type")</f>
        <v>CE</v>
      </c>
      <c r="N235" s="58">
        <f t="shared" si="105"/>
        <v>25.65</v>
      </c>
      <c r="Q235" s="58">
        <f t="shared" si="106"/>
        <v>0</v>
      </c>
      <c r="R235" s="58">
        <f t="shared" si="107"/>
        <v>0</v>
      </c>
      <c r="Z235" s="58">
        <f t="shared" si="104"/>
        <v>0</v>
      </c>
    </row>
    <row r="236" spans="1:27" ht="15" x14ac:dyDescent="0.25">
      <c r="A236" s="63" t="str">
        <f>RTD("nest.scriprtd",,"nse_fo|"&amp;$A$229&amp;""&amp;$G$1&amp;""&amp;L236&amp;"CE","Symbol")</f>
        <v>VEDL</v>
      </c>
      <c r="B236" s="63" t="str">
        <f>RTD("nest.scriprtd",,"nse_fo|"&amp;$A$229&amp;""&amp;$G$1&amp;""&amp;L236&amp;"CE","Series/Expiry")</f>
        <v>26Dec2024</v>
      </c>
      <c r="C236" s="63">
        <f>RTD("nest.scriprtd",,"nse_fo|"&amp;$A$229&amp;""&amp;$G$1&amp;""&amp;L236&amp;"CE","Bid Qty")</f>
        <v>1150</v>
      </c>
      <c r="D236" s="63">
        <f>RTD("nest.scriprtd",,"nse_fo|"&amp;$A$229&amp;""&amp;$G$1&amp;""&amp;L236&amp;"CE","Bid Rate")</f>
        <v>33.6</v>
      </c>
      <c r="E236" s="63">
        <f>RTD("nest.scriprtd",,"nse_fo|"&amp;$A$229&amp;""&amp;$G$1&amp;""&amp;L236&amp;"CE","Ask Rate")</f>
        <v>34.15</v>
      </c>
      <c r="F236" s="63">
        <f>RTD("nest.scriprtd",,"nse_fo|"&amp;$A$229&amp;""&amp;$G$1&amp;""&amp;L236&amp;"CE","Ask Qty")</f>
        <v>1150</v>
      </c>
      <c r="G236" s="84">
        <f>RTD("nest.scriprtd",,"nse_fo|"&amp;$A$229&amp;""&amp;$G$1&amp;""&amp;L236&amp;"CE","LTP")</f>
        <v>33.549999999999997</v>
      </c>
      <c r="H236" s="63">
        <f>RTD("nest.scriprtd",,"nse_fo|"&amp;$A$229&amp;""&amp;$G$1&amp;""&amp;L236&amp;"CE","ATP")</f>
        <v>36.799999999999997</v>
      </c>
      <c r="I236" s="63">
        <f>RTD("nest.scriprtd",,"nse_fo|"&amp;$A$229&amp;""&amp;$G$1&amp;""&amp;L236&amp;"CE","Volume Traded Today")</f>
        <v>105800</v>
      </c>
      <c r="J236" s="63">
        <f>RTD("nest.scriprtd",,"nse_fo|"&amp;$A$229&amp;""&amp;$G$1&amp;""&amp;L236&amp;"CE","% Change")</f>
        <v>-26.26</v>
      </c>
      <c r="K236" s="63">
        <f>RTD("nest.scriprtd",,"nse_fo|"&amp;$A$229&amp;""&amp;$G$1&amp;""&amp;L236&amp;"CE","Net Change")</f>
        <v>-11.95</v>
      </c>
      <c r="L236" s="63">
        <f>+L235+$D$229</f>
        <v>460</v>
      </c>
      <c r="M236" s="63" t="str">
        <f>RTD("nest.scriprtd",,"nse_fo|"&amp;$A$229&amp;""&amp;$G$1&amp;""&amp;L236&amp;"CE","Option Type")</f>
        <v>CE</v>
      </c>
      <c r="N236" s="58">
        <f t="shared" si="105"/>
        <v>25.65</v>
      </c>
      <c r="Q236" s="58">
        <f t="shared" si="106"/>
        <v>0</v>
      </c>
      <c r="R236" s="58">
        <f t="shared" si="107"/>
        <v>0</v>
      </c>
      <c r="Z236" s="58">
        <f t="shared" si="104"/>
        <v>0</v>
      </c>
    </row>
    <row r="237" spans="1:27" ht="15" x14ac:dyDescent="0.25">
      <c r="A237" s="63" t="str">
        <f>RTD("nest.scriprtd",,"nse_fo|"&amp;$A$229&amp;""&amp;$G$1&amp;""&amp;L237&amp;"CE","Symbol")</f>
        <v>VEDL</v>
      </c>
      <c r="B237" s="63" t="str">
        <f>RTD("nest.scriprtd",,"nse_fo|"&amp;$A$229&amp;""&amp;$G$1&amp;""&amp;L237&amp;"CE","Series/Expiry")</f>
        <v>26Dec2024</v>
      </c>
      <c r="C237" s="63">
        <f>RTD("nest.scriprtd",,"nse_fo|"&amp;$A$229&amp;""&amp;$G$1&amp;""&amp;L237&amp;"CE","Bid Qty")</f>
        <v>1150</v>
      </c>
      <c r="D237" s="63">
        <f>RTD("nest.scriprtd",,"nse_fo|"&amp;$A$229&amp;""&amp;$G$1&amp;""&amp;L237&amp;"CE","Bid Rate")</f>
        <v>25.75</v>
      </c>
      <c r="E237" s="63">
        <f>RTD("nest.scriprtd",,"nse_fo|"&amp;$A$229&amp;""&amp;$G$1&amp;""&amp;L237&amp;"CE","Ask Rate")</f>
        <v>26</v>
      </c>
      <c r="F237" s="63">
        <f>RTD("nest.scriprtd",,"nse_fo|"&amp;$A$229&amp;""&amp;$G$1&amp;""&amp;L237&amp;"CE","Ask Qty")</f>
        <v>2300</v>
      </c>
      <c r="G237" s="84">
        <f>RTD("nest.scriprtd",,"nse_fo|"&amp;$A$229&amp;""&amp;$G$1&amp;""&amp;L237&amp;"CE","LTP")</f>
        <v>25.75</v>
      </c>
      <c r="H237" s="63">
        <f>RTD("nest.scriprtd",,"nse_fo|"&amp;$A$229&amp;""&amp;$G$1&amp;""&amp;L237&amp;"CE","ATP")</f>
        <v>28.07</v>
      </c>
      <c r="I237" s="63">
        <f>RTD("nest.scriprtd",,"nse_fo|"&amp;$A$229&amp;""&amp;$G$1&amp;""&amp;L237&amp;"CE","Volume Traded Today")</f>
        <v>548550</v>
      </c>
      <c r="J237" s="63">
        <f>RTD("nest.scriprtd",,"nse_fo|"&amp;$A$229&amp;""&amp;$G$1&amp;""&amp;L237&amp;"CE","% Change")</f>
        <v>-30.03</v>
      </c>
      <c r="K237" s="63">
        <f>RTD("nest.scriprtd",,"nse_fo|"&amp;$A$229&amp;""&amp;$G$1&amp;""&amp;L237&amp;"CE","Net Change")</f>
        <v>-11.05</v>
      </c>
      <c r="L237" s="63">
        <f>+L236+$D$229</f>
        <v>470</v>
      </c>
      <c r="M237" s="63" t="str">
        <f>RTD("nest.scriprtd",,"nse_fo|"&amp;$A$229&amp;""&amp;$G$1&amp;""&amp;L237&amp;"CE","Option Type")</f>
        <v>CE</v>
      </c>
      <c r="N237" s="58">
        <f t="shared" si="105"/>
        <v>25.65</v>
      </c>
      <c r="Q237" s="58">
        <f t="shared" si="106"/>
        <v>0</v>
      </c>
      <c r="R237" s="58">
        <f t="shared" si="107"/>
        <v>0</v>
      </c>
      <c r="Z237" s="58">
        <f t="shared" ref="Z237" si="108">+O237*K237</f>
        <v>0</v>
      </c>
    </row>
    <row r="238" spans="1:27" ht="15" x14ac:dyDescent="0.25">
      <c r="A238" s="63" t="str">
        <f>RTD("nest.scriprtd",,"nse_fo|"&amp;$A$229&amp;""&amp;$G$1&amp;""&amp;L238&amp;"CE","Symbol")</f>
        <v>VEDL</v>
      </c>
      <c r="B238" s="63" t="str">
        <f>RTD("nest.scriprtd",,"nse_fo|"&amp;$A$229&amp;""&amp;$G$1&amp;""&amp;L238&amp;"CE","Series/Expiry")</f>
        <v>26Dec2024</v>
      </c>
      <c r="C238" s="63">
        <f>RTD("nest.scriprtd",,"nse_fo|"&amp;$A$229&amp;""&amp;$G$1&amp;""&amp;L238&amp;"CE","Bid Qty")</f>
        <v>1150</v>
      </c>
      <c r="D238" s="63">
        <f>RTD("nest.scriprtd",,"nse_fo|"&amp;$A$229&amp;""&amp;$G$1&amp;""&amp;L238&amp;"CE","Bid Rate")</f>
        <v>18.75</v>
      </c>
      <c r="E238" s="63">
        <f>RTD("nest.scriprtd",,"nse_fo|"&amp;$A$229&amp;""&amp;$G$1&amp;""&amp;L238&amp;"CE","Ask Rate")</f>
        <v>18.850000000000001</v>
      </c>
      <c r="F238" s="63">
        <f>RTD("nest.scriprtd",,"nse_fo|"&amp;$A$229&amp;""&amp;$G$1&amp;""&amp;L238&amp;"CE","Ask Qty")</f>
        <v>6900</v>
      </c>
      <c r="G238" s="84">
        <f>RTD("nest.scriprtd",,"nse_fo|"&amp;$A$229&amp;""&amp;$G$1&amp;""&amp;L238&amp;"CE","LTP")</f>
        <v>18.75</v>
      </c>
      <c r="H238" s="63">
        <f>RTD("nest.scriprtd",,"nse_fo|"&amp;$A$229&amp;""&amp;$G$1&amp;""&amp;L238&amp;"CE","ATP")</f>
        <v>20.96</v>
      </c>
      <c r="I238" s="63">
        <f>RTD("nest.scriprtd",,"nse_fo|"&amp;$A$229&amp;""&amp;$G$1&amp;""&amp;L238&amp;"CE","Volume Traded Today")</f>
        <v>1972250</v>
      </c>
      <c r="J238" s="63">
        <f>RTD("nest.scriprtd",,"nse_fo|"&amp;$A$229&amp;""&amp;$G$1&amp;""&amp;L238&amp;"CE","% Change")</f>
        <v>-34.67</v>
      </c>
      <c r="K238" s="63">
        <f>RTD("nest.scriprtd",,"nse_fo|"&amp;$A$229&amp;""&amp;$G$1&amp;""&amp;L238&amp;"CE","Net Change")</f>
        <v>-9.9499999999999993</v>
      </c>
      <c r="L238" s="63">
        <f t="shared" ref="L238:L248" si="109">+L237+$D$229</f>
        <v>480</v>
      </c>
      <c r="M238" s="63" t="str">
        <f>RTD("nest.scriprtd",,"nse_fo|"&amp;$A$229&amp;""&amp;$G$1&amp;""&amp;L238&amp;"CE","Option Type")</f>
        <v>CE</v>
      </c>
      <c r="N238" s="58">
        <f t="shared" si="105"/>
        <v>18.75</v>
      </c>
      <c r="Q238" s="58">
        <f t="shared" si="106"/>
        <v>0</v>
      </c>
      <c r="R238" s="58">
        <f t="shared" si="107"/>
        <v>0</v>
      </c>
      <c r="Z238" s="58">
        <f t="shared" si="104"/>
        <v>0</v>
      </c>
    </row>
    <row r="239" spans="1:27" ht="15" x14ac:dyDescent="0.25">
      <c r="A239" s="63" t="str">
        <f>RTD("nest.scriprtd",,"nse_fo|"&amp;$A$229&amp;""&amp;$G$1&amp;""&amp;L239&amp;"CE","Symbol")</f>
        <v>VEDL</v>
      </c>
      <c r="B239" s="63" t="str">
        <f>RTD("nest.scriprtd",,"nse_fo|"&amp;$A$229&amp;""&amp;$G$1&amp;""&amp;L239&amp;"CE","Series/Expiry")</f>
        <v>26Dec2024</v>
      </c>
      <c r="C239" s="63">
        <f>RTD("nest.scriprtd",,"nse_fo|"&amp;$A$229&amp;""&amp;$G$1&amp;""&amp;L239&amp;"CE","Bid Qty")</f>
        <v>4600</v>
      </c>
      <c r="D239" s="63">
        <f>RTD("nest.scriprtd",,"nse_fo|"&amp;$A$229&amp;""&amp;$G$1&amp;""&amp;L239&amp;"CE","Bid Rate")</f>
        <v>13.15</v>
      </c>
      <c r="E239" s="63">
        <f>RTD("nest.scriprtd",,"nse_fo|"&amp;$A$229&amp;""&amp;$G$1&amp;""&amp;L239&amp;"CE","Ask Rate")</f>
        <v>13.25</v>
      </c>
      <c r="F239" s="63">
        <f>RTD("nest.scriprtd",,"nse_fo|"&amp;$A$229&amp;""&amp;$G$1&amp;""&amp;L239&amp;"CE","Ask Qty")</f>
        <v>3450</v>
      </c>
      <c r="G239" s="84">
        <f>RTD("nest.scriprtd",,"nse_fo|"&amp;$A$229&amp;""&amp;$G$1&amp;""&amp;L239&amp;"CE","LTP")</f>
        <v>13.25</v>
      </c>
      <c r="H239" s="63">
        <f>RTD("nest.scriprtd",,"nse_fo|"&amp;$A$229&amp;""&amp;$G$1&amp;""&amp;L239&amp;"CE","ATP")</f>
        <v>14.46</v>
      </c>
      <c r="I239" s="63">
        <f>RTD("nest.scriprtd",,"nse_fo|"&amp;$A$229&amp;""&amp;$G$1&amp;""&amp;L239&amp;"CE","Volume Traded Today")</f>
        <v>3850200</v>
      </c>
      <c r="J239" s="63">
        <f>RTD("nest.scriprtd",,"nse_fo|"&amp;$A$229&amp;""&amp;$G$1&amp;""&amp;L239&amp;"CE","% Change")</f>
        <v>-38.229999999999997</v>
      </c>
      <c r="K239" s="63">
        <f>RTD("nest.scriprtd",,"nse_fo|"&amp;$A$229&amp;""&amp;$G$1&amp;""&amp;L239&amp;"CE","Net Change")</f>
        <v>-8.1999999999999993</v>
      </c>
      <c r="L239" s="63">
        <f t="shared" si="109"/>
        <v>490</v>
      </c>
      <c r="M239" s="63" t="str">
        <f>RTD("nest.scriprtd",,"nse_fo|"&amp;$A$229&amp;""&amp;$G$1&amp;""&amp;L239&amp;"CE","Option Type")</f>
        <v>CE</v>
      </c>
      <c r="N239" s="58">
        <f t="shared" si="105"/>
        <v>13.25</v>
      </c>
      <c r="Q239" s="58">
        <f t="shared" si="106"/>
        <v>0</v>
      </c>
      <c r="R239" s="58">
        <f t="shared" si="107"/>
        <v>0</v>
      </c>
      <c r="Z239" s="58">
        <f t="shared" si="104"/>
        <v>0</v>
      </c>
    </row>
    <row r="240" spans="1:27" ht="15" x14ac:dyDescent="0.25">
      <c r="A240" s="63" t="str">
        <f>RTD("nest.scriprtd",,"nse_fo|"&amp;$A$229&amp;""&amp;$G$1&amp;""&amp;L240&amp;"CE","Symbol")</f>
        <v>VEDL</v>
      </c>
      <c r="B240" s="63" t="str">
        <f>RTD("nest.scriprtd",,"nse_fo|"&amp;$A$229&amp;""&amp;$G$1&amp;""&amp;L240&amp;"CE","Series/Expiry")</f>
        <v>26Dec2024</v>
      </c>
      <c r="C240" s="63">
        <f>RTD("nest.scriprtd",,"nse_fo|"&amp;$A$229&amp;""&amp;$G$1&amp;""&amp;L240&amp;"CE","Bid Qty")</f>
        <v>12650</v>
      </c>
      <c r="D240" s="63">
        <f>RTD("nest.scriprtd",,"nse_fo|"&amp;$A$229&amp;""&amp;$G$1&amp;""&amp;L240&amp;"CE","Bid Rate")</f>
        <v>9</v>
      </c>
      <c r="E240" s="63">
        <f>RTD("nest.scriprtd",,"nse_fo|"&amp;$A$229&amp;""&amp;$G$1&amp;""&amp;L240&amp;"CE","Ask Rate")</f>
        <v>9.1</v>
      </c>
      <c r="F240" s="63">
        <f>RTD("nest.scriprtd",,"nse_fo|"&amp;$A$229&amp;""&amp;$G$1&amp;""&amp;L240&amp;"CE","Ask Qty")</f>
        <v>3450</v>
      </c>
      <c r="G240" s="84">
        <f>RTD("nest.scriprtd",,"nse_fo|"&amp;$A$229&amp;""&amp;$G$1&amp;""&amp;L240&amp;"CE","LTP")</f>
        <v>9</v>
      </c>
      <c r="H240" s="63">
        <f>RTD("nest.scriprtd",,"nse_fo|"&amp;$A$229&amp;""&amp;$G$1&amp;""&amp;L240&amp;"CE","ATP")</f>
        <v>10.45</v>
      </c>
      <c r="I240" s="63">
        <f>RTD("nest.scriprtd",,"nse_fo|"&amp;$A$229&amp;""&amp;$G$1&amp;""&amp;L240&amp;"CE","Volume Traded Today")</f>
        <v>10446600</v>
      </c>
      <c r="J240" s="63">
        <f>RTD("nest.scriprtd",,"nse_fo|"&amp;$A$229&amp;""&amp;$G$1&amp;""&amp;L240&amp;"CE","% Change")</f>
        <v>-42.12</v>
      </c>
      <c r="K240" s="63">
        <f>RTD("nest.scriprtd",,"nse_fo|"&amp;$A$229&amp;""&amp;$G$1&amp;""&amp;L240&amp;"CE","Net Change")</f>
        <v>-6.55</v>
      </c>
      <c r="L240" s="63">
        <f t="shared" si="109"/>
        <v>500</v>
      </c>
      <c r="M240" s="63" t="str">
        <f>RTD("nest.scriprtd",,"nse_fo|"&amp;$A$229&amp;""&amp;$G$1&amp;""&amp;L240&amp;"CE","Option Type")</f>
        <v>CE</v>
      </c>
      <c r="N240" s="58">
        <f t="shared" si="105"/>
        <v>9</v>
      </c>
      <c r="Q240" s="58">
        <f t="shared" si="106"/>
        <v>0</v>
      </c>
      <c r="R240" s="58">
        <f t="shared" si="107"/>
        <v>0</v>
      </c>
      <c r="Z240" s="58">
        <f t="shared" si="104"/>
        <v>0</v>
      </c>
    </row>
    <row r="241" spans="1:27" ht="15" x14ac:dyDescent="0.25">
      <c r="A241" s="63" t="str">
        <f>RTD("nest.scriprtd",,"nse_fo|"&amp;$A$229&amp;""&amp;$G$1&amp;""&amp;L241&amp;"CE","Symbol")</f>
        <v>VEDL</v>
      </c>
      <c r="B241" s="63" t="str">
        <f>RTD("nest.scriprtd",,"nse_fo|"&amp;$A$229&amp;""&amp;$G$1&amp;""&amp;L241&amp;"PE","Series/Expiry")</f>
        <v>26Dec2024</v>
      </c>
      <c r="C241" s="63">
        <f>RTD("nest.scriprtd",,"nse_fo|"&amp;$A$229&amp;""&amp;$G$1&amp;""&amp;L241&amp;"PE","Bid Qty")</f>
        <v>10350</v>
      </c>
      <c r="D241" s="63">
        <f>RTD("nest.scriprtd",,"nse_fo|"&amp;$A$229&amp;""&amp;$G$1&amp;""&amp;L241&amp;"PE","Bid Rate")</f>
        <v>0.6</v>
      </c>
      <c r="E241" s="63">
        <f>RTD("nest.scriprtd",,"nse_fo|"&amp;$A$229&amp;""&amp;$G$1&amp;""&amp;L241&amp;"PE","Ask Rate")</f>
        <v>0.65</v>
      </c>
      <c r="F241" s="63">
        <f>RTD("nest.scriprtd",,"nse_fo|"&amp;$A$229&amp;""&amp;$G$1&amp;""&amp;L241&amp;"PE","Ask Qty")</f>
        <v>12650</v>
      </c>
      <c r="G241" s="84">
        <f>RTD("nest.scriprtd",,"nse_fo|"&amp;$A$229&amp;""&amp;$G$1&amp;""&amp;L241&amp;"PE","LTP")</f>
        <v>0.6</v>
      </c>
      <c r="H241" s="63">
        <f>RTD("nest.scriprtd",,"nse_fo|"&amp;$A$229&amp;""&amp;$G$1&amp;""&amp;L241&amp;"PE","ATP")</f>
        <v>0.57999999999999996</v>
      </c>
      <c r="I241" s="63">
        <f>RTD("nest.scriprtd",,"nse_fo|"&amp;$A$229&amp;""&amp;$G$1&amp;""&amp;L241&amp;"PE","Volume Traded Today")</f>
        <v>198950</v>
      </c>
      <c r="J241" s="63">
        <f>RTD("nest.scriprtd",,"nse_fo|"&amp;$A$229&amp;""&amp;$G$1&amp;""&amp;L241&amp;"PE","% Change")</f>
        <v>9.09</v>
      </c>
      <c r="K241" s="63">
        <f>RTD("nest.scriprtd",,"nse_fo|"&amp;$A$229&amp;""&amp;$G$1&amp;""&amp;L241&amp;"PE","Net Change")</f>
        <v>0.05</v>
      </c>
      <c r="L241" s="63">
        <v>410</v>
      </c>
      <c r="M241" s="82" t="str">
        <f>RTD("nest.scriprtd",,"nse_fo|"&amp;$A$229&amp;""&amp;$G$1&amp;""&amp;L241&amp;"PE","Option Type")</f>
        <v>PE</v>
      </c>
      <c r="N241" s="58">
        <f t="shared" si="105"/>
        <v>0.6</v>
      </c>
      <c r="Q241" s="58">
        <f t="shared" si="102"/>
        <v>0</v>
      </c>
      <c r="R241" s="58">
        <f t="shared" si="103"/>
        <v>0</v>
      </c>
      <c r="Z241" s="58">
        <f t="shared" si="104"/>
        <v>0</v>
      </c>
    </row>
    <row r="242" spans="1:27" ht="15" x14ac:dyDescent="0.25">
      <c r="A242" s="63" t="str">
        <f>RTD("nest.scriprtd",,"nse_fo|"&amp;$A$229&amp;""&amp;$G$1&amp;""&amp;L242&amp;"CE","Symbol")</f>
        <v>VEDL</v>
      </c>
      <c r="B242" s="63" t="str">
        <f>RTD("nest.scriprtd",,"nse_fo|"&amp;$A$229&amp;""&amp;$G$1&amp;""&amp;L242&amp;"PE","Series/Expiry")</f>
        <v>26Dec2024</v>
      </c>
      <c r="C242" s="63">
        <f>RTD("nest.scriprtd",,"nse_fo|"&amp;$A$229&amp;""&amp;$G$1&amp;""&amp;L242&amp;"PE","Bid Qty")</f>
        <v>3450</v>
      </c>
      <c r="D242" s="63">
        <f>RTD("nest.scriprtd",,"nse_fo|"&amp;$A$229&amp;""&amp;$G$1&amp;""&amp;L242&amp;"PE","Bid Rate")</f>
        <v>0.8</v>
      </c>
      <c r="E242" s="63">
        <f>RTD("nest.scriprtd",,"nse_fo|"&amp;$A$229&amp;""&amp;$G$1&amp;""&amp;L242&amp;"PE","Ask Rate")</f>
        <v>0.85</v>
      </c>
      <c r="F242" s="63">
        <f>RTD("nest.scriprtd",,"nse_fo|"&amp;$A$229&amp;""&amp;$G$1&amp;""&amp;L242&amp;"PE","Ask Qty")</f>
        <v>17250</v>
      </c>
      <c r="G242" s="84">
        <f>RTD("nest.scriprtd",,"nse_fo|"&amp;$A$229&amp;""&amp;$G$1&amp;""&amp;L242&amp;"PE","LTP")</f>
        <v>0.8</v>
      </c>
      <c r="H242" s="63">
        <f>RTD("nest.scriprtd",,"nse_fo|"&amp;$A$229&amp;""&amp;$G$1&amp;""&amp;L242&amp;"PE","ATP")</f>
        <v>0.76</v>
      </c>
      <c r="I242" s="63">
        <f>RTD("nest.scriprtd",,"nse_fo|"&amp;$A$229&amp;""&amp;$G$1&amp;""&amp;L242&amp;"PE","Volume Traded Today")</f>
        <v>358800</v>
      </c>
      <c r="J242" s="63">
        <f>RTD("nest.scriprtd",,"nse_fo|"&amp;$A$229&amp;""&amp;$G$1&amp;""&amp;L242&amp;"PE","% Change")</f>
        <v>6.67</v>
      </c>
      <c r="K242" s="63">
        <f>RTD("nest.scriprtd",,"nse_fo|"&amp;$A$229&amp;""&amp;$G$1&amp;""&amp;L242&amp;"PE","Net Change")</f>
        <v>0.05</v>
      </c>
      <c r="L242" s="63">
        <f t="shared" si="109"/>
        <v>420</v>
      </c>
      <c r="M242" s="63" t="str">
        <f>RTD("nest.scriprtd",,"nse_fo|"&amp;$A$229&amp;""&amp;$G$1&amp;""&amp;L242&amp;"PE","Option Type")</f>
        <v>PE</v>
      </c>
      <c r="N242" s="58">
        <f t="shared" si="105"/>
        <v>0.8</v>
      </c>
      <c r="Q242" s="58">
        <f t="shared" si="102"/>
        <v>0</v>
      </c>
      <c r="R242" s="58">
        <f t="shared" si="103"/>
        <v>0</v>
      </c>
      <c r="Z242" s="58">
        <f t="shared" si="104"/>
        <v>0</v>
      </c>
    </row>
    <row r="243" spans="1:27" ht="15" x14ac:dyDescent="0.25">
      <c r="A243" s="63" t="str">
        <f>RTD("nest.scriprtd",,"nse_fo|"&amp;$A$229&amp;""&amp;$G$1&amp;""&amp;L243&amp;"CE","Symbol")</f>
        <v>VEDL</v>
      </c>
      <c r="B243" s="63" t="str">
        <f>RTD("nest.scriprtd",,"nse_fo|"&amp;$A$229&amp;""&amp;$G$1&amp;""&amp;L243&amp;"PE","Series/Expiry")</f>
        <v>26Dec2024</v>
      </c>
      <c r="C243" s="63">
        <f>RTD("nest.scriprtd",,"nse_fo|"&amp;$A$229&amp;""&amp;$G$1&amp;""&amp;L243&amp;"PE","Bid Qty")</f>
        <v>26450</v>
      </c>
      <c r="D243" s="63">
        <f>RTD("nest.scriprtd",,"nse_fo|"&amp;$A$229&amp;""&amp;$G$1&amp;""&amp;L243&amp;"PE","Bid Rate")</f>
        <v>1.05</v>
      </c>
      <c r="E243" s="63">
        <f>RTD("nest.scriprtd",,"nse_fo|"&amp;$A$229&amp;""&amp;$G$1&amp;""&amp;L243&amp;"PE","Ask Rate")</f>
        <v>1.1000000000000001</v>
      </c>
      <c r="F243" s="63">
        <f>RTD("nest.scriprtd",,"nse_fo|"&amp;$A$229&amp;""&amp;$G$1&amp;""&amp;L243&amp;"PE","Ask Qty")</f>
        <v>25300</v>
      </c>
      <c r="G243" s="84">
        <f>RTD("nest.scriprtd",,"nse_fo|"&amp;$A$229&amp;""&amp;$G$1&amp;""&amp;L243&amp;"PE","LTP")</f>
        <v>1.05</v>
      </c>
      <c r="H243" s="63">
        <f>RTD("nest.scriprtd",,"nse_fo|"&amp;$A$229&amp;""&amp;$G$1&amp;""&amp;L243&amp;"PE","ATP")</f>
        <v>1.02</v>
      </c>
      <c r="I243" s="63">
        <f>RTD("nest.scriprtd",,"nse_fo|"&amp;$A$229&amp;""&amp;$G$1&amp;""&amp;L243&amp;"PE","Volume Traded Today")</f>
        <v>842950</v>
      </c>
      <c r="J243" s="63">
        <f>RTD("nest.scriprtd",,"nse_fo|"&amp;$A$229&amp;""&amp;$G$1&amp;""&amp;L243&amp;"PE","% Change")</f>
        <v>10.53</v>
      </c>
      <c r="K243" s="63">
        <f>RTD("nest.scriprtd",,"nse_fo|"&amp;$A$229&amp;""&amp;$G$1&amp;""&amp;L243&amp;"PE","Net Change")</f>
        <v>0.1</v>
      </c>
      <c r="L243" s="63">
        <f t="shared" si="109"/>
        <v>430</v>
      </c>
      <c r="M243" s="63" t="str">
        <f>RTD("nest.scriprtd",,"nse_fo|"&amp;$A$229&amp;""&amp;$G$1&amp;""&amp;L243&amp;"PE","Option Type")</f>
        <v>PE</v>
      </c>
      <c r="N243" s="58">
        <f t="shared" ref="N243:N245" si="110">MIN($S$230,G243)</f>
        <v>1.05</v>
      </c>
      <c r="Q243" s="58">
        <f t="shared" ref="Q243:Q245" si="111">+P243+O243</f>
        <v>0</v>
      </c>
      <c r="R243" s="58">
        <f t="shared" ref="R243:R245" si="112">+Q243*N243</f>
        <v>0</v>
      </c>
      <c r="Z243" s="58">
        <f t="shared" ref="Z243:Z245" si="113">+O243*K243</f>
        <v>0</v>
      </c>
    </row>
    <row r="244" spans="1:27" ht="15" x14ac:dyDescent="0.25">
      <c r="A244" s="63" t="str">
        <f>RTD("nest.scriprtd",,"nse_fo|"&amp;$A$229&amp;""&amp;$G$1&amp;""&amp;L244&amp;"CE","Symbol")</f>
        <v>VEDL</v>
      </c>
      <c r="B244" s="63" t="str">
        <f>RTD("nest.scriprtd",,"nse_fo|"&amp;$A$229&amp;""&amp;$G$1&amp;""&amp;L244&amp;"PE","Series/Expiry")</f>
        <v>26Dec2024</v>
      </c>
      <c r="C244" s="63">
        <f>RTD("nest.scriprtd",,"nse_fo|"&amp;$A$229&amp;""&amp;$G$1&amp;""&amp;L244&amp;"PE","Bid Qty")</f>
        <v>25300</v>
      </c>
      <c r="D244" s="63">
        <f>RTD("nest.scriprtd",,"nse_fo|"&amp;$A$229&amp;""&amp;$G$1&amp;""&amp;L244&amp;"PE","Bid Rate")</f>
        <v>1.45</v>
      </c>
      <c r="E244" s="63">
        <f>RTD("nest.scriprtd",,"nse_fo|"&amp;$A$229&amp;""&amp;$G$1&amp;""&amp;L244&amp;"PE","Ask Rate")</f>
        <v>1.5</v>
      </c>
      <c r="F244" s="63">
        <f>RTD("nest.scriprtd",,"nse_fo|"&amp;$A$229&amp;""&amp;$G$1&amp;""&amp;L244&amp;"PE","Ask Qty")</f>
        <v>13800</v>
      </c>
      <c r="G244" s="84">
        <f>RTD("nest.scriprtd",,"nse_fo|"&amp;$A$229&amp;""&amp;$G$1&amp;""&amp;L244&amp;"PE","LTP")</f>
        <v>1.45</v>
      </c>
      <c r="H244" s="63">
        <f>RTD("nest.scriprtd",,"nse_fo|"&amp;$A$229&amp;""&amp;$G$1&amp;""&amp;L244&amp;"PE","ATP")</f>
        <v>1.39</v>
      </c>
      <c r="I244" s="63">
        <f>RTD("nest.scriprtd",,"nse_fo|"&amp;$A$229&amp;""&amp;$G$1&amp;""&amp;L244&amp;"PE","Volume Traded Today")</f>
        <v>1261550</v>
      </c>
      <c r="J244" s="63">
        <f>RTD("nest.scriprtd",,"nse_fo|"&amp;$A$229&amp;""&amp;$G$1&amp;""&amp;L244&amp;"PE","% Change")</f>
        <v>11.54</v>
      </c>
      <c r="K244" s="63">
        <f>RTD("nest.scriprtd",,"nse_fo|"&amp;$A$229&amp;""&amp;$G$1&amp;""&amp;L244&amp;"PE","Net Change")</f>
        <v>0.15</v>
      </c>
      <c r="L244" s="63">
        <f>+L243+$D$229</f>
        <v>440</v>
      </c>
      <c r="M244" s="63" t="str">
        <f>RTD("nest.scriprtd",,"nse_fo|"&amp;$A$229&amp;""&amp;$G$1&amp;""&amp;L244&amp;"PE","Option Type")</f>
        <v>PE</v>
      </c>
      <c r="N244" s="58">
        <f t="shared" si="110"/>
        <v>1.45</v>
      </c>
      <c r="Q244" s="58">
        <f t="shared" si="111"/>
        <v>0</v>
      </c>
      <c r="R244" s="58">
        <f t="shared" si="112"/>
        <v>0</v>
      </c>
      <c r="Z244" s="58">
        <f t="shared" si="113"/>
        <v>0</v>
      </c>
    </row>
    <row r="245" spans="1:27" ht="15" x14ac:dyDescent="0.25">
      <c r="A245" s="63" t="str">
        <f>RTD("nest.scriprtd",,"nse_fo|"&amp;$A$229&amp;""&amp;$G$1&amp;""&amp;L245&amp;"CE","Symbol")</f>
        <v>VEDL</v>
      </c>
      <c r="B245" s="63" t="str">
        <f>RTD("nest.scriprtd",,"nse_fo|"&amp;$A$229&amp;""&amp;$G$1&amp;""&amp;L245&amp;"PE","Series/Expiry")</f>
        <v>26Dec2024</v>
      </c>
      <c r="C245" s="63">
        <f>RTD("nest.scriprtd",,"nse_fo|"&amp;$A$229&amp;""&amp;$G$1&amp;""&amp;L245&amp;"PE","Bid Qty")</f>
        <v>14950</v>
      </c>
      <c r="D245" s="63">
        <f>RTD("nest.scriprtd",,"nse_fo|"&amp;$A$229&amp;""&amp;$G$1&amp;""&amp;L245&amp;"PE","Bid Rate")</f>
        <v>2.15</v>
      </c>
      <c r="E245" s="63">
        <f>RTD("nest.scriprtd",,"nse_fo|"&amp;$A$229&amp;""&amp;$G$1&amp;""&amp;L245&amp;"PE","Ask Rate")</f>
        <v>2.2000000000000002</v>
      </c>
      <c r="F245" s="63">
        <f>RTD("nest.scriprtd",,"nse_fo|"&amp;$A$229&amp;""&amp;$G$1&amp;""&amp;L245&amp;"PE","Ask Qty")</f>
        <v>24150</v>
      </c>
      <c r="G245" s="84">
        <f>RTD("nest.scriprtd",,"nse_fo|"&amp;$A$229&amp;""&amp;$G$1&amp;""&amp;L245&amp;"PE","LTP")</f>
        <v>2.2000000000000002</v>
      </c>
      <c r="H245" s="63">
        <f>RTD("nest.scriprtd",,"nse_fo|"&amp;$A$229&amp;""&amp;$G$1&amp;""&amp;L245&amp;"PE","ATP")</f>
        <v>2.0099999999999998</v>
      </c>
      <c r="I245" s="63">
        <f>RTD("nest.scriprtd",,"nse_fo|"&amp;$A$229&amp;""&amp;$G$1&amp;""&amp;L245&amp;"PE","Volume Traded Today")</f>
        <v>1771000</v>
      </c>
      <c r="J245" s="63">
        <f>RTD("nest.scriprtd",,"nse_fo|"&amp;$A$229&amp;""&amp;$G$1&amp;""&amp;L245&amp;"PE","% Change")</f>
        <v>22.22</v>
      </c>
      <c r="K245" s="63">
        <f>RTD("nest.scriprtd",,"nse_fo|"&amp;$A$229&amp;""&amp;$G$1&amp;""&amp;L245&amp;"PE","Net Change")</f>
        <v>0.4</v>
      </c>
      <c r="L245" s="63">
        <f t="shared" si="109"/>
        <v>450</v>
      </c>
      <c r="M245" s="63" t="str">
        <f>RTD("nest.scriprtd",,"nse_fo|"&amp;$A$229&amp;""&amp;$G$1&amp;""&amp;L245&amp;"PE","Option Type")</f>
        <v>PE</v>
      </c>
      <c r="N245" s="58">
        <f t="shared" si="110"/>
        <v>2.2000000000000002</v>
      </c>
      <c r="Q245" s="58">
        <f t="shared" si="111"/>
        <v>0</v>
      </c>
      <c r="R245" s="58">
        <f t="shared" si="112"/>
        <v>0</v>
      </c>
      <c r="Z245" s="58">
        <f t="shared" si="113"/>
        <v>0</v>
      </c>
    </row>
    <row r="246" spans="1:27" ht="15" x14ac:dyDescent="0.25">
      <c r="A246" s="63" t="str">
        <f>RTD("nest.scriprtd",,"nse_fo|"&amp;$A$229&amp;""&amp;$G$1&amp;""&amp;L246&amp;"CE","Symbol")</f>
        <v>VEDL</v>
      </c>
      <c r="B246" s="63" t="str">
        <f>RTD("nest.scriprtd",,"nse_fo|"&amp;$A$229&amp;""&amp;$G$1&amp;""&amp;L246&amp;"PE","Series/Expiry")</f>
        <v>26Dec2024</v>
      </c>
      <c r="C246" s="63">
        <f>RTD("nest.scriprtd",,"nse_fo|"&amp;$A$229&amp;""&amp;$G$1&amp;""&amp;L246&amp;"PE","Bid Qty")</f>
        <v>33350</v>
      </c>
      <c r="D246" s="63">
        <f>RTD("nest.scriprtd",,"nse_fo|"&amp;$A$229&amp;""&amp;$G$1&amp;""&amp;L246&amp;"PE","Bid Rate")</f>
        <v>3.2</v>
      </c>
      <c r="E246" s="63">
        <f>RTD("nest.scriprtd",,"nse_fo|"&amp;$A$229&amp;""&amp;$G$1&amp;""&amp;L246&amp;"PE","Ask Rate")</f>
        <v>3.3</v>
      </c>
      <c r="F246" s="63">
        <f>RTD("nest.scriprtd",,"nse_fo|"&amp;$A$229&amp;""&amp;$G$1&amp;""&amp;L246&amp;"PE","Ask Qty")</f>
        <v>31050</v>
      </c>
      <c r="G246" s="84">
        <f>RTD("nest.scriprtd",,"nse_fo|"&amp;$A$229&amp;""&amp;$G$1&amp;""&amp;L246&amp;"PE","LTP")</f>
        <v>3.25</v>
      </c>
      <c r="H246" s="63">
        <f>RTD("nest.scriprtd",,"nse_fo|"&amp;$A$229&amp;""&amp;$G$1&amp;""&amp;L246&amp;"PE","ATP")</f>
        <v>2.96</v>
      </c>
      <c r="I246" s="63">
        <f>RTD("nest.scriprtd",,"nse_fo|"&amp;$A$229&amp;""&amp;$G$1&amp;""&amp;L246&amp;"PE","Volume Traded Today")</f>
        <v>2581750</v>
      </c>
      <c r="J246" s="63">
        <f>RTD("nest.scriprtd",,"nse_fo|"&amp;$A$229&amp;""&amp;$G$1&amp;""&amp;L246&amp;"PE","% Change")</f>
        <v>30</v>
      </c>
      <c r="K246" s="63">
        <f>RTD("nest.scriprtd",,"nse_fo|"&amp;$A$229&amp;""&amp;$G$1&amp;""&amp;L246&amp;"PE","Net Change")</f>
        <v>0.75</v>
      </c>
      <c r="L246" s="63">
        <f>+L245+$D$229</f>
        <v>460</v>
      </c>
      <c r="M246" s="63" t="str">
        <f>RTD("nest.scriprtd",,"nse_fo|"&amp;$A$229&amp;""&amp;$G$1&amp;""&amp;L246&amp;"PE","Option Type")</f>
        <v>PE</v>
      </c>
      <c r="N246" s="58">
        <f t="shared" si="105"/>
        <v>3.25</v>
      </c>
      <c r="Q246" s="58">
        <f t="shared" si="102"/>
        <v>0</v>
      </c>
      <c r="R246" s="58">
        <f t="shared" si="103"/>
        <v>0</v>
      </c>
      <c r="Z246" s="58">
        <f t="shared" si="104"/>
        <v>0</v>
      </c>
    </row>
    <row r="247" spans="1:27" ht="15" x14ac:dyDescent="0.25">
      <c r="A247" s="63" t="str">
        <f>RTD("nest.scriprtd",,"nse_fo|"&amp;$A$229&amp;""&amp;$G$1&amp;""&amp;L247&amp;"CE","Symbol")</f>
        <v>VEDL</v>
      </c>
      <c r="B247" s="63" t="str">
        <f>RTD("nest.scriprtd",,"nse_fo|"&amp;$A$229&amp;""&amp;$G$1&amp;""&amp;L247&amp;"PE","Series/Expiry")</f>
        <v>26Dec2024</v>
      </c>
      <c r="C247" s="63">
        <f>RTD("nest.scriprtd",,"nse_fo|"&amp;$A$229&amp;""&amp;$G$1&amp;""&amp;L247&amp;"PE","Bid Qty")</f>
        <v>3450</v>
      </c>
      <c r="D247" s="63">
        <f>RTD("nest.scriprtd",,"nse_fo|"&amp;$A$229&amp;""&amp;$G$1&amp;""&amp;L247&amp;"PE","Bid Rate")</f>
        <v>5.0999999999999996</v>
      </c>
      <c r="E247" s="63">
        <f>RTD("nest.scriprtd",,"nse_fo|"&amp;$A$229&amp;""&amp;$G$1&amp;""&amp;L247&amp;"PE","Ask Rate")</f>
        <v>5.15</v>
      </c>
      <c r="F247" s="63">
        <f>RTD("nest.scriprtd",,"nse_fo|"&amp;$A$229&amp;""&amp;$G$1&amp;""&amp;L247&amp;"PE","Ask Qty")</f>
        <v>10350</v>
      </c>
      <c r="G247" s="84">
        <f>RTD("nest.scriprtd",,"nse_fo|"&amp;$A$229&amp;""&amp;$G$1&amp;""&amp;L247&amp;"PE","LTP")</f>
        <v>5.05</v>
      </c>
      <c r="H247" s="63">
        <f>RTD("nest.scriprtd",,"nse_fo|"&amp;$A$229&amp;""&amp;$G$1&amp;""&amp;L247&amp;"PE","ATP")</f>
        <v>4.5199999999999996</v>
      </c>
      <c r="I247" s="63">
        <f>RTD("nest.scriprtd",,"nse_fo|"&amp;$A$229&amp;""&amp;$G$1&amp;""&amp;L247&amp;"PE","Volume Traded Today")</f>
        <v>3860550</v>
      </c>
      <c r="J247" s="63">
        <f>RTD("nest.scriprtd",,"nse_fo|"&amp;$A$229&amp;""&amp;$G$1&amp;""&amp;L247&amp;"PE","% Change")</f>
        <v>38.36</v>
      </c>
      <c r="K247" s="63">
        <f>RTD("nest.scriprtd",,"nse_fo|"&amp;$A$229&amp;""&amp;$G$1&amp;""&amp;L247&amp;"PE","Net Change")</f>
        <v>1.4</v>
      </c>
      <c r="L247" s="63">
        <f t="shared" si="109"/>
        <v>470</v>
      </c>
      <c r="M247" s="63" t="str">
        <f>RTD("nest.scriprtd",,"nse_fo|"&amp;$A$229&amp;""&amp;$G$1&amp;""&amp;L247&amp;"PE","Option Type")</f>
        <v>PE</v>
      </c>
      <c r="N247" s="58">
        <f t="shared" si="105"/>
        <v>5.05</v>
      </c>
      <c r="Q247" s="58">
        <f t="shared" si="102"/>
        <v>0</v>
      </c>
      <c r="R247" s="58">
        <f t="shared" si="103"/>
        <v>0</v>
      </c>
      <c r="Z247" s="58">
        <f t="shared" si="104"/>
        <v>0</v>
      </c>
    </row>
    <row r="248" spans="1:27" ht="15" x14ac:dyDescent="0.25">
      <c r="A248" s="63" t="str">
        <f>RTD("nest.scriprtd",,"nse_fo|"&amp;$A$229&amp;""&amp;$G$1&amp;""&amp;L248&amp;"CE","Symbol")</f>
        <v>VEDL</v>
      </c>
      <c r="B248" s="63" t="str">
        <f>RTD("nest.scriprtd",,"nse_fo|"&amp;$A$229&amp;""&amp;$G$1&amp;""&amp;L248&amp;"PE","Series/Expiry")</f>
        <v>26Dec2024</v>
      </c>
      <c r="C248" s="63">
        <f>RTD("nest.scriprtd",,"nse_fo|"&amp;$A$229&amp;""&amp;$G$1&amp;""&amp;L248&amp;"PE","Bid Qty")</f>
        <v>5750</v>
      </c>
      <c r="D248" s="63">
        <f>RTD("nest.scriprtd",,"nse_fo|"&amp;$A$229&amp;""&amp;$G$1&amp;""&amp;L248&amp;"PE","Bid Rate")</f>
        <v>8</v>
      </c>
      <c r="E248" s="63">
        <f>RTD("nest.scriprtd",,"nse_fo|"&amp;$A$229&amp;""&amp;$G$1&amp;""&amp;L248&amp;"PE","Ask Rate")</f>
        <v>8.1</v>
      </c>
      <c r="F248" s="63">
        <f>RTD("nest.scriprtd",,"nse_fo|"&amp;$A$229&amp;""&amp;$G$1&amp;""&amp;L248&amp;"PE","Ask Qty")</f>
        <v>3450</v>
      </c>
      <c r="G248" s="84">
        <f>RTD("nest.scriprtd",,"nse_fo|"&amp;$A$229&amp;""&amp;$G$1&amp;""&amp;L248&amp;"PE","LTP")</f>
        <v>8.25</v>
      </c>
      <c r="H248" s="63">
        <f>RTD("nest.scriprtd",,"nse_fo|"&amp;$A$229&amp;""&amp;$G$1&amp;""&amp;L248&amp;"PE","ATP")</f>
        <v>7.03</v>
      </c>
      <c r="I248" s="63">
        <f>RTD("nest.scriprtd",,"nse_fo|"&amp;$A$229&amp;""&amp;$G$1&amp;""&amp;L248&amp;"PE","Volume Traded Today")</f>
        <v>4577000</v>
      </c>
      <c r="J248" s="63">
        <f>RTD("nest.scriprtd",,"nse_fo|"&amp;$A$229&amp;""&amp;$G$1&amp;""&amp;L248&amp;"PE","% Change")</f>
        <v>51.38</v>
      </c>
      <c r="K248" s="63">
        <f>RTD("nest.scriprtd",,"nse_fo|"&amp;$A$229&amp;""&amp;$G$1&amp;""&amp;L248&amp;"PE","Net Change")</f>
        <v>2.8</v>
      </c>
      <c r="L248" s="63">
        <f t="shared" si="109"/>
        <v>480</v>
      </c>
      <c r="M248" s="63" t="str">
        <f>RTD("nest.scriprtd",,"nse_fo|"&amp;$A$229&amp;""&amp;$G$1&amp;""&amp;L248&amp;"PE","Option Type")</f>
        <v>PE</v>
      </c>
      <c r="N248" s="58">
        <f t="shared" si="105"/>
        <v>8.25</v>
      </c>
      <c r="Q248" s="58">
        <f t="shared" si="102"/>
        <v>0</v>
      </c>
      <c r="R248" s="58">
        <f t="shared" si="103"/>
        <v>0</v>
      </c>
      <c r="S248" s="58">
        <f>+SUM(R230:R240)-SUM(R241:R248)</f>
        <v>0</v>
      </c>
      <c r="T248" s="58">
        <f>SUM(R232:R248)-R243</f>
        <v>0</v>
      </c>
      <c r="U248" s="63" t="e">
        <f>+S248/T248</f>
        <v>#DIV/0!</v>
      </c>
      <c r="Z248" s="58">
        <f t="shared" si="104"/>
        <v>0</v>
      </c>
      <c r="AA248" s="58">
        <f>SUM(Z230:Z248)</f>
        <v>0</v>
      </c>
    </row>
    <row r="251" spans="1:27" ht="15" hidden="1" x14ac:dyDescent="0.25">
      <c r="A251" s="58" t="s">
        <v>128</v>
      </c>
      <c r="B251" s="58" t="str">
        <f>A251&amp;"-EQ"</f>
        <v>UPL-EQ</v>
      </c>
      <c r="C251" s="58" t="s">
        <v>168</v>
      </c>
      <c r="D251" s="63">
        <v>10</v>
      </c>
      <c r="E251" s="57">
        <v>1300</v>
      </c>
      <c r="F251" s="63"/>
      <c r="G251" s="85"/>
      <c r="K251" s="63"/>
      <c r="L251" s="63"/>
      <c r="M251" s="63"/>
    </row>
    <row r="252" spans="1:27" ht="15" hidden="1" x14ac:dyDescent="0.25">
      <c r="A252" s="63" t="str">
        <f>RTD("nest.scriprtd",,"nse_fo|"&amp;$A$251&amp;""&amp;$G$1&amp;""&amp;C251&amp;"","Symbol")</f>
        <v>UPL</v>
      </c>
      <c r="B252" s="63" t="str">
        <f>RTD("nest.scriprtd",,"nse_fo|"&amp;$A$251&amp;""&amp;$G$1&amp;""&amp;C251&amp;"","Series/Expiry")</f>
        <v>26Dec2024</v>
      </c>
      <c r="C252" s="63">
        <f>RTD("nest.scriprtd",,"nse_fo|"&amp;$A$251&amp;""&amp;$G$1&amp;""&amp;C251&amp;"","Bid Qty")</f>
        <v>2710</v>
      </c>
      <c r="D252" s="63">
        <f>RTD("nest.scriprtd",,"nse_fo|"&amp;$A$251&amp;""&amp;$G$1&amp;""&amp;C251&amp;"","Bid Rate")</f>
        <v>558.1</v>
      </c>
      <c r="E252" s="63">
        <f>RTD("nest.scriprtd",,"nse_fo|"&amp;$A$251&amp;""&amp;$G$1&amp;""&amp;C251&amp;"","Ask Rate")</f>
        <v>558.45000000000005</v>
      </c>
      <c r="F252" s="63">
        <f>RTD("nest.scriprtd",,"nse_fo|"&amp;$A$251&amp;""&amp;$G$1&amp;""&amp;C251&amp;"","Ask Qty")</f>
        <v>1355</v>
      </c>
      <c r="G252" s="84">
        <f>RTD("nest.scriprtd",,"nse_fo|"&amp;$A$251&amp;""&amp;$G$1&amp;""&amp;C251&amp;"","LTP")</f>
        <v>558.04999999999995</v>
      </c>
      <c r="H252" s="63">
        <f>RTD("nest.scriprtd",,"nse_fo|"&amp;$A$251&amp;""&amp;$G$1&amp;""&amp;C251&amp;"","ATP")</f>
        <v>556.84</v>
      </c>
      <c r="I252" s="63">
        <f>RTD("nest.scriprtd",,"nse_fo|"&amp;$A$251&amp;""&amp;$G$1&amp;""&amp;C251&amp;"","Volume Traded Today")</f>
        <v>3398340</v>
      </c>
      <c r="J252" s="63">
        <f>RTD("nest.scriprtd",,"nse_fo|"&amp;$A$251&amp;""&amp;$G$1&amp;""&amp;C251&amp;"","% Change")</f>
        <v>-0.99</v>
      </c>
      <c r="K252" s="63">
        <f>RTD("nest.scriprtd",,"nse_fo|"&amp;$A$251&amp;""&amp;$G$1&amp;""&amp;C251&amp;"","Net Change")</f>
        <v>-5.6</v>
      </c>
      <c r="L252" s="63">
        <f>RTD("nest.scriprtd",,"nse_fo|"&amp;$A$251&amp;""&amp;$G$1&amp;""&amp;C251&amp;"","Strike Price")</f>
        <v>0</v>
      </c>
      <c r="M252" s="63"/>
      <c r="N252" s="58">
        <f>MIN($S$252,G252)</f>
        <v>25.4</v>
      </c>
      <c r="Q252" s="58">
        <f t="shared" ref="Q252:Q269" si="114">+P252+O252</f>
        <v>0</v>
      </c>
      <c r="R252" s="58">
        <f t="shared" ref="R252:R269" si="115">+Q252*N252</f>
        <v>0</v>
      </c>
      <c r="S252" s="58">
        <f>+$Q$2*T252</f>
        <v>25.4</v>
      </c>
      <c r="T252" s="80">
        <f>+FACTOR!O27</f>
        <v>25.4</v>
      </c>
      <c r="Z252" s="58">
        <f t="shared" ref="Z252:Z269" si="116">+O252*K252</f>
        <v>0</v>
      </c>
    </row>
    <row r="253" spans="1:27" ht="15" hidden="1" x14ac:dyDescent="0.25">
      <c r="A253" s="63" t="str">
        <f>RTD("nest.scriprtd",,"nse_cm|"&amp;B251&amp;"","Symbol")</f>
        <v>UPL</v>
      </c>
      <c r="B253" s="63" t="str">
        <f>RTD("nest.scriprtd",,"nse_cm|"&amp;B251&amp;"","Series/Expiry")</f>
        <v>EQ</v>
      </c>
      <c r="C253" s="63">
        <f>RTD("nest.scriprtd",,"nse_cm|"&amp;B251&amp;"","Bid Qty")</f>
        <v>79</v>
      </c>
      <c r="D253" s="63">
        <f>RTD("nest.scriprtd",,"nse_cm|"&amp;B251&amp;"","Bid Rate")</f>
        <v>557.54999999999995</v>
      </c>
      <c r="E253" s="63">
        <f>RTD("nest.scriprtd",,"nse_cm|"&amp;B251&amp;"","Ask Rate")</f>
        <v>557.9</v>
      </c>
      <c r="F253" s="63">
        <f>RTD("nest.scriprtd",,"nse_cm|"&amp;B251&amp;"","Ask Qty")</f>
        <v>197</v>
      </c>
      <c r="G253" s="84">
        <f>RTD("nest.scriprtd",,"nse_cm|"&amp;B251&amp;"","LTP")</f>
        <v>557.95000000000005</v>
      </c>
      <c r="H253" s="63">
        <f>RTD("nest.scriprtd",,"nse_cm|"&amp;B251&amp;"","ATP")</f>
        <v>556.59</v>
      </c>
      <c r="I253" s="63">
        <f>RTD("nest.scriprtd",,"nse_cm|"&amp;B251&amp;"","Volume Traded Today")</f>
        <v>1626171</v>
      </c>
      <c r="J253" s="63">
        <f>RTD("nest.scriprtd",,"nse_cm|"&amp;B251&amp;"","% Change")</f>
        <v>-0.84</v>
      </c>
      <c r="K253" s="63">
        <f>RTD("nest.scriprtd",,"nse_cm|"&amp;B251&amp;"","Net Change")</f>
        <v>-4.7</v>
      </c>
      <c r="L253" s="63">
        <f>RTD("nest.scriprtd",,"nse_cm|"&amp;B251&amp;"","Strike Price")</f>
        <v>0</v>
      </c>
      <c r="M253" s="63"/>
      <c r="N253" s="58">
        <f t="shared" ref="N253:N269" si="117">MIN($S$252,G253)</f>
        <v>25.4</v>
      </c>
      <c r="Q253" s="58">
        <f t="shared" si="114"/>
        <v>0</v>
      </c>
      <c r="R253" s="58">
        <f t="shared" si="115"/>
        <v>0</v>
      </c>
      <c r="Z253" s="58">
        <f t="shared" si="116"/>
        <v>0</v>
      </c>
    </row>
    <row r="254" spans="1:27" ht="15" hidden="1" x14ac:dyDescent="0.25">
      <c r="A254" s="63" t="str">
        <f>RTD("nest.scriprtd",,"nse_fo|"&amp;$A$251&amp;""&amp;$G$1&amp;""&amp;L254&amp;"CE","Symbol")</f>
        <v>UPL</v>
      </c>
      <c r="B254" s="63" t="str">
        <f>RTD("nest.scriprtd",,"nse_fo|"&amp;$A$251&amp;""&amp;$G$1&amp;""&amp;L254&amp;"CE","Series/Expiry")</f>
        <v>26Dec2024</v>
      </c>
      <c r="C254" s="63">
        <f>RTD("nest.scriprtd",,"nse_fo|"&amp;$A$251&amp;""&amp;$G$1&amp;""&amp;L254&amp;"CE","Bid Qty")</f>
        <v>6775</v>
      </c>
      <c r="D254" s="63">
        <f>RTD("nest.scriprtd",,"nse_fo|"&amp;$A$251&amp;""&amp;$G$1&amp;""&amp;L254&amp;"CE","Bid Rate")</f>
        <v>4.8499999999999996</v>
      </c>
      <c r="E254" s="63">
        <f>RTD("nest.scriprtd",,"nse_fo|"&amp;$A$251&amp;""&amp;$G$1&amp;""&amp;L254&amp;"CE","Ask Rate")</f>
        <v>4.95</v>
      </c>
      <c r="F254" s="63">
        <f>RTD("nest.scriprtd",,"nse_fo|"&amp;$A$251&amp;""&amp;$G$1&amp;""&amp;L254&amp;"CE","Ask Qty")</f>
        <v>8130</v>
      </c>
      <c r="G254" s="84">
        <f>RTD("nest.scriprtd",,"nse_fo|"&amp;$A$251&amp;""&amp;$G$1&amp;""&amp;L254&amp;"CE","LTP")</f>
        <v>5.0999999999999996</v>
      </c>
      <c r="H254" s="63">
        <f>RTD("nest.scriprtd",,"nse_fo|"&amp;$A$251&amp;""&amp;$G$1&amp;""&amp;L254&amp;"CE","ATP")</f>
        <v>4.79</v>
      </c>
      <c r="I254" s="63">
        <f>RTD("nest.scriprtd",,"nse_fo|"&amp;$A$251&amp;""&amp;$G$1&amp;""&amp;L254&amp;"CE","Volume Traded Today")</f>
        <v>884815</v>
      </c>
      <c r="J254" s="63">
        <f>RTD("nest.scriprtd",,"nse_fo|"&amp;$A$251&amp;""&amp;$G$1&amp;""&amp;L254&amp;"CE","% Change")</f>
        <v>-23.88</v>
      </c>
      <c r="K254" s="63">
        <f>RTD("nest.scriprtd",,"nse_fo|"&amp;$A$251&amp;""&amp;$G$1&amp;""&amp;L254&amp;"CE","Net Change")</f>
        <v>-1.6</v>
      </c>
      <c r="L254" s="63">
        <v>580</v>
      </c>
      <c r="M254" s="95" t="str">
        <f>RTD("nest.scriprtd",,"nse_fo|"&amp;$A$251&amp;""&amp;$G$1&amp;""&amp;L254&amp;"CE","Option Type")</f>
        <v>CE</v>
      </c>
      <c r="N254" s="58">
        <f t="shared" si="117"/>
        <v>5.0999999999999996</v>
      </c>
      <c r="Q254" s="58">
        <f t="shared" ref="Q254:Q264" si="118">+P254+O254</f>
        <v>0</v>
      </c>
      <c r="R254" s="58">
        <f t="shared" ref="R254:R264" si="119">+Q254*N254</f>
        <v>0</v>
      </c>
      <c r="Z254" s="58">
        <f t="shared" si="116"/>
        <v>0</v>
      </c>
    </row>
    <row r="255" spans="1:27" ht="15" hidden="1" x14ac:dyDescent="0.25">
      <c r="A255" s="63" t="str">
        <f>RTD("nest.scriprtd",,"nse_fo|"&amp;$A$251&amp;""&amp;$G$1&amp;""&amp;L255&amp;"CE","Symbol")</f>
        <v>UPL</v>
      </c>
      <c r="B255" s="63" t="str">
        <f>RTD("nest.scriprtd",,"nse_fo|"&amp;$A$251&amp;""&amp;$G$1&amp;""&amp;L255&amp;"CE","Series/Expiry")</f>
        <v>26Dec2024</v>
      </c>
      <c r="C255" s="63">
        <f>RTD("nest.scriprtd",,"nse_fo|"&amp;$A$251&amp;""&amp;$G$1&amp;""&amp;L255&amp;"CE","Bid Qty")</f>
        <v>5420</v>
      </c>
      <c r="D255" s="63">
        <f>RTD("nest.scriprtd",,"nse_fo|"&amp;$A$251&amp;""&amp;$G$1&amp;""&amp;L255&amp;"CE","Bid Rate")</f>
        <v>2.95</v>
      </c>
      <c r="E255" s="63">
        <f>RTD("nest.scriprtd",,"nse_fo|"&amp;$A$251&amp;""&amp;$G$1&amp;""&amp;L255&amp;"CE","Ask Rate")</f>
        <v>3</v>
      </c>
      <c r="F255" s="63">
        <f>RTD("nest.scriprtd",,"nse_fo|"&amp;$A$251&amp;""&amp;$G$1&amp;""&amp;L255&amp;"CE","Ask Qty")</f>
        <v>5420</v>
      </c>
      <c r="G255" s="84">
        <f>RTD("nest.scriprtd",,"nse_fo|"&amp;$A$251&amp;""&amp;$G$1&amp;""&amp;L255&amp;"CE","LTP")</f>
        <v>3</v>
      </c>
      <c r="H255" s="63">
        <f>RTD("nest.scriprtd",,"nse_fo|"&amp;$A$251&amp;""&amp;$G$1&amp;""&amp;L255&amp;"CE","ATP")</f>
        <v>2.9</v>
      </c>
      <c r="I255" s="63">
        <f>RTD("nest.scriprtd",,"nse_fo|"&amp;$A$251&amp;""&amp;$G$1&amp;""&amp;L255&amp;"CE","Volume Traded Today")</f>
        <v>573165</v>
      </c>
      <c r="J255" s="63">
        <f>RTD("nest.scriprtd",,"nse_fo|"&amp;$A$251&amp;""&amp;$G$1&amp;""&amp;L255&amp;"CE","% Change")</f>
        <v>-28.57</v>
      </c>
      <c r="K255" s="63">
        <f>RTD("nest.scriprtd",,"nse_fo|"&amp;$A$251&amp;""&amp;$G$1&amp;""&amp;L255&amp;"CE","Net Change")</f>
        <v>-1.2</v>
      </c>
      <c r="L255" s="63">
        <f>+L254+$D$251</f>
        <v>590</v>
      </c>
      <c r="M255" s="63" t="str">
        <f>RTD("nest.scriprtd",,"nse_fo|"&amp;$A$251&amp;""&amp;$G$1&amp;""&amp;L255&amp;"CE","Option Type")</f>
        <v>CE</v>
      </c>
      <c r="N255" s="58">
        <f t="shared" si="117"/>
        <v>3</v>
      </c>
      <c r="Q255" s="58">
        <f t="shared" si="118"/>
        <v>0</v>
      </c>
      <c r="R255" s="58">
        <f t="shared" si="119"/>
        <v>0</v>
      </c>
      <c r="Z255" s="58">
        <f t="shared" si="116"/>
        <v>0</v>
      </c>
    </row>
    <row r="256" spans="1:27" ht="15" hidden="1" x14ac:dyDescent="0.25">
      <c r="A256" s="63" t="str">
        <f>RTD("nest.scriprtd",,"nse_fo|"&amp;$A$251&amp;""&amp;$G$1&amp;""&amp;L256&amp;"CE","Symbol")</f>
        <v>UPL</v>
      </c>
      <c r="B256" s="63" t="str">
        <f>RTD("nest.scriprtd",,"nse_fo|"&amp;$A$251&amp;""&amp;$G$1&amp;""&amp;L256&amp;"CE","Series/Expiry")</f>
        <v>26Dec2024</v>
      </c>
      <c r="C256" s="63">
        <f>RTD("nest.scriprtd",,"nse_fo|"&amp;$A$251&amp;""&amp;$G$1&amp;""&amp;L256&amp;"CE","Bid Qty")</f>
        <v>4065</v>
      </c>
      <c r="D256" s="63">
        <f>RTD("nest.scriprtd",,"nse_fo|"&amp;$A$251&amp;""&amp;$G$1&amp;""&amp;L256&amp;"CE","Bid Rate")</f>
        <v>1.8</v>
      </c>
      <c r="E256" s="63">
        <f>RTD("nest.scriprtd",,"nse_fo|"&amp;$A$251&amp;""&amp;$G$1&amp;""&amp;L256&amp;"CE","Ask Rate")</f>
        <v>1.85</v>
      </c>
      <c r="F256" s="63">
        <f>RTD("nest.scriprtd",,"nse_fo|"&amp;$A$251&amp;""&amp;$G$1&amp;""&amp;L256&amp;"CE","Ask Qty")</f>
        <v>17615</v>
      </c>
      <c r="G256" s="84">
        <f>RTD("nest.scriprtd",,"nse_fo|"&amp;$A$251&amp;""&amp;$G$1&amp;""&amp;L256&amp;"CE","LTP")</f>
        <v>1.85</v>
      </c>
      <c r="H256" s="63">
        <f>RTD("nest.scriprtd",,"nse_fo|"&amp;$A$251&amp;""&amp;$G$1&amp;""&amp;L256&amp;"CE","ATP")</f>
        <v>1.83</v>
      </c>
      <c r="I256" s="63">
        <f>RTD("nest.scriprtd",,"nse_fo|"&amp;$A$251&amp;""&amp;$G$1&amp;""&amp;L256&amp;"CE","Volume Traded Today")</f>
        <v>367205</v>
      </c>
      <c r="J256" s="63">
        <f>RTD("nest.scriprtd",,"nse_fo|"&amp;$A$251&amp;""&amp;$G$1&amp;""&amp;L256&amp;"CE","% Change")</f>
        <v>-27.45</v>
      </c>
      <c r="K256" s="63">
        <f>RTD("nest.scriprtd",,"nse_fo|"&amp;$A$251&amp;""&amp;$G$1&amp;""&amp;L256&amp;"CE","Net Change")</f>
        <v>-0.7</v>
      </c>
      <c r="L256" s="63">
        <f t="shared" ref="L256:L264" si="120">+L255+$D$251</f>
        <v>600</v>
      </c>
      <c r="M256" s="63" t="str">
        <f>RTD("nest.scriprtd",,"nse_fo|"&amp;$A$251&amp;""&amp;$G$1&amp;""&amp;L256&amp;"CE","Option Type")</f>
        <v>CE</v>
      </c>
      <c r="N256" s="58">
        <f t="shared" si="117"/>
        <v>1.85</v>
      </c>
      <c r="Q256" s="58">
        <f t="shared" si="118"/>
        <v>0</v>
      </c>
      <c r="R256" s="58">
        <f t="shared" si="119"/>
        <v>0</v>
      </c>
      <c r="Z256" s="58">
        <f t="shared" si="116"/>
        <v>0</v>
      </c>
    </row>
    <row r="257" spans="1:27" ht="15" hidden="1" x14ac:dyDescent="0.25">
      <c r="A257" s="63" t="str">
        <f>RTD("nest.scriprtd",,"nse_fo|"&amp;$A$251&amp;""&amp;$G$1&amp;""&amp;L257&amp;"CE","Symbol")</f>
        <v>UPL</v>
      </c>
      <c r="B257" s="63" t="str">
        <f>RTD("nest.scriprtd",,"nse_fo|"&amp;$A$251&amp;""&amp;$G$1&amp;""&amp;L257&amp;"CE","Series/Expiry")</f>
        <v>26Dec2024</v>
      </c>
      <c r="C257" s="63">
        <f>RTD("nest.scriprtd",,"nse_fo|"&amp;$A$251&amp;""&amp;$G$1&amp;""&amp;L257&amp;"CE","Bid Qty")</f>
        <v>16260</v>
      </c>
      <c r="D257" s="63">
        <f>RTD("nest.scriprtd",,"nse_fo|"&amp;$A$251&amp;""&amp;$G$1&amp;""&amp;L257&amp;"CE","Bid Rate")</f>
        <v>1.05</v>
      </c>
      <c r="E257" s="63">
        <f>RTD("nest.scriprtd",,"nse_fo|"&amp;$A$251&amp;""&amp;$G$1&amp;""&amp;L257&amp;"CE","Ask Rate")</f>
        <v>1.1499999999999999</v>
      </c>
      <c r="F257" s="63">
        <f>RTD("nest.scriprtd",,"nse_fo|"&amp;$A$251&amp;""&amp;$G$1&amp;""&amp;L257&amp;"CE","Ask Qty")</f>
        <v>18970</v>
      </c>
      <c r="G257" s="84">
        <f>RTD("nest.scriprtd",,"nse_fo|"&amp;$A$251&amp;""&amp;$G$1&amp;""&amp;L257&amp;"CE","LTP")</f>
        <v>1.1499999999999999</v>
      </c>
      <c r="H257" s="63">
        <f>RTD("nest.scriprtd",,"nse_fo|"&amp;$A$251&amp;""&amp;$G$1&amp;""&amp;L257&amp;"CE","ATP")</f>
        <v>1.1000000000000001</v>
      </c>
      <c r="I257" s="63">
        <f>RTD("nest.scriprtd",,"nse_fo|"&amp;$A$251&amp;""&amp;$G$1&amp;""&amp;L257&amp;"CE","Volume Traded Today")</f>
        <v>65040</v>
      </c>
      <c r="J257" s="63">
        <f>RTD("nest.scriprtd",,"nse_fo|"&amp;$A$251&amp;""&amp;$G$1&amp;""&amp;L257&amp;"CE","% Change")</f>
        <v>-20.69</v>
      </c>
      <c r="K257" s="63">
        <f>RTD("nest.scriprtd",,"nse_fo|"&amp;$A$251&amp;""&amp;$G$1&amp;""&amp;L257&amp;"CE","Net Change")</f>
        <v>-0.3</v>
      </c>
      <c r="L257" s="63">
        <f t="shared" si="120"/>
        <v>610</v>
      </c>
      <c r="M257" s="63" t="str">
        <f>RTD("nest.scriprtd",,"nse_fo|"&amp;$A$251&amp;""&amp;$G$1&amp;""&amp;L257&amp;"CE","Option Type")</f>
        <v>CE</v>
      </c>
      <c r="N257" s="58">
        <f t="shared" si="117"/>
        <v>1.1499999999999999</v>
      </c>
      <c r="Q257" s="58">
        <f t="shared" si="118"/>
        <v>0</v>
      </c>
      <c r="R257" s="58">
        <f t="shared" si="119"/>
        <v>0</v>
      </c>
      <c r="Z257" s="58">
        <f t="shared" si="116"/>
        <v>0</v>
      </c>
    </row>
    <row r="258" spans="1:27" ht="15" hidden="1" x14ac:dyDescent="0.25">
      <c r="A258" s="63" t="str">
        <f>RTD("nest.scriprtd",,"nse_fo|"&amp;$A$251&amp;""&amp;$G$1&amp;""&amp;L258&amp;"CE","Symbol")</f>
        <v>UPL</v>
      </c>
      <c r="B258" s="63" t="str">
        <f>RTD("nest.scriprtd",,"nse_fo|"&amp;$A$251&amp;""&amp;$G$1&amp;""&amp;L258&amp;"CE","Series/Expiry")</f>
        <v>26Dec2024</v>
      </c>
      <c r="C258" s="63">
        <f>RTD("nest.scriprtd",,"nse_fo|"&amp;$A$251&amp;""&amp;$G$1&amp;""&amp;L258&amp;"CE","Bid Qty")</f>
        <v>1355</v>
      </c>
      <c r="D258" s="63">
        <f>RTD("nest.scriprtd",,"nse_fo|"&amp;$A$251&amp;""&amp;$G$1&amp;""&amp;L258&amp;"CE","Bid Rate")</f>
        <v>0.7</v>
      </c>
      <c r="E258" s="63">
        <f>RTD("nest.scriprtd",,"nse_fo|"&amp;$A$251&amp;""&amp;$G$1&amp;""&amp;L258&amp;"CE","Ask Rate")</f>
        <v>0.8</v>
      </c>
      <c r="F258" s="63">
        <f>RTD("nest.scriprtd",,"nse_fo|"&amp;$A$251&amp;""&amp;$G$1&amp;""&amp;L258&amp;"CE","Ask Qty")</f>
        <v>17615</v>
      </c>
      <c r="G258" s="84">
        <f>RTD("nest.scriprtd",,"nse_fo|"&amp;$A$251&amp;""&amp;$G$1&amp;""&amp;L258&amp;"CE","LTP")</f>
        <v>0.75</v>
      </c>
      <c r="H258" s="63">
        <f>RTD("nest.scriprtd",,"nse_fo|"&amp;$A$251&amp;""&amp;$G$1&amp;""&amp;L258&amp;"CE","ATP")</f>
        <v>0.7</v>
      </c>
      <c r="I258" s="63">
        <f>RTD("nest.scriprtd",,"nse_fo|"&amp;$A$251&amp;""&amp;$G$1&amp;""&amp;L258&amp;"CE","Volume Traded Today")</f>
        <v>158535</v>
      </c>
      <c r="J258" s="63">
        <f>RTD("nest.scriprtd",,"nse_fo|"&amp;$A$251&amp;""&amp;$G$1&amp;""&amp;L258&amp;"CE","% Change")</f>
        <v>-25</v>
      </c>
      <c r="K258" s="63">
        <f>RTD("nest.scriprtd",,"nse_fo|"&amp;$A$251&amp;""&amp;$G$1&amp;""&amp;L258&amp;"CE","Net Change")</f>
        <v>-0.25</v>
      </c>
      <c r="L258" s="63">
        <f t="shared" si="120"/>
        <v>620</v>
      </c>
      <c r="M258" s="63" t="str">
        <f>RTD("nest.scriprtd",,"nse_fo|"&amp;$A$251&amp;""&amp;$G$1&amp;""&amp;L258&amp;"CE","Option Type")</f>
        <v>CE</v>
      </c>
      <c r="N258" s="58">
        <f t="shared" si="117"/>
        <v>0.75</v>
      </c>
      <c r="Q258" s="58">
        <f t="shared" si="118"/>
        <v>0</v>
      </c>
      <c r="R258" s="58">
        <f t="shared" si="119"/>
        <v>0</v>
      </c>
      <c r="Z258" s="58">
        <f t="shared" si="116"/>
        <v>0</v>
      </c>
    </row>
    <row r="259" spans="1:27" ht="15" hidden="1" x14ac:dyDescent="0.25">
      <c r="A259" s="63" t="str">
        <f>RTD("nest.scriprtd",,"nse_fo|"&amp;$A$251&amp;""&amp;$G$1&amp;""&amp;L259&amp;"CE","Symbol")</f>
        <v>UPL</v>
      </c>
      <c r="B259" s="63" t="str">
        <f>RTD("nest.scriprtd",,"nse_fo|"&amp;$A$251&amp;""&amp;$G$1&amp;""&amp;L259&amp;"CE","Series/Expiry")</f>
        <v>26Dec2024</v>
      </c>
      <c r="C259" s="63">
        <f>RTD("nest.scriprtd",,"nse_fo|"&amp;$A$251&amp;""&amp;$G$1&amp;""&amp;L259&amp;"CE","Bid Qty")</f>
        <v>20325</v>
      </c>
      <c r="D259" s="63">
        <f>RTD("nest.scriprtd",,"nse_fo|"&amp;$A$251&amp;""&amp;$G$1&amp;""&amp;L259&amp;"CE","Bid Rate")</f>
        <v>0.1</v>
      </c>
      <c r="E259" s="63">
        <f>RTD("nest.scriprtd",,"nse_fo|"&amp;$A$251&amp;""&amp;$G$1&amp;""&amp;L259&amp;"CE","Ask Rate")</f>
        <v>1.75</v>
      </c>
      <c r="F259" s="63">
        <f>RTD("nest.scriprtd",,"nse_fo|"&amp;$A$251&amp;""&amp;$G$1&amp;""&amp;L259&amp;"CE","Ask Qty")</f>
        <v>5420</v>
      </c>
      <c r="G259" s="84">
        <f>RTD("nest.scriprtd",,"nse_fo|"&amp;$A$251&amp;""&amp;$G$1&amp;""&amp;L259&amp;"CE","LTP")</f>
        <v>0</v>
      </c>
      <c r="H259" s="63">
        <f>RTD("nest.scriprtd",,"nse_fo|"&amp;$A$251&amp;""&amp;$G$1&amp;""&amp;L259&amp;"CE","ATP")</f>
        <v>0</v>
      </c>
      <c r="I259" s="63">
        <f>RTD("nest.scriprtd",,"nse_fo|"&amp;$A$251&amp;""&amp;$G$1&amp;""&amp;L259&amp;"CE","Volume Traded Today")</f>
        <v>0</v>
      </c>
      <c r="J259" s="63">
        <f>RTD("nest.scriprtd",,"nse_fo|"&amp;$A$251&amp;""&amp;$G$1&amp;""&amp;L259&amp;"CE","% Change")</f>
        <v>-100</v>
      </c>
      <c r="K259" s="63">
        <f>RTD("nest.scriprtd",,"nse_fo|"&amp;$A$251&amp;""&amp;$G$1&amp;""&amp;L259&amp;"CE","Net Change")</f>
        <v>0</v>
      </c>
      <c r="L259" s="63">
        <f t="shared" si="120"/>
        <v>630</v>
      </c>
      <c r="M259" s="63" t="str">
        <f>RTD("nest.scriprtd",,"nse_fo|"&amp;$A$251&amp;""&amp;$G$1&amp;""&amp;L259&amp;"CE","Option Type")</f>
        <v>CE</v>
      </c>
      <c r="N259" s="58">
        <f t="shared" si="117"/>
        <v>0</v>
      </c>
      <c r="Q259" s="58">
        <f t="shared" si="118"/>
        <v>0</v>
      </c>
      <c r="R259" s="58">
        <f t="shared" si="119"/>
        <v>0</v>
      </c>
      <c r="Z259" s="58">
        <f t="shared" si="116"/>
        <v>0</v>
      </c>
    </row>
    <row r="260" spans="1:27" ht="15" hidden="1" x14ac:dyDescent="0.25">
      <c r="A260" s="63" t="str">
        <f>RTD("nest.scriprtd",,"nse_fo|"&amp;$A$251&amp;""&amp;$G$1&amp;""&amp;L260&amp;"CE","Symbol")</f>
        <v>UPL</v>
      </c>
      <c r="B260" s="63" t="str">
        <f>RTD("nest.scriprtd",,"nse_fo|"&amp;$A$251&amp;""&amp;$G$1&amp;""&amp;L260&amp;"CE","Series/Expiry")</f>
        <v>26Dec2024</v>
      </c>
      <c r="C260" s="63">
        <f>RTD("nest.scriprtd",,"nse_fo|"&amp;$A$251&amp;""&amp;$G$1&amp;""&amp;L260&amp;"CE","Bid Qty")</f>
        <v>10840</v>
      </c>
      <c r="D260" s="63">
        <f>RTD("nest.scriprtd",,"nse_fo|"&amp;$A$251&amp;""&amp;$G$1&amp;""&amp;L260&amp;"CE","Bid Rate")</f>
        <v>0.2</v>
      </c>
      <c r="E260" s="63">
        <f>RTD("nest.scriprtd",,"nse_fo|"&amp;$A$251&amp;""&amp;$G$1&amp;""&amp;L260&amp;"CE","Ask Rate")</f>
        <v>0.65</v>
      </c>
      <c r="F260" s="63">
        <f>RTD("nest.scriprtd",,"nse_fo|"&amp;$A$251&amp;""&amp;$G$1&amp;""&amp;L260&amp;"CE","Ask Qty")</f>
        <v>1355</v>
      </c>
      <c r="G260" s="84">
        <f>RTD("nest.scriprtd",,"nse_fo|"&amp;$A$251&amp;""&amp;$G$1&amp;""&amp;L260&amp;"CE","LTP")</f>
        <v>0.65</v>
      </c>
      <c r="H260" s="63">
        <f>RTD("nest.scriprtd",,"nse_fo|"&amp;$A$251&amp;""&amp;$G$1&amp;""&amp;L260&amp;"CE","ATP")</f>
        <v>0</v>
      </c>
      <c r="I260" s="63">
        <f>RTD("nest.scriprtd",,"nse_fo|"&amp;$A$251&amp;""&amp;$G$1&amp;""&amp;L260&amp;"CE","Volume Traded Today")</f>
        <v>0</v>
      </c>
      <c r="J260" s="63">
        <f>RTD("nest.scriprtd",,"nse_fo|"&amp;$A$251&amp;""&amp;$G$1&amp;""&amp;L260&amp;"CE","% Change")</f>
        <v>0</v>
      </c>
      <c r="K260" s="63">
        <f>RTD("nest.scriprtd",,"nse_fo|"&amp;$A$251&amp;""&amp;$G$1&amp;""&amp;L260&amp;"CE","Net Change")</f>
        <v>0</v>
      </c>
      <c r="L260" s="63">
        <f t="shared" si="120"/>
        <v>640</v>
      </c>
      <c r="M260" s="63" t="str">
        <f>RTD("nest.scriprtd",,"nse_fo|"&amp;$A$251&amp;""&amp;$G$1&amp;""&amp;L260&amp;"CE","Option Type")</f>
        <v>CE</v>
      </c>
      <c r="N260" s="58">
        <f t="shared" si="117"/>
        <v>0.65</v>
      </c>
      <c r="Q260" s="58">
        <f t="shared" si="118"/>
        <v>0</v>
      </c>
      <c r="R260" s="58">
        <f t="shared" si="119"/>
        <v>0</v>
      </c>
      <c r="Z260" s="58">
        <f t="shared" si="116"/>
        <v>0</v>
      </c>
    </row>
    <row r="261" spans="1:27" ht="15" hidden="1" x14ac:dyDescent="0.25">
      <c r="A261" s="63" t="e">
        <f>RTD("nest.scriprtd",,"nse_fo|"&amp;$A$251&amp;""&amp;$G$1&amp;""&amp;L261&amp;"CE","Symbol")</f>
        <v>#N/A</v>
      </c>
      <c r="B261" s="63" t="e">
        <f>RTD("nest.scriprtd",,"nse_fo|"&amp;$A$251&amp;""&amp;$G$1&amp;""&amp;L261&amp;"CE","Series/Expiry")</f>
        <v>#N/A</v>
      </c>
      <c r="C261" s="63" t="e">
        <f>RTD("nest.scriprtd",,"nse_fo|"&amp;$A$251&amp;""&amp;$G$1&amp;""&amp;L261&amp;"CE","Bid Qty")</f>
        <v>#N/A</v>
      </c>
      <c r="D261" s="63" t="e">
        <f>RTD("nest.scriprtd",,"nse_fo|"&amp;$A$251&amp;""&amp;$G$1&amp;""&amp;L261&amp;"CE","Bid Rate")</f>
        <v>#N/A</v>
      </c>
      <c r="E261" s="63" t="e">
        <f>RTD("nest.scriprtd",,"nse_fo|"&amp;$A$251&amp;""&amp;$G$1&amp;""&amp;L261&amp;"CE","Ask Rate")</f>
        <v>#N/A</v>
      </c>
      <c r="F261" s="63" t="e">
        <f>RTD("nest.scriprtd",,"nse_fo|"&amp;$A$251&amp;""&amp;$G$1&amp;""&amp;L261&amp;"CE","Ask Qty")</f>
        <v>#N/A</v>
      </c>
      <c r="G261" s="84" t="e">
        <f>RTD("nest.scriprtd",,"nse_fo|"&amp;$A$251&amp;""&amp;$G$1&amp;""&amp;L261&amp;"CE","LTP")</f>
        <v>#N/A</v>
      </c>
      <c r="H261" s="63" t="e">
        <f>RTD("nest.scriprtd",,"nse_fo|"&amp;$A$251&amp;""&amp;$G$1&amp;""&amp;L261&amp;"CE","ATP")</f>
        <v>#N/A</v>
      </c>
      <c r="I261" s="63" t="e">
        <f>RTD("nest.scriprtd",,"nse_fo|"&amp;$A$251&amp;""&amp;$G$1&amp;""&amp;L261&amp;"CE","Volume Traded Today")</f>
        <v>#N/A</v>
      </c>
      <c r="J261" s="63" t="e">
        <f>RTD("nest.scriprtd",,"nse_fo|"&amp;$A$251&amp;""&amp;$G$1&amp;""&amp;L261&amp;"CE","% Change")</f>
        <v>#N/A</v>
      </c>
      <c r="K261" s="63" t="e">
        <f>RTD("nest.scriprtd",,"nse_fo|"&amp;$A$251&amp;""&amp;$G$1&amp;""&amp;L261&amp;"CE","Net Change")</f>
        <v>#N/A</v>
      </c>
      <c r="L261" s="63">
        <f t="shared" si="120"/>
        <v>650</v>
      </c>
      <c r="M261" s="63" t="e">
        <f>RTD("nest.scriprtd",,"nse_fo|"&amp;$A$251&amp;""&amp;$G$1&amp;""&amp;L261&amp;"CE","Option Type")</f>
        <v>#N/A</v>
      </c>
      <c r="N261" s="58" t="e">
        <f t="shared" ref="N261:N263" si="121">MIN($S$252,G261)</f>
        <v>#N/A</v>
      </c>
      <c r="Q261" s="58">
        <f t="shared" ref="Q261:Q263" si="122">+P261+O261</f>
        <v>0</v>
      </c>
      <c r="R261" s="58" t="e">
        <f t="shared" ref="R261:R263" si="123">+Q261*N261</f>
        <v>#N/A</v>
      </c>
      <c r="Z261" s="58" t="e">
        <f t="shared" ref="Z261:Z263" si="124">+O261*K261</f>
        <v>#N/A</v>
      </c>
    </row>
    <row r="262" spans="1:27" ht="15" hidden="1" x14ac:dyDescent="0.25">
      <c r="A262" s="63" t="str">
        <f>RTD("nest.scriprtd",,"nse_fo|"&amp;$A$251&amp;""&amp;$G$1&amp;""&amp;L262&amp;"CE","Symbol")</f>
        <v>UPL</v>
      </c>
      <c r="B262" s="63" t="str">
        <f>RTD("nest.scriprtd",,"nse_fo|"&amp;$A$251&amp;""&amp;$G$1&amp;""&amp;L262&amp;"CE","Series/Expiry")</f>
        <v>26Dec2024</v>
      </c>
      <c r="C262" s="63">
        <f>RTD("nest.scriprtd",,"nse_fo|"&amp;$A$251&amp;""&amp;$G$1&amp;""&amp;L262&amp;"CE","Bid Qty")</f>
        <v>1355</v>
      </c>
      <c r="D262" s="63">
        <f>RTD("nest.scriprtd",,"nse_fo|"&amp;$A$251&amp;""&amp;$G$1&amp;""&amp;L262&amp;"CE","Bid Rate")</f>
        <v>0.2</v>
      </c>
      <c r="E262" s="63">
        <f>RTD("nest.scriprtd",,"nse_fo|"&amp;$A$251&amp;""&amp;$G$1&amp;""&amp;L262&amp;"CE","Ask Rate")</f>
        <v>2.4500000000000002</v>
      </c>
      <c r="F262" s="63">
        <f>RTD("nest.scriprtd",,"nse_fo|"&amp;$A$251&amp;""&amp;$G$1&amp;""&amp;L262&amp;"CE","Ask Qty")</f>
        <v>40650</v>
      </c>
      <c r="G262" s="84">
        <f>RTD("nest.scriprtd",,"nse_fo|"&amp;$A$251&amp;""&amp;$G$1&amp;""&amp;L262&amp;"CE","LTP")</f>
        <v>0</v>
      </c>
      <c r="H262" s="63">
        <f>RTD("nest.scriprtd",,"nse_fo|"&amp;$A$251&amp;""&amp;$G$1&amp;""&amp;L262&amp;"CE","ATP")</f>
        <v>0</v>
      </c>
      <c r="I262" s="63">
        <f>RTD("nest.scriprtd",,"nse_fo|"&amp;$A$251&amp;""&amp;$G$1&amp;""&amp;L262&amp;"CE","Volume Traded Today")</f>
        <v>0</v>
      </c>
      <c r="J262" s="63">
        <f>RTD("nest.scriprtd",,"nse_fo|"&amp;$A$251&amp;""&amp;$G$1&amp;""&amp;L262&amp;"CE","% Change")</f>
        <v>-100</v>
      </c>
      <c r="K262" s="63">
        <f>RTD("nest.scriprtd",,"nse_fo|"&amp;$A$251&amp;""&amp;$G$1&amp;""&amp;L262&amp;"CE","Net Change")</f>
        <v>0</v>
      </c>
      <c r="L262" s="63">
        <f t="shared" si="120"/>
        <v>660</v>
      </c>
      <c r="M262" s="63" t="str">
        <f>RTD("nest.scriprtd",,"nse_fo|"&amp;$A$251&amp;""&amp;$G$1&amp;""&amp;L262&amp;"CE","Option Type")</f>
        <v>CE</v>
      </c>
      <c r="N262" s="58">
        <f t="shared" si="121"/>
        <v>0</v>
      </c>
      <c r="Q262" s="58">
        <f t="shared" si="122"/>
        <v>0</v>
      </c>
      <c r="R262" s="58">
        <f t="shared" si="123"/>
        <v>0</v>
      </c>
      <c r="Z262" s="58">
        <f t="shared" si="124"/>
        <v>0</v>
      </c>
    </row>
    <row r="263" spans="1:27" ht="15" hidden="1" x14ac:dyDescent="0.25">
      <c r="A263" s="63" t="e">
        <f>RTD("nest.scriprtd",,"nse_fo|"&amp;$A$251&amp;""&amp;$G$1&amp;""&amp;L263&amp;"CE","Symbol")</f>
        <v>#N/A</v>
      </c>
      <c r="B263" s="63" t="e">
        <f>RTD("nest.scriprtd",,"nse_fo|"&amp;$A$251&amp;""&amp;$G$1&amp;""&amp;L263&amp;"CE","Series/Expiry")</f>
        <v>#N/A</v>
      </c>
      <c r="C263" s="63" t="e">
        <f>RTD("nest.scriprtd",,"nse_fo|"&amp;$A$251&amp;""&amp;$G$1&amp;""&amp;L263&amp;"CE","Bid Qty")</f>
        <v>#N/A</v>
      </c>
      <c r="D263" s="63" t="e">
        <f>RTD("nest.scriprtd",,"nse_fo|"&amp;$A$251&amp;""&amp;$G$1&amp;""&amp;L263&amp;"CE","Bid Rate")</f>
        <v>#N/A</v>
      </c>
      <c r="E263" s="63" t="e">
        <f>RTD("nest.scriprtd",,"nse_fo|"&amp;$A$251&amp;""&amp;$G$1&amp;""&amp;L263&amp;"CE","Ask Rate")</f>
        <v>#N/A</v>
      </c>
      <c r="F263" s="63" t="e">
        <f>RTD("nest.scriprtd",,"nse_fo|"&amp;$A$251&amp;""&amp;$G$1&amp;""&amp;L263&amp;"CE","Ask Qty")</f>
        <v>#N/A</v>
      </c>
      <c r="G263" s="84" t="e">
        <f>RTD("nest.scriprtd",,"nse_fo|"&amp;$A$251&amp;""&amp;$G$1&amp;""&amp;L263&amp;"CE","LTP")</f>
        <v>#N/A</v>
      </c>
      <c r="H263" s="63" t="e">
        <f>RTD("nest.scriprtd",,"nse_fo|"&amp;$A$251&amp;""&amp;$G$1&amp;""&amp;L263&amp;"CE","ATP")</f>
        <v>#N/A</v>
      </c>
      <c r="I263" s="63" t="e">
        <f>RTD("nest.scriprtd",,"nse_fo|"&amp;$A$251&amp;""&amp;$G$1&amp;""&amp;L263&amp;"CE","Volume Traded Today")</f>
        <v>#N/A</v>
      </c>
      <c r="J263" s="63" t="e">
        <f>RTD("nest.scriprtd",,"nse_fo|"&amp;$A$251&amp;""&amp;$G$1&amp;""&amp;L263&amp;"CE","% Change")</f>
        <v>#N/A</v>
      </c>
      <c r="K263" s="63" t="e">
        <f>RTD("nest.scriprtd",,"nse_fo|"&amp;$A$251&amp;""&amp;$G$1&amp;""&amp;L263&amp;"CE","Net Change")</f>
        <v>#N/A</v>
      </c>
      <c r="L263" s="63">
        <f t="shared" si="120"/>
        <v>670</v>
      </c>
      <c r="M263" s="63" t="e">
        <f>RTD("nest.scriprtd",,"nse_fo|"&amp;$A$251&amp;""&amp;$G$1&amp;""&amp;L263&amp;"CE","Option Type")</f>
        <v>#N/A</v>
      </c>
      <c r="N263" s="58" t="e">
        <f t="shared" si="121"/>
        <v>#N/A</v>
      </c>
      <c r="Q263" s="58">
        <f t="shared" si="122"/>
        <v>0</v>
      </c>
      <c r="R263" s="58" t="e">
        <f t="shared" si="123"/>
        <v>#N/A</v>
      </c>
      <c r="Z263" s="58" t="e">
        <f t="shared" si="124"/>
        <v>#N/A</v>
      </c>
    </row>
    <row r="264" spans="1:27" ht="15" hidden="1" x14ac:dyDescent="0.25">
      <c r="A264" s="63" t="str">
        <f>RTD("nest.scriprtd",,"nse_fo|"&amp;$A$251&amp;""&amp;$G$1&amp;""&amp;L264&amp;"CE","Symbol")</f>
        <v>UPL</v>
      </c>
      <c r="B264" s="63" t="str">
        <f>RTD("nest.scriprtd",,"nse_fo|"&amp;$A$251&amp;""&amp;$G$1&amp;""&amp;L264&amp;"CE","Series/Expiry")</f>
        <v>26Dec2024</v>
      </c>
      <c r="C264" s="63">
        <f>RTD("nest.scriprtd",,"nse_fo|"&amp;$A$251&amp;""&amp;$G$1&amp;""&amp;L264&amp;"CE","Bid Qty")</f>
        <v>0</v>
      </c>
      <c r="D264" s="63">
        <f>RTD("nest.scriprtd",,"nse_fo|"&amp;$A$251&amp;""&amp;$G$1&amp;""&amp;L264&amp;"CE","Bid Rate")</f>
        <v>0</v>
      </c>
      <c r="E264" s="63">
        <f>RTD("nest.scriprtd",,"nse_fo|"&amp;$A$251&amp;""&amp;$G$1&amp;""&amp;L264&amp;"CE","Ask Rate")</f>
        <v>0</v>
      </c>
      <c r="F264" s="63">
        <f>RTD("nest.scriprtd",,"nse_fo|"&amp;$A$251&amp;""&amp;$G$1&amp;""&amp;L264&amp;"CE","Ask Qty")</f>
        <v>0</v>
      </c>
      <c r="G264" s="84">
        <f>RTD("nest.scriprtd",,"nse_fo|"&amp;$A$251&amp;""&amp;$G$1&amp;""&amp;L264&amp;"CE","LTP")</f>
        <v>0</v>
      </c>
      <c r="H264" s="63">
        <f>RTD("nest.scriprtd",,"nse_fo|"&amp;$A$251&amp;""&amp;$G$1&amp;""&amp;L264&amp;"CE","ATP")</f>
        <v>0</v>
      </c>
      <c r="I264" s="63">
        <f>RTD("nest.scriprtd",,"nse_fo|"&amp;$A$251&amp;""&amp;$G$1&amp;""&amp;L264&amp;"CE","Volume Traded Today")</f>
        <v>0</v>
      </c>
      <c r="J264" s="63">
        <f>RTD("nest.scriprtd",,"nse_fo|"&amp;$A$251&amp;""&amp;$G$1&amp;""&amp;L264&amp;"CE","% Change")</f>
        <v>-100</v>
      </c>
      <c r="K264" s="63">
        <f>RTD("nest.scriprtd",,"nse_fo|"&amp;$A$251&amp;""&amp;$G$1&amp;""&amp;L264&amp;"CE","Net Change")</f>
        <v>0</v>
      </c>
      <c r="L264" s="63">
        <f t="shared" si="120"/>
        <v>680</v>
      </c>
      <c r="M264" s="63" t="str">
        <f>RTD("nest.scriprtd",,"nse_fo|"&amp;$A$251&amp;""&amp;$G$1&amp;""&amp;L264&amp;"CE","Option Type")</f>
        <v>CE</v>
      </c>
      <c r="N264" s="58">
        <f t="shared" si="117"/>
        <v>0</v>
      </c>
      <c r="Q264" s="58">
        <f t="shared" si="118"/>
        <v>0</v>
      </c>
      <c r="R264" s="58">
        <f t="shared" si="119"/>
        <v>0</v>
      </c>
      <c r="Z264" s="58">
        <f t="shared" ref="Z264" si="125">+O264*K264</f>
        <v>0</v>
      </c>
    </row>
    <row r="265" spans="1:27" ht="15" hidden="1" x14ac:dyDescent="0.25">
      <c r="A265" s="63" t="str">
        <f>RTD("nest.scriprtd",,"nse_fo|"&amp;$A$251&amp;""&amp;$G$1&amp;""&amp;L265&amp;"CE","Symbol")</f>
        <v>UPL</v>
      </c>
      <c r="B265" s="63" t="str">
        <f>RTD("nest.scriprtd",,"nse_fo|"&amp;$A$251&amp;""&amp;$G$1&amp;""&amp;L265&amp;"PE","Series/Expiry")</f>
        <v>26Dec2024</v>
      </c>
      <c r="C265" s="63">
        <f>RTD("nest.scriprtd",,"nse_fo|"&amp;$A$251&amp;""&amp;$G$1&amp;""&amp;L265&amp;"PE","Bid Qty")</f>
        <v>1355</v>
      </c>
      <c r="D265" s="63">
        <f>RTD("nest.scriprtd",,"nse_fo|"&amp;$A$251&amp;""&amp;$G$1&amp;""&amp;L265&amp;"PE","Bid Rate")</f>
        <v>33.85</v>
      </c>
      <c r="E265" s="63">
        <f>RTD("nest.scriprtd",,"nse_fo|"&amp;$A$251&amp;""&amp;$G$1&amp;""&amp;L265&amp;"PE","Ask Rate")</f>
        <v>34.6</v>
      </c>
      <c r="F265" s="63">
        <f>RTD("nest.scriprtd",,"nse_fo|"&amp;$A$251&amp;""&amp;$G$1&amp;""&amp;L265&amp;"PE","Ask Qty")</f>
        <v>1355</v>
      </c>
      <c r="G265" s="84">
        <f>RTD("nest.scriprtd",,"nse_fo|"&amp;$A$251&amp;""&amp;$G$1&amp;""&amp;L265&amp;"PE","LTP")</f>
        <v>37.450000000000003</v>
      </c>
      <c r="H265" s="63">
        <f>RTD("nest.scriprtd",,"nse_fo|"&amp;$A$251&amp;""&amp;$G$1&amp;""&amp;L265&amp;"PE","ATP")</f>
        <v>36.26</v>
      </c>
      <c r="I265" s="63">
        <f>RTD("nest.scriprtd",,"nse_fo|"&amp;$A$251&amp;""&amp;$G$1&amp;""&amp;L265&amp;"PE","Volume Traded Today")</f>
        <v>5420</v>
      </c>
      <c r="J265" s="63">
        <f>RTD("nest.scriprtd",,"nse_fo|"&amp;$A$251&amp;""&amp;$G$1&amp;""&amp;L265&amp;"PE","% Change")</f>
        <v>23.8</v>
      </c>
      <c r="K265" s="63">
        <f>RTD("nest.scriprtd",,"nse_fo|"&amp;$A$251&amp;""&amp;$G$1&amp;""&amp;L265&amp;"PE","Net Change")</f>
        <v>7.2</v>
      </c>
      <c r="L265" s="63">
        <v>590</v>
      </c>
      <c r="M265" s="82" t="str">
        <f>RTD("nest.scriprtd",,"nse_fo|"&amp;$A$251&amp;""&amp;$G$1&amp;""&amp;L265&amp;"PE","Option Type")</f>
        <v>PE</v>
      </c>
      <c r="N265" s="58">
        <f t="shared" si="117"/>
        <v>25.4</v>
      </c>
      <c r="Q265" s="58">
        <f t="shared" si="114"/>
        <v>0</v>
      </c>
      <c r="R265" s="58">
        <f t="shared" si="115"/>
        <v>0</v>
      </c>
      <c r="Z265" s="58">
        <f t="shared" si="116"/>
        <v>0</v>
      </c>
    </row>
    <row r="266" spans="1:27" ht="15" hidden="1" x14ac:dyDescent="0.25">
      <c r="A266" s="63" t="str">
        <f>RTD("nest.scriprtd",,"nse_fo|"&amp;$A$251&amp;""&amp;$G$1&amp;""&amp;L266&amp;"CE","Symbol")</f>
        <v>UPL</v>
      </c>
      <c r="B266" s="63" t="str">
        <f>RTD("nest.scriprtd",,"nse_fo|"&amp;$A$251&amp;""&amp;$G$1&amp;""&amp;L266&amp;"PE","Series/Expiry")</f>
        <v>26Dec2024</v>
      </c>
      <c r="C266" s="63">
        <f>RTD("nest.scriprtd",,"nse_fo|"&amp;$A$251&amp;""&amp;$G$1&amp;""&amp;L266&amp;"PE","Bid Qty")</f>
        <v>1355</v>
      </c>
      <c r="D266" s="63">
        <f>RTD("nest.scriprtd",,"nse_fo|"&amp;$A$251&amp;""&amp;$G$1&amp;""&amp;L266&amp;"PE","Bid Rate")</f>
        <v>41.95</v>
      </c>
      <c r="E266" s="63">
        <f>RTD("nest.scriprtd",,"nse_fo|"&amp;$A$251&amp;""&amp;$G$1&amp;""&amp;L266&amp;"PE","Ask Rate")</f>
        <v>43.65</v>
      </c>
      <c r="F266" s="63">
        <f>RTD("nest.scriprtd",,"nse_fo|"&amp;$A$251&amp;""&amp;$G$1&amp;""&amp;L266&amp;"PE","Ask Qty")</f>
        <v>1355</v>
      </c>
      <c r="G266" s="84">
        <f>RTD("nest.scriprtd",,"nse_fo|"&amp;$A$251&amp;""&amp;$G$1&amp;""&amp;L266&amp;"PE","LTP")</f>
        <v>44.25</v>
      </c>
      <c r="H266" s="63">
        <f>RTD("nest.scriprtd",,"nse_fo|"&amp;$A$251&amp;""&amp;$G$1&amp;""&amp;L266&amp;"PE","ATP")</f>
        <v>45.27</v>
      </c>
      <c r="I266" s="63">
        <f>RTD("nest.scriprtd",,"nse_fo|"&amp;$A$251&amp;""&amp;$G$1&amp;""&amp;L266&amp;"PE","Volume Traded Today")</f>
        <v>2710</v>
      </c>
      <c r="J266" s="63">
        <f>RTD("nest.scriprtd",,"nse_fo|"&amp;$A$251&amp;""&amp;$G$1&amp;""&amp;L266&amp;"PE","% Change")</f>
        <v>14.94</v>
      </c>
      <c r="K266" s="63">
        <f>RTD("nest.scriprtd",,"nse_fo|"&amp;$A$251&amp;""&amp;$G$1&amp;""&amp;L266&amp;"PE","Net Change")</f>
        <v>5.75</v>
      </c>
      <c r="L266" s="63">
        <f>+L265+$D$251</f>
        <v>600</v>
      </c>
      <c r="M266" s="63" t="str">
        <f>RTD("nest.scriprtd",,"nse_fo|"&amp;$A$251&amp;""&amp;$G$1&amp;""&amp;L266&amp;"PE","Option Type")</f>
        <v>PE</v>
      </c>
      <c r="N266" s="58">
        <f t="shared" si="117"/>
        <v>25.4</v>
      </c>
      <c r="Q266" s="58">
        <f t="shared" si="114"/>
        <v>0</v>
      </c>
      <c r="R266" s="58">
        <f t="shared" si="115"/>
        <v>0</v>
      </c>
      <c r="Z266" s="58">
        <f t="shared" si="116"/>
        <v>0</v>
      </c>
    </row>
    <row r="267" spans="1:27" ht="15" hidden="1" x14ac:dyDescent="0.25">
      <c r="A267" s="63" t="str">
        <f>RTD("nest.scriprtd",,"nse_fo|"&amp;$A$251&amp;""&amp;$G$1&amp;""&amp;L267&amp;"CE","Symbol")</f>
        <v>UPL</v>
      </c>
      <c r="B267" s="63" t="str">
        <f>RTD("nest.scriprtd",,"nse_fo|"&amp;$A$251&amp;""&amp;$G$1&amp;""&amp;L267&amp;"PE","Series/Expiry")</f>
        <v>26Dec2024</v>
      </c>
      <c r="C267" s="63">
        <f>RTD("nest.scriprtd",,"nse_fo|"&amp;$A$251&amp;""&amp;$G$1&amp;""&amp;L267&amp;"PE","Bid Qty")</f>
        <v>4065</v>
      </c>
      <c r="D267" s="63">
        <f>RTD("nest.scriprtd",,"nse_fo|"&amp;$A$251&amp;""&amp;$G$1&amp;""&amp;L267&amp;"PE","Bid Rate")</f>
        <v>49</v>
      </c>
      <c r="E267" s="63">
        <f>RTD("nest.scriprtd",,"nse_fo|"&amp;$A$251&amp;""&amp;$G$1&amp;""&amp;L267&amp;"PE","Ask Rate")</f>
        <v>54.3</v>
      </c>
      <c r="F267" s="63">
        <f>RTD("nest.scriprtd",,"nse_fo|"&amp;$A$251&amp;""&amp;$G$1&amp;""&amp;L267&amp;"PE","Ask Qty")</f>
        <v>1355</v>
      </c>
      <c r="G267" s="84">
        <f>RTD("nest.scriprtd",,"nse_fo|"&amp;$A$251&amp;""&amp;$G$1&amp;""&amp;L267&amp;"PE","LTP")</f>
        <v>44.9</v>
      </c>
      <c r="H267" s="63">
        <f>RTD("nest.scriprtd",,"nse_fo|"&amp;$A$251&amp;""&amp;$G$1&amp;""&amp;L267&amp;"PE","ATP")</f>
        <v>0</v>
      </c>
      <c r="I267" s="63">
        <f>RTD("nest.scriprtd",,"nse_fo|"&amp;$A$251&amp;""&amp;$G$1&amp;""&amp;L267&amp;"PE","Volume Traded Today")</f>
        <v>0</v>
      </c>
      <c r="J267" s="63">
        <f>RTD("nest.scriprtd",,"nse_fo|"&amp;$A$251&amp;""&amp;$G$1&amp;""&amp;L267&amp;"PE","% Change")</f>
        <v>0</v>
      </c>
      <c r="K267" s="63">
        <f>RTD("nest.scriprtd",,"nse_fo|"&amp;$A$251&amp;""&amp;$G$1&amp;""&amp;L267&amp;"PE","Net Change")</f>
        <v>0</v>
      </c>
      <c r="L267" s="63">
        <f t="shared" ref="L267:L269" si="126">+L266+$D$251</f>
        <v>610</v>
      </c>
      <c r="M267" s="63" t="str">
        <f>RTD("nest.scriprtd",,"nse_fo|"&amp;$A$251&amp;""&amp;$G$1&amp;""&amp;L267&amp;"PE","Option Type")</f>
        <v>PE</v>
      </c>
      <c r="N267" s="58">
        <f t="shared" si="117"/>
        <v>25.4</v>
      </c>
      <c r="Q267" s="58">
        <f t="shared" si="114"/>
        <v>0</v>
      </c>
      <c r="R267" s="58">
        <f t="shared" si="115"/>
        <v>0</v>
      </c>
      <c r="Z267" s="58">
        <f t="shared" si="116"/>
        <v>0</v>
      </c>
    </row>
    <row r="268" spans="1:27" ht="15" hidden="1" x14ac:dyDescent="0.25">
      <c r="A268" s="63" t="str">
        <f>RTD("nest.scriprtd",,"nse_fo|"&amp;$A$251&amp;""&amp;$G$1&amp;""&amp;L268&amp;"CE","Symbol")</f>
        <v>UPL</v>
      </c>
      <c r="B268" s="63" t="str">
        <f>RTD("nest.scriprtd",,"nse_fo|"&amp;$A$251&amp;""&amp;$G$1&amp;""&amp;L268&amp;"PE","Series/Expiry")</f>
        <v>26Dec2024</v>
      </c>
      <c r="C268" s="63">
        <f>RTD("nest.scriprtd",,"nse_fo|"&amp;$A$251&amp;""&amp;$G$1&amp;""&amp;L268&amp;"PE","Bid Qty")</f>
        <v>4065</v>
      </c>
      <c r="D268" s="63">
        <f>RTD("nest.scriprtd",,"nse_fo|"&amp;$A$251&amp;""&amp;$G$1&amp;""&amp;L268&amp;"PE","Bid Rate")</f>
        <v>58.55</v>
      </c>
      <c r="E268" s="63">
        <f>RTD("nest.scriprtd",,"nse_fo|"&amp;$A$251&amp;""&amp;$G$1&amp;""&amp;L268&amp;"PE","Ask Rate")</f>
        <v>63.85</v>
      </c>
      <c r="F268" s="63">
        <f>RTD("nest.scriprtd",,"nse_fo|"&amp;$A$251&amp;""&amp;$G$1&amp;""&amp;L268&amp;"PE","Ask Qty")</f>
        <v>1355</v>
      </c>
      <c r="G268" s="84">
        <f>RTD("nest.scriprtd",,"nse_fo|"&amp;$A$251&amp;""&amp;$G$1&amp;""&amp;L268&amp;"PE","LTP")</f>
        <v>58.5</v>
      </c>
      <c r="H268" s="63">
        <f>RTD("nest.scriprtd",,"nse_fo|"&amp;$A$251&amp;""&amp;$G$1&amp;""&amp;L268&amp;"PE","ATP")</f>
        <v>0</v>
      </c>
      <c r="I268" s="63">
        <f>RTD("nest.scriprtd",,"nse_fo|"&amp;$A$251&amp;""&amp;$G$1&amp;""&amp;L268&amp;"PE","Volume Traded Today")</f>
        <v>0</v>
      </c>
      <c r="J268" s="63">
        <f>RTD("nest.scriprtd",,"nse_fo|"&amp;$A$251&amp;""&amp;$G$1&amp;""&amp;L268&amp;"PE","% Change")</f>
        <v>0</v>
      </c>
      <c r="K268" s="63">
        <f>RTD("nest.scriprtd",,"nse_fo|"&amp;$A$251&amp;""&amp;$G$1&amp;""&amp;L268&amp;"PE","Net Change")</f>
        <v>0</v>
      </c>
      <c r="L268" s="63">
        <f t="shared" si="126"/>
        <v>620</v>
      </c>
      <c r="M268" s="63" t="str">
        <f>RTD("nest.scriprtd",,"nse_fo|"&amp;$A$251&amp;""&amp;$G$1&amp;""&amp;L268&amp;"PE","Option Type")</f>
        <v>PE</v>
      </c>
      <c r="N268" s="58">
        <f t="shared" si="117"/>
        <v>25.4</v>
      </c>
      <c r="Q268" s="58">
        <f t="shared" si="114"/>
        <v>0</v>
      </c>
      <c r="R268" s="58">
        <f t="shared" si="115"/>
        <v>0</v>
      </c>
      <c r="Z268" s="58">
        <f t="shared" si="116"/>
        <v>0</v>
      </c>
    </row>
    <row r="269" spans="1:27" ht="15" hidden="1" x14ac:dyDescent="0.25">
      <c r="A269" s="63" t="str">
        <f>RTD("nest.scriprtd",,"nse_fo|"&amp;$A$251&amp;""&amp;$G$1&amp;""&amp;L269&amp;"CE","Symbol")</f>
        <v>UPL</v>
      </c>
      <c r="B269" s="63" t="str">
        <f>RTD("nest.scriprtd",,"nse_fo|"&amp;$A$251&amp;""&amp;$G$1&amp;""&amp;L269&amp;"PE","Series/Expiry")</f>
        <v>26Dec2024</v>
      </c>
      <c r="C269" s="63">
        <f>RTD("nest.scriprtd",,"nse_fo|"&amp;$A$251&amp;""&amp;$G$1&amp;""&amp;L269&amp;"PE","Bid Qty")</f>
        <v>4065</v>
      </c>
      <c r="D269" s="63">
        <f>RTD("nest.scriprtd",,"nse_fo|"&amp;$A$251&amp;""&amp;$G$1&amp;""&amp;L269&amp;"PE","Bid Rate")</f>
        <v>67.95</v>
      </c>
      <c r="E269" s="63">
        <f>RTD("nest.scriprtd",,"nse_fo|"&amp;$A$251&amp;""&amp;$G$1&amp;""&amp;L269&amp;"PE","Ask Rate")</f>
        <v>74.400000000000006</v>
      </c>
      <c r="F269" s="63">
        <f>RTD("nest.scriprtd",,"nse_fo|"&amp;$A$251&amp;""&amp;$G$1&amp;""&amp;L269&amp;"PE","Ask Qty")</f>
        <v>14905</v>
      </c>
      <c r="G269" s="84">
        <f>RTD("nest.scriprtd",,"nse_fo|"&amp;$A$251&amp;""&amp;$G$1&amp;""&amp;L269&amp;"PE","LTP")</f>
        <v>0</v>
      </c>
      <c r="H269" s="63">
        <f>RTD("nest.scriprtd",,"nse_fo|"&amp;$A$251&amp;""&amp;$G$1&amp;""&amp;L269&amp;"PE","ATP")</f>
        <v>0</v>
      </c>
      <c r="I269" s="63">
        <f>RTD("nest.scriprtd",,"nse_fo|"&amp;$A$251&amp;""&amp;$G$1&amp;""&amp;L269&amp;"PE","Volume Traded Today")</f>
        <v>0</v>
      </c>
      <c r="J269" s="63">
        <f>RTD("nest.scriprtd",,"nse_fo|"&amp;$A$251&amp;""&amp;$G$1&amp;""&amp;L269&amp;"PE","% Change")</f>
        <v>-100</v>
      </c>
      <c r="K269" s="63">
        <f>RTD("nest.scriprtd",,"nse_fo|"&amp;$A$251&amp;""&amp;$G$1&amp;""&amp;L269&amp;"PE","Net Change")</f>
        <v>0</v>
      </c>
      <c r="L269" s="63">
        <f t="shared" si="126"/>
        <v>630</v>
      </c>
      <c r="M269" s="63" t="str">
        <f>RTD("nest.scriprtd",,"nse_fo|"&amp;$A$251&amp;""&amp;$G$1&amp;""&amp;L269&amp;"PE","Option Type")</f>
        <v>PE</v>
      </c>
      <c r="N269" s="58">
        <f t="shared" si="117"/>
        <v>0</v>
      </c>
      <c r="Q269" s="58">
        <f t="shared" si="114"/>
        <v>0</v>
      </c>
      <c r="R269" s="58">
        <f t="shared" si="115"/>
        <v>0</v>
      </c>
      <c r="S269" s="58" t="e">
        <f>+SUM(R252:R264)-SUM(R265:R269)</f>
        <v>#N/A</v>
      </c>
      <c r="T269" s="58" t="e">
        <f>SUM(R254:R269)</f>
        <v>#N/A</v>
      </c>
      <c r="U269" s="63" t="e">
        <f>+S269/T269</f>
        <v>#N/A</v>
      </c>
      <c r="Z269" s="58">
        <f t="shared" si="116"/>
        <v>0</v>
      </c>
      <c r="AA269" s="58" t="e">
        <f>SUM(Z252:Z269)</f>
        <v>#N/A</v>
      </c>
    </row>
    <row r="270" spans="1:27" hidden="1" x14ac:dyDescent="0.25"/>
  </sheetData>
  <sortState ref="A227:T241">
    <sortCondition ref="L227:L241"/>
  </sortState>
  <mergeCells count="2">
    <mergeCell ref="AB4:AC6"/>
    <mergeCell ref="AB1:AC2"/>
  </mergeCells>
  <conditionalFormatting sqref="H4:H5 H7:H16">
    <cfRule type="cellIs" dxfId="24" priority="711" operator="lessThanOrEqual">
      <formula>-3</formula>
    </cfRule>
    <cfRule type="cellIs" dxfId="23" priority="712" operator="greaterThan">
      <formula>3</formula>
    </cfRule>
  </conditionalFormatting>
  <conditionalFormatting sqref="M2">
    <cfRule type="cellIs" dxfId="22" priority="654" operator="lessThanOrEqual">
      <formula>-0.25</formula>
    </cfRule>
    <cfRule type="cellIs" dxfId="21" priority="655" operator="greaterThanOrEqual">
      <formula>0.1</formula>
    </cfRule>
    <cfRule type="cellIs" dxfId="20" priority="710" operator="lessThanOrEqual">
      <formula>-0.3</formula>
    </cfRule>
  </conditionalFormatting>
  <conditionalFormatting sqref="E2">
    <cfRule type="cellIs" dxfId="19" priority="261" operator="lessThan">
      <formula>-3</formula>
    </cfRule>
    <cfRule type="cellIs" dxfId="18" priority="262" operator="greaterThan">
      <formula>3</formula>
    </cfRule>
  </conditionalFormatting>
  <conditionalFormatting sqref="E2">
    <cfRule type="cellIs" dxfId="17" priority="196" operator="lessThan">
      <formula>-2</formula>
    </cfRule>
    <cfRule type="cellIs" dxfId="16" priority="197" operator="greaterThan">
      <formula>2</formula>
    </cfRule>
  </conditionalFormatting>
  <conditionalFormatting sqref="A2">
    <cfRule type="cellIs" dxfId="15" priority="105" operator="equal">
      <formula>+$D$2</formula>
    </cfRule>
  </conditionalFormatting>
  <conditionalFormatting sqref="M2 M13:M15">
    <cfRule type="cellIs" dxfId="14" priority="19" operator="lessThan">
      <formula>-0.25</formula>
    </cfRule>
    <cfRule type="cellIs" dxfId="13" priority="20" operator="greaterThan">
      <formula>0.1</formula>
    </cfRule>
  </conditionalFormatting>
  <conditionalFormatting sqref="M3">
    <cfRule type="cellIs" dxfId="12" priority="8" operator="lessThanOrEqual">
      <formula>-0.25</formula>
    </cfRule>
    <cfRule type="cellIs" dxfId="11" priority="9" operator="greaterThanOrEqual">
      <formula>0.1</formula>
    </cfRule>
    <cfRule type="cellIs" dxfId="10" priority="10" operator="lessThanOrEqual">
      <formula>-0.3</formula>
    </cfRule>
  </conditionalFormatting>
  <conditionalFormatting sqref="M3">
    <cfRule type="cellIs" dxfId="9" priority="6" operator="lessThan">
      <formula>-0.25</formula>
    </cfRule>
    <cfRule type="cellIs" dxfId="8" priority="7" operator="greaterThan">
      <formula>0.1</formula>
    </cfRule>
  </conditionalFormatting>
  <conditionalFormatting sqref="M4:M12">
    <cfRule type="cellIs" dxfId="7" priority="3" operator="lessThanOrEqual">
      <formula>-0.25</formula>
    </cfRule>
    <cfRule type="cellIs" dxfId="6" priority="5" operator="lessThanOrEqual">
      <formula>-0.3</formula>
    </cfRule>
  </conditionalFormatting>
  <conditionalFormatting sqref="M4:M12">
    <cfRule type="cellIs" dxfId="5" priority="1" operator="lessThan">
      <formula>-0.25</formula>
    </cfRule>
    <cfRule type="cellIs" dxfId="4" priority="2" operator="greaterThan">
      <formula>0.1</formula>
    </cfRule>
  </conditionalFormatting>
  <conditionalFormatting sqref="E3:E16">
    <cfRule type="cellIs" dxfId="3" priority="11" operator="lessThan">
      <formula>-2</formula>
    </cfRule>
    <cfRule type="cellIs" dxfId="2" priority="12" operator="greaterThan">
      <formula>2</formula>
    </cfRule>
    <cfRule type="cellIs" dxfId="1" priority="13" operator="lessThan">
      <formula>-3</formula>
    </cfRule>
    <cfRule type="cellIs" dxfId="0" priority="14" operator="greaterThan">
      <formula>3</formula>
    </cfRule>
  </conditionalFormatting>
  <hyperlinks>
    <hyperlink ref="L3" location="MAIN!P26" display="MAIN!P26"/>
    <hyperlink ref="L4:L14" location="MAIN!P1" display="MAIN!P1"/>
    <hyperlink ref="L4" location="MAIN!P47" display="MAIN!P47"/>
    <hyperlink ref="L5" location="MAIN!P67" display="MAIN!P67"/>
    <hyperlink ref="L6" location="MAIN!P86" display="MAIN!P86"/>
    <hyperlink ref="L7" location="MAIN!P105" display="MAIN!P105"/>
    <hyperlink ref="L8" location="MAIN!P123" display="MAIN!P123"/>
    <hyperlink ref="L9" location="MAIN!P140" display="MAIN!P140"/>
    <hyperlink ref="L10" location="MAIN!P160" display="MAIN!P160"/>
    <hyperlink ref="L11" location="MAIN!P180" display="MAIN!P180"/>
    <hyperlink ref="L12" location="MAIN!P204" display="MAIN!P204"/>
    <hyperlink ref="L13" location="MAIN!P221" display="MAIN!P221"/>
    <hyperlink ref="L14" location="MAIN!P241" display="MAIN!P241"/>
    <hyperlink ref="L15" location="MAIN!P236" display="MAIN!P236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9"/>
  <sheetViews>
    <sheetView topLeftCell="K2126" zoomScale="80" zoomScaleNormal="80" workbookViewId="0">
      <selection activeCell="W2164" sqref="W2164"/>
    </sheetView>
  </sheetViews>
  <sheetFormatPr defaultRowHeight="15" x14ac:dyDescent="0.25"/>
  <cols>
    <col min="1" max="1" width="15.42578125" bestFit="1" customWidth="1"/>
    <col min="2" max="2" width="15.140625" bestFit="1" customWidth="1"/>
    <col min="3" max="3" width="12.140625" customWidth="1"/>
    <col min="4" max="4" width="12.5703125" customWidth="1"/>
    <col min="5" max="5" width="11.28515625" customWidth="1"/>
    <col min="6" max="6" width="12.140625" customWidth="1"/>
    <col min="7" max="7" width="12" bestFit="1" customWidth="1"/>
    <col min="8" max="8" width="14" bestFit="1" customWidth="1"/>
    <col min="9" max="9" width="10.42578125" customWidth="1"/>
    <col min="10" max="10" width="18.5703125" customWidth="1"/>
    <col min="11" max="11" width="15.28515625" bestFit="1" customWidth="1"/>
    <col min="12" max="13" width="10.7109375" bestFit="1" customWidth="1"/>
    <col min="14" max="14" width="11.140625" customWidth="1"/>
    <col min="15" max="16" width="14" bestFit="1" customWidth="1"/>
    <col min="17" max="17" width="13.7109375" customWidth="1"/>
    <col min="18" max="18" width="17.140625" customWidth="1"/>
    <col min="19" max="19" width="15.140625" customWidth="1"/>
    <col min="20" max="20" width="12.140625" customWidth="1"/>
    <col min="21" max="21" width="12.5703125" customWidth="1"/>
    <col min="22" max="23" width="14" bestFit="1" customWidth="1"/>
    <col min="24" max="24" width="10.7109375" bestFit="1" customWidth="1"/>
    <col min="25" max="25" width="14.7109375" customWidth="1"/>
    <col min="26" max="26" width="9.85546875" bestFit="1" customWidth="1"/>
    <col min="27" max="27" width="10.7109375" bestFit="1" customWidth="1"/>
    <col min="28" max="28" width="13.7109375" customWidth="1"/>
    <col min="29" max="29" width="14.140625" customWidth="1"/>
  </cols>
  <sheetData>
    <row r="1" spans="1:27" x14ac:dyDescent="0.25">
      <c r="A1" s="125">
        <v>44729</v>
      </c>
      <c r="B1" s="126"/>
      <c r="C1" s="126"/>
      <c r="D1" s="126"/>
      <c r="E1" s="126"/>
      <c r="G1" s="122">
        <v>44732</v>
      </c>
      <c r="H1" s="123"/>
      <c r="I1" s="123"/>
      <c r="J1" s="123"/>
      <c r="K1" s="123"/>
      <c r="L1" s="123"/>
      <c r="M1" s="123"/>
      <c r="O1" s="122">
        <v>44733</v>
      </c>
      <c r="P1" s="123"/>
      <c r="Q1" s="123"/>
      <c r="R1" s="123"/>
      <c r="S1" s="123"/>
      <c r="T1" s="123"/>
      <c r="V1" s="122">
        <v>44734</v>
      </c>
      <c r="W1" s="123"/>
      <c r="X1" s="123"/>
      <c r="Y1" s="123"/>
      <c r="Z1" s="123"/>
      <c r="AA1" s="123"/>
    </row>
    <row r="2" spans="1:27" x14ac:dyDescent="0.25">
      <c r="A2" s="6" t="s">
        <v>34</v>
      </c>
      <c r="B2" s="6" t="s">
        <v>104</v>
      </c>
      <c r="C2" s="6" t="s">
        <v>105</v>
      </c>
      <c r="D2" s="6" t="s">
        <v>106</v>
      </c>
      <c r="E2" s="3" t="s">
        <v>108</v>
      </c>
      <c r="G2" s="6" t="s">
        <v>34</v>
      </c>
      <c r="H2" s="6" t="s">
        <v>104</v>
      </c>
      <c r="I2" s="6" t="s">
        <v>105</v>
      </c>
      <c r="J2" s="6">
        <f>SUM(J3:J13)+Z304</f>
        <v>-7117.5</v>
      </c>
      <c r="K2" s="6"/>
      <c r="L2" s="3">
        <f>SUM(L3:L13)/10</f>
        <v>-5753</v>
      </c>
      <c r="M2" s="3" t="s">
        <v>28</v>
      </c>
      <c r="O2" s="6" t="s">
        <v>34</v>
      </c>
      <c r="P2" s="6"/>
      <c r="Q2" s="6" t="s">
        <v>105</v>
      </c>
      <c r="R2" s="6" t="s">
        <v>106</v>
      </c>
      <c r="S2" s="3" t="s">
        <v>108</v>
      </c>
      <c r="T2" s="3">
        <v>1</v>
      </c>
      <c r="V2" s="6" t="s">
        <v>34</v>
      </c>
      <c r="W2" s="6" t="s">
        <v>104</v>
      </c>
      <c r="X2" s="6" t="s">
        <v>105</v>
      </c>
      <c r="Y2" s="6" t="s">
        <v>106</v>
      </c>
      <c r="Z2" s="3" t="s">
        <v>108</v>
      </c>
      <c r="AA2" s="3" t="s">
        <v>28</v>
      </c>
    </row>
    <row r="3" spans="1:27" x14ac:dyDescent="0.25">
      <c r="A3" s="10" t="s">
        <v>13</v>
      </c>
      <c r="B3" s="5">
        <v>11306</v>
      </c>
      <c r="C3" s="5">
        <v>0</v>
      </c>
      <c r="D3" s="5">
        <v>0</v>
      </c>
      <c r="E3" s="5">
        <f>+B3+C3-D3</f>
        <v>11306</v>
      </c>
      <c r="G3" s="10" t="s">
        <v>13</v>
      </c>
      <c r="H3" s="5">
        <v>4556</v>
      </c>
      <c r="I3" s="5">
        <v>27475</v>
      </c>
      <c r="J3" s="5">
        <v>2931.25</v>
      </c>
      <c r="K3" s="5"/>
      <c r="L3" s="5">
        <v>0</v>
      </c>
      <c r="M3" s="5">
        <v>-216075</v>
      </c>
      <c r="O3" s="10" t="s">
        <v>13</v>
      </c>
      <c r="P3" s="5"/>
      <c r="Q3" s="5">
        <v>40893.75</v>
      </c>
      <c r="R3" s="5">
        <v>16012.5</v>
      </c>
      <c r="S3" s="5">
        <f>+P3+Q3-R3</f>
        <v>24881.25</v>
      </c>
      <c r="T3" s="5">
        <v>-223350</v>
      </c>
      <c r="U3">
        <v>-223350</v>
      </c>
      <c r="V3" s="10" t="s">
        <v>13</v>
      </c>
      <c r="W3" s="5">
        <v>19025</v>
      </c>
      <c r="X3" s="5">
        <v>-2081.25</v>
      </c>
      <c r="Y3" s="5">
        <v>-4187.5</v>
      </c>
      <c r="Z3" s="5">
        <f t="shared" ref="Z3:Z11" si="0">+W3+X3-Y3</f>
        <v>21131.25</v>
      </c>
      <c r="AA3" s="5">
        <v>0</v>
      </c>
    </row>
    <row r="4" spans="1:27" x14ac:dyDescent="0.25">
      <c r="A4" s="10" t="s">
        <v>18</v>
      </c>
      <c r="B4" s="5">
        <v>-8525</v>
      </c>
      <c r="C4" s="5">
        <v>0</v>
      </c>
      <c r="D4" s="5">
        <v>0</v>
      </c>
      <c r="E4" s="5">
        <f t="shared" ref="E4:E5" si="1">+B4+C4-D4</f>
        <v>-8525</v>
      </c>
      <c r="G4" s="10" t="s">
        <v>18</v>
      </c>
      <c r="H4" s="5">
        <v>3685</v>
      </c>
      <c r="I4" s="5">
        <v>-70345</v>
      </c>
      <c r="J4" s="5">
        <v>-9130</v>
      </c>
      <c r="K4" s="5"/>
      <c r="L4" s="5">
        <f t="shared" ref="L4" si="2">+H4+I4-J4</f>
        <v>-57530</v>
      </c>
      <c r="M4" s="5">
        <v>-286950</v>
      </c>
      <c r="O4" s="10" t="s">
        <v>18</v>
      </c>
      <c r="P4" s="5"/>
      <c r="Q4" s="5">
        <v>51535</v>
      </c>
      <c r="R4" s="5">
        <v>-10230</v>
      </c>
      <c r="S4" s="5">
        <f t="shared" ref="S4:S9" si="3">+P4+Q4-R4</f>
        <v>61765</v>
      </c>
      <c r="T4" s="5">
        <v>-184470</v>
      </c>
      <c r="U4">
        <v>-184470</v>
      </c>
      <c r="V4" s="10" t="s">
        <v>18</v>
      </c>
      <c r="W4" s="5">
        <v>-14740</v>
      </c>
      <c r="X4" s="5">
        <v>11000</v>
      </c>
      <c r="Y4" s="5">
        <v>7040</v>
      </c>
      <c r="Z4" s="5">
        <f t="shared" si="0"/>
        <v>-10780</v>
      </c>
      <c r="AA4" s="5">
        <v>-95480</v>
      </c>
    </row>
    <row r="5" spans="1:27" x14ac:dyDescent="0.25">
      <c r="A5" s="10" t="s">
        <v>36</v>
      </c>
      <c r="B5" s="5">
        <v>4410</v>
      </c>
      <c r="C5" s="5">
        <v>0</v>
      </c>
      <c r="D5" s="5">
        <v>0</v>
      </c>
      <c r="E5" s="5">
        <f t="shared" si="1"/>
        <v>4410</v>
      </c>
      <c r="G5" s="10" t="s">
        <v>36</v>
      </c>
      <c r="H5" s="5">
        <v>-21240</v>
      </c>
      <c r="I5" s="5">
        <v>9840</v>
      </c>
      <c r="J5" s="5">
        <v>2640</v>
      </c>
      <c r="K5" s="5"/>
      <c r="L5" s="5">
        <v>0</v>
      </c>
      <c r="M5" s="4">
        <v>-220000</v>
      </c>
      <c r="O5" s="10"/>
      <c r="P5" s="5"/>
      <c r="Q5" s="5">
        <v>-147330</v>
      </c>
      <c r="R5" s="5">
        <v>-539.99999999999955</v>
      </c>
      <c r="S5" s="5">
        <f t="shared" si="3"/>
        <v>-146790</v>
      </c>
      <c r="T5" s="4">
        <v>-351120</v>
      </c>
      <c r="U5">
        <v>-351120</v>
      </c>
      <c r="V5" s="10" t="s">
        <v>36</v>
      </c>
      <c r="W5" s="5">
        <v>-61050</v>
      </c>
      <c r="X5" s="5">
        <v>-116339.99999999999</v>
      </c>
      <c r="Y5" s="5">
        <v>42090.000000000007</v>
      </c>
      <c r="Z5" s="5">
        <f t="shared" si="0"/>
        <v>-219480</v>
      </c>
      <c r="AA5" s="4">
        <v>-567150</v>
      </c>
    </row>
    <row r="6" spans="1:27" x14ac:dyDescent="0.25">
      <c r="G6" s="10" t="s">
        <v>15</v>
      </c>
      <c r="H6" s="5">
        <v>2937.5</v>
      </c>
      <c r="I6" s="5">
        <v>0</v>
      </c>
      <c r="J6" s="5">
        <v>0</v>
      </c>
      <c r="K6" s="5"/>
      <c r="L6" s="5">
        <v>0</v>
      </c>
      <c r="M6" s="5">
        <v>-144406.25</v>
      </c>
      <c r="O6" s="10" t="s">
        <v>15</v>
      </c>
      <c r="P6" s="5"/>
      <c r="Q6" s="5">
        <v>-43062.5</v>
      </c>
      <c r="R6" s="5">
        <v>1656.25</v>
      </c>
      <c r="S6" s="5">
        <f t="shared" si="3"/>
        <v>-44718.75</v>
      </c>
      <c r="T6" s="5">
        <v>-262187.5</v>
      </c>
      <c r="U6">
        <v>-262187.5</v>
      </c>
      <c r="V6" s="10" t="s">
        <v>15</v>
      </c>
      <c r="W6" s="5">
        <v>17812.5</v>
      </c>
      <c r="X6" s="5">
        <v>2875.0000000000073</v>
      </c>
      <c r="Y6" s="5">
        <v>625</v>
      </c>
      <c r="Z6" s="5">
        <f t="shared" si="0"/>
        <v>20062.500000000007</v>
      </c>
      <c r="AA6" s="5">
        <v>-309375</v>
      </c>
    </row>
    <row r="7" spans="1:27" x14ac:dyDescent="0.25">
      <c r="G7" s="10" t="s">
        <v>53</v>
      </c>
      <c r="H7" s="5">
        <v>-7440</v>
      </c>
      <c r="I7" s="5">
        <v>0</v>
      </c>
      <c r="J7" s="5">
        <v>0</v>
      </c>
      <c r="K7" s="5"/>
      <c r="L7" s="5">
        <v>0</v>
      </c>
      <c r="M7" s="5">
        <v>-179722.5</v>
      </c>
      <c r="O7" s="10" t="s">
        <v>53</v>
      </c>
      <c r="P7" s="5"/>
      <c r="Q7" s="5">
        <v>23715</v>
      </c>
      <c r="R7" s="5">
        <v>9687.5</v>
      </c>
      <c r="S7" s="5">
        <f t="shared" si="3"/>
        <v>14027.5</v>
      </c>
      <c r="T7" s="5">
        <v>-460195</v>
      </c>
      <c r="U7">
        <v>-460195</v>
      </c>
      <c r="V7" s="10" t="s">
        <v>53</v>
      </c>
      <c r="W7" s="5">
        <v>77112.5</v>
      </c>
      <c r="X7" s="5">
        <v>-96875</v>
      </c>
      <c r="Y7" s="5">
        <v>11470</v>
      </c>
      <c r="Z7" s="5">
        <f t="shared" si="0"/>
        <v>-31232.5</v>
      </c>
      <c r="AA7" s="5">
        <v>-399590</v>
      </c>
    </row>
    <row r="8" spans="1:27" x14ac:dyDescent="0.25">
      <c r="G8" s="10" t="s">
        <v>99</v>
      </c>
      <c r="H8" s="5">
        <v>-25025</v>
      </c>
      <c r="I8" s="5">
        <v>0</v>
      </c>
      <c r="J8" s="5">
        <v>0</v>
      </c>
      <c r="K8" s="5"/>
      <c r="L8" s="5">
        <v>0</v>
      </c>
      <c r="M8" s="5">
        <v>-143990</v>
      </c>
      <c r="O8" s="10" t="s">
        <v>99</v>
      </c>
      <c r="P8" s="5"/>
      <c r="Q8" s="5"/>
      <c r="R8" s="5">
        <v>-5582.5</v>
      </c>
      <c r="S8" s="5">
        <f t="shared" si="3"/>
        <v>5582.5</v>
      </c>
      <c r="T8" s="5">
        <v>-309925</v>
      </c>
      <c r="U8">
        <v>-309925</v>
      </c>
      <c r="V8" s="10" t="s">
        <v>99</v>
      </c>
      <c r="W8" s="5">
        <v>-21175</v>
      </c>
      <c r="X8" s="5">
        <v>-21944.999999999971</v>
      </c>
      <c r="Y8" s="5">
        <v>-12127.5</v>
      </c>
      <c r="Z8" s="5">
        <f t="shared" si="0"/>
        <v>-30992.499999999971</v>
      </c>
      <c r="AA8" s="7">
        <v>-426772.5</v>
      </c>
    </row>
    <row r="9" spans="1:27" x14ac:dyDescent="0.25">
      <c r="G9" s="3" t="s">
        <v>107</v>
      </c>
      <c r="H9" s="6">
        <f>SUM(H3:H8)</f>
        <v>-42526.5</v>
      </c>
      <c r="I9" s="6">
        <f>SUM(I3:I8)</f>
        <v>-33030</v>
      </c>
      <c r="J9" s="6">
        <f>SUM(J3:J8)</f>
        <v>-3558.75</v>
      </c>
      <c r="K9" s="6"/>
      <c r="L9" s="3">
        <v>0</v>
      </c>
      <c r="M9" s="3">
        <f>SUM(M3:M8)</f>
        <v>-1191143.75</v>
      </c>
      <c r="O9" s="10" t="s">
        <v>94</v>
      </c>
      <c r="P9" s="5"/>
      <c r="Q9" s="5">
        <v>0</v>
      </c>
      <c r="R9" s="5">
        <v>0</v>
      </c>
      <c r="S9" s="5">
        <f t="shared" si="3"/>
        <v>0</v>
      </c>
      <c r="T9" s="5">
        <v>-215370</v>
      </c>
      <c r="U9">
        <v>-215370</v>
      </c>
      <c r="V9" s="10" t="s">
        <v>94</v>
      </c>
      <c r="W9" s="5">
        <v>-13140</v>
      </c>
      <c r="X9" s="5">
        <v>46530</v>
      </c>
      <c r="Y9" s="5">
        <v>14220</v>
      </c>
      <c r="Z9" s="5">
        <f t="shared" si="0"/>
        <v>19170</v>
      </c>
      <c r="AA9" s="5">
        <v>-367920</v>
      </c>
    </row>
    <row r="10" spans="1:27" x14ac:dyDescent="0.25">
      <c r="L10">
        <v>0</v>
      </c>
      <c r="O10" s="3" t="s">
        <v>107</v>
      </c>
      <c r="P10" s="6"/>
      <c r="Q10" s="6">
        <f>SUM(Q3:Q9)</f>
        <v>-74248.75</v>
      </c>
      <c r="R10" s="6">
        <f>SUM(R3:R9)</f>
        <v>11003.75</v>
      </c>
      <c r="S10" s="3">
        <f>SUM(S3:S9)</f>
        <v>-85252.5</v>
      </c>
      <c r="T10" s="3">
        <f>SUM(T3:T9)</f>
        <v>-2006617.5</v>
      </c>
      <c r="U10">
        <v>-2823482.5</v>
      </c>
      <c r="V10" s="10" t="s">
        <v>46</v>
      </c>
      <c r="W10" s="5">
        <v>34983</v>
      </c>
      <c r="X10" s="5">
        <v>0</v>
      </c>
      <c r="Y10" s="5">
        <v>0</v>
      </c>
      <c r="Z10" s="5">
        <f t="shared" si="0"/>
        <v>34983</v>
      </c>
      <c r="AA10" s="5">
        <v>-304380</v>
      </c>
    </row>
    <row r="11" spans="1:27" x14ac:dyDescent="0.25">
      <c r="L11">
        <v>0</v>
      </c>
      <c r="V11" s="10" t="s">
        <v>71</v>
      </c>
      <c r="W11" s="5">
        <v>11000</v>
      </c>
      <c r="X11" s="5">
        <v>0</v>
      </c>
      <c r="Y11" s="5">
        <v>0</v>
      </c>
      <c r="Z11" s="5">
        <f t="shared" si="0"/>
        <v>11000</v>
      </c>
      <c r="AA11" s="5">
        <v>-247750</v>
      </c>
    </row>
    <row r="12" spans="1:27" x14ac:dyDescent="0.25">
      <c r="L12">
        <v>0</v>
      </c>
      <c r="V12" s="3" t="s">
        <v>107</v>
      </c>
      <c r="W12" s="6">
        <f>SUM(W3:W11)</f>
        <v>49828</v>
      </c>
      <c r="X12" s="6">
        <f>SUM(X3:X11)</f>
        <v>-176836.24999999994</v>
      </c>
      <c r="Y12" s="6">
        <f>SUM(Y3:Y11)</f>
        <v>59130.000000000007</v>
      </c>
      <c r="Z12" s="3">
        <f>SUM(Z3:Z11)</f>
        <v>-186138.24999999997</v>
      </c>
      <c r="AA12" s="8">
        <f>SUM(AA3:AA11)</f>
        <v>-2718417.5</v>
      </c>
    </row>
    <row r="13" spans="1:27" x14ac:dyDescent="0.25">
      <c r="J13">
        <f>+AA201</f>
        <v>0</v>
      </c>
      <c r="L13">
        <v>0</v>
      </c>
    </row>
    <row r="14" spans="1:27" x14ac:dyDescent="0.25">
      <c r="A14" s="122">
        <v>44735</v>
      </c>
      <c r="B14" s="123"/>
      <c r="C14" s="123"/>
      <c r="D14" s="123"/>
      <c r="E14" s="123"/>
      <c r="F14" s="123"/>
      <c r="H14" s="122">
        <v>44736</v>
      </c>
      <c r="I14" s="123"/>
      <c r="J14" s="123"/>
      <c r="K14" s="123"/>
      <c r="L14" s="123"/>
      <c r="M14" s="123"/>
      <c r="N14" s="123"/>
      <c r="P14" s="122">
        <v>44739</v>
      </c>
      <c r="Q14" s="123"/>
      <c r="R14" s="123"/>
      <c r="S14" s="123"/>
      <c r="T14" s="123"/>
      <c r="U14" s="123"/>
    </row>
    <row r="15" spans="1:27" x14ac:dyDescent="0.25">
      <c r="A15" s="6" t="s">
        <v>34</v>
      </c>
      <c r="B15" s="6" t="s">
        <v>104</v>
      </c>
      <c r="C15" s="6" t="s">
        <v>105</v>
      </c>
      <c r="D15" s="6" t="s">
        <v>106</v>
      </c>
      <c r="E15" s="3" t="s">
        <v>108</v>
      </c>
      <c r="F15" s="3" t="s">
        <v>28</v>
      </c>
      <c r="H15" s="6" t="s">
        <v>34</v>
      </c>
      <c r="I15" s="6" t="s">
        <v>104</v>
      </c>
      <c r="J15" s="6" t="s">
        <v>105</v>
      </c>
      <c r="K15" s="6"/>
      <c r="L15" s="6" t="s">
        <v>106</v>
      </c>
      <c r="M15" s="3" t="s">
        <v>108</v>
      </c>
      <c r="N15" s="3" t="s">
        <v>28</v>
      </c>
      <c r="P15" s="6" t="s">
        <v>34</v>
      </c>
      <c r="Q15" s="6" t="s">
        <v>104</v>
      </c>
      <c r="R15" s="6" t="s">
        <v>105</v>
      </c>
      <c r="S15" s="6" t="s">
        <v>106</v>
      </c>
      <c r="T15" s="3" t="s">
        <v>108</v>
      </c>
      <c r="U15" s="3" t="s">
        <v>28</v>
      </c>
    </row>
    <row r="16" spans="1:27" x14ac:dyDescent="0.25">
      <c r="A16" s="10" t="s">
        <v>18</v>
      </c>
      <c r="B16" s="5">
        <v>-5170</v>
      </c>
      <c r="C16" s="5">
        <v>-11990</v>
      </c>
      <c r="D16" s="5">
        <v>4730</v>
      </c>
      <c r="E16" s="5">
        <f t="shared" ref="E16:E27" si="4">+B16+C16-D16</f>
        <v>-21890</v>
      </c>
      <c r="F16" s="5">
        <v>0</v>
      </c>
      <c r="H16" s="10" t="s">
        <v>36</v>
      </c>
      <c r="I16" s="5">
        <v>-50760</v>
      </c>
      <c r="J16" s="5">
        <v>46200</v>
      </c>
      <c r="K16" s="5"/>
      <c r="L16" s="5">
        <v>9180</v>
      </c>
      <c r="M16" s="5">
        <f t="shared" ref="M16:M27" si="5">+I16+J16-L16</f>
        <v>-13740</v>
      </c>
      <c r="N16" s="4">
        <v>-379020</v>
      </c>
      <c r="P16" s="10" t="s">
        <v>36</v>
      </c>
      <c r="Q16" s="5">
        <v>-16980</v>
      </c>
      <c r="R16" s="5">
        <v>104430</v>
      </c>
      <c r="S16" s="5">
        <v>42780</v>
      </c>
      <c r="T16" s="5">
        <f t="shared" ref="T16:T29" si="6">+Q16+R16-S16</f>
        <v>44670</v>
      </c>
      <c r="U16" s="4">
        <v>-173640</v>
      </c>
    </row>
    <row r="17" spans="1:21" x14ac:dyDescent="0.25">
      <c r="A17" s="10" t="s">
        <v>36</v>
      </c>
      <c r="B17" s="5">
        <v>-58530</v>
      </c>
      <c r="C17" s="5">
        <v>96270</v>
      </c>
      <c r="D17" s="5">
        <v>180</v>
      </c>
      <c r="E17" s="5">
        <f t="shared" si="4"/>
        <v>37560</v>
      </c>
      <c r="F17" s="4">
        <v>-539640</v>
      </c>
      <c r="H17" s="10" t="s">
        <v>44</v>
      </c>
      <c r="I17" s="5">
        <v>35488.75</v>
      </c>
      <c r="J17" s="5">
        <v>-27803.750000000007</v>
      </c>
      <c r="K17" s="5"/>
      <c r="L17" s="5">
        <v>3190</v>
      </c>
      <c r="M17" s="5">
        <f t="shared" si="5"/>
        <v>4494.9999999999927</v>
      </c>
      <c r="N17" s="7">
        <v>-319978.75</v>
      </c>
      <c r="O17">
        <v>-7685</v>
      </c>
      <c r="P17" s="10">
        <f>-8500-8500-8500-51000</f>
        <v>-76500</v>
      </c>
      <c r="Q17" s="5">
        <v>-7685</v>
      </c>
      <c r="R17" s="5">
        <v>17073.75</v>
      </c>
      <c r="S17" s="5">
        <v>18088.75</v>
      </c>
      <c r="T17" s="5">
        <f t="shared" si="6"/>
        <v>-8700</v>
      </c>
      <c r="U17" s="7">
        <v>-185600</v>
      </c>
    </row>
    <row r="18" spans="1:21" x14ac:dyDescent="0.25">
      <c r="A18" s="10" t="s">
        <v>51</v>
      </c>
      <c r="B18" s="5">
        <v>35640</v>
      </c>
      <c r="C18" s="5">
        <v>-68310</v>
      </c>
      <c r="D18" s="5">
        <v>4410</v>
      </c>
      <c r="E18" s="5">
        <f t="shared" si="4"/>
        <v>-37080</v>
      </c>
      <c r="F18" s="5">
        <v>0</v>
      </c>
      <c r="H18" s="10" t="s">
        <v>15</v>
      </c>
      <c r="I18" s="5">
        <v>-19656.25</v>
      </c>
      <c r="J18" s="5">
        <v>110406.25</v>
      </c>
      <c r="K18" s="5"/>
      <c r="L18" s="5">
        <v>-34718.750000000007</v>
      </c>
      <c r="M18" s="5">
        <f t="shared" si="5"/>
        <v>125468.75</v>
      </c>
      <c r="N18" s="5">
        <v>-332625</v>
      </c>
      <c r="O18">
        <v>-27875</v>
      </c>
      <c r="P18" s="10" t="s">
        <v>15</v>
      </c>
      <c r="Q18" s="5">
        <v>-27875</v>
      </c>
      <c r="R18" s="5">
        <v>120125</v>
      </c>
      <c r="S18" s="5">
        <v>2843.75</v>
      </c>
      <c r="T18" s="5">
        <f t="shared" si="6"/>
        <v>89406.25</v>
      </c>
      <c r="U18" s="5">
        <v>-178500</v>
      </c>
    </row>
    <row r="19" spans="1:21" x14ac:dyDescent="0.25">
      <c r="A19" s="10" t="s">
        <v>44</v>
      </c>
      <c r="B19" s="5">
        <v>-15406.25</v>
      </c>
      <c r="C19" s="5">
        <v>22003.75</v>
      </c>
      <c r="D19" s="5">
        <v>4712.5000000000009</v>
      </c>
      <c r="E19" s="5">
        <f t="shared" si="4"/>
        <v>1884.9999999999991</v>
      </c>
      <c r="F19" s="7">
        <v>-362427.5</v>
      </c>
      <c r="H19" s="10" t="s">
        <v>53</v>
      </c>
      <c r="I19" s="5">
        <v>-27822.5</v>
      </c>
      <c r="J19" s="5">
        <v>146165</v>
      </c>
      <c r="K19" s="5"/>
      <c r="L19" s="5">
        <v>7440</v>
      </c>
      <c r="M19" s="5">
        <f t="shared" si="5"/>
        <v>110902.5</v>
      </c>
      <c r="N19" s="5">
        <v>-389360</v>
      </c>
      <c r="O19">
        <v>-27125</v>
      </c>
      <c r="P19" s="10" t="s">
        <v>53</v>
      </c>
      <c r="Q19" s="5">
        <v>-27125</v>
      </c>
      <c r="R19" s="5">
        <v>154380</v>
      </c>
      <c r="S19" s="5">
        <v>26350</v>
      </c>
      <c r="T19" s="5">
        <f t="shared" si="6"/>
        <v>100905</v>
      </c>
      <c r="U19" s="5">
        <v>-423382.5</v>
      </c>
    </row>
    <row r="20" spans="1:21" x14ac:dyDescent="0.25">
      <c r="A20" s="10" t="s">
        <v>15</v>
      </c>
      <c r="B20" s="5">
        <v>42093.75</v>
      </c>
      <c r="C20" s="5">
        <v>-161250</v>
      </c>
      <c r="D20" s="5">
        <v>10406.25</v>
      </c>
      <c r="E20" s="5">
        <f t="shared" si="4"/>
        <v>-129562.5</v>
      </c>
      <c r="F20" s="5">
        <v>-459937.5</v>
      </c>
      <c r="H20" s="10" t="s">
        <v>43</v>
      </c>
      <c r="I20" s="5">
        <v>-8000</v>
      </c>
      <c r="J20" s="5">
        <v>21312.5</v>
      </c>
      <c r="K20" s="5"/>
      <c r="L20" s="5">
        <v>15125</v>
      </c>
      <c r="M20" s="5">
        <f t="shared" si="5"/>
        <v>-1812.5</v>
      </c>
      <c r="N20" s="5">
        <v>-335562.5</v>
      </c>
      <c r="O20">
        <v>-27250</v>
      </c>
      <c r="P20" s="10">
        <v>17000</v>
      </c>
      <c r="Q20" s="5">
        <v>-27250</v>
      </c>
      <c r="R20" s="5">
        <v>151375</v>
      </c>
      <c r="S20" s="5">
        <v>28375</v>
      </c>
      <c r="T20" s="5">
        <f t="shared" si="6"/>
        <v>95750</v>
      </c>
      <c r="U20" s="5">
        <v>-238812.5</v>
      </c>
    </row>
    <row r="21" spans="1:21" x14ac:dyDescent="0.25">
      <c r="A21" s="10" t="s">
        <v>53</v>
      </c>
      <c r="B21" s="5">
        <v>-20227.5</v>
      </c>
      <c r="C21" s="5">
        <v>61922.5</v>
      </c>
      <c r="D21" s="5">
        <v>-5502.5</v>
      </c>
      <c r="E21" s="5">
        <f t="shared" si="4"/>
        <v>47197.5</v>
      </c>
      <c r="F21" s="5">
        <v>-500185</v>
      </c>
      <c r="H21" s="10" t="s">
        <v>99</v>
      </c>
      <c r="I21" s="5">
        <v>-75460</v>
      </c>
      <c r="J21" s="5">
        <v>154192.5</v>
      </c>
      <c r="K21" s="5"/>
      <c r="L21" s="5">
        <v>-25217.5</v>
      </c>
      <c r="M21" s="5">
        <f t="shared" si="5"/>
        <v>103950</v>
      </c>
      <c r="N21" s="7">
        <v>-319165</v>
      </c>
      <c r="O21">
        <v>577.5</v>
      </c>
      <c r="P21" s="10">
        <v>124100</v>
      </c>
      <c r="Q21" s="5">
        <v>577.5</v>
      </c>
      <c r="R21" s="5">
        <v>-44852.499999999971</v>
      </c>
      <c r="S21" s="5">
        <v>40425</v>
      </c>
      <c r="T21" s="5">
        <f t="shared" si="6"/>
        <v>-84699.999999999971</v>
      </c>
      <c r="U21" s="7">
        <v>-432547.5</v>
      </c>
    </row>
    <row r="22" spans="1:21" x14ac:dyDescent="0.25">
      <c r="A22" s="10" t="s">
        <v>43</v>
      </c>
      <c r="B22" s="5">
        <v>-15750</v>
      </c>
      <c r="C22" s="5">
        <v>30062.5</v>
      </c>
      <c r="D22" s="5">
        <v>5187.5</v>
      </c>
      <c r="E22" s="5">
        <f t="shared" si="4"/>
        <v>9125</v>
      </c>
      <c r="F22" s="5">
        <v>-351750</v>
      </c>
      <c r="H22" s="10" t="s">
        <v>94</v>
      </c>
      <c r="I22" s="5">
        <v>990</v>
      </c>
      <c r="J22" s="5">
        <v>27180</v>
      </c>
      <c r="K22" s="5"/>
      <c r="L22" s="5">
        <v>-3060</v>
      </c>
      <c r="M22" s="5">
        <f t="shared" si="5"/>
        <v>31230</v>
      </c>
      <c r="N22" s="5">
        <v>-406440</v>
      </c>
      <c r="O22">
        <v>-2790</v>
      </c>
      <c r="P22" s="10">
        <v>119000</v>
      </c>
      <c r="Q22" s="5">
        <v>-2790</v>
      </c>
      <c r="R22" s="5">
        <v>108540</v>
      </c>
      <c r="S22" s="5">
        <v>18540</v>
      </c>
      <c r="T22" s="5">
        <f t="shared" si="6"/>
        <v>87210</v>
      </c>
      <c r="U22" s="5">
        <v>-373950</v>
      </c>
    </row>
    <row r="23" spans="1:21" x14ac:dyDescent="0.25">
      <c r="A23" s="10" t="s">
        <v>99</v>
      </c>
      <c r="B23" s="5">
        <v>-36960</v>
      </c>
      <c r="C23" s="5">
        <v>34650</v>
      </c>
      <c r="D23" s="5">
        <v>-6545</v>
      </c>
      <c r="E23" s="5">
        <f t="shared" si="4"/>
        <v>4235</v>
      </c>
      <c r="F23" s="7">
        <v>-576345</v>
      </c>
      <c r="H23" s="10" t="s">
        <v>46</v>
      </c>
      <c r="I23" s="5">
        <v>3301.25</v>
      </c>
      <c r="J23" s="5">
        <v>137940</v>
      </c>
      <c r="K23" s="5"/>
      <c r="L23" s="5">
        <v>16743.75</v>
      </c>
      <c r="M23" s="5">
        <f t="shared" si="5"/>
        <v>124497.5</v>
      </c>
      <c r="N23" s="5">
        <v>-527250</v>
      </c>
      <c r="O23">
        <v>-5961.25</v>
      </c>
      <c r="P23" s="10">
        <v>147900</v>
      </c>
      <c r="Q23" s="5">
        <v>-5961.25</v>
      </c>
      <c r="R23" s="5">
        <v>212087.5</v>
      </c>
      <c r="S23" s="5">
        <v>24890</v>
      </c>
      <c r="T23" s="5">
        <f t="shared" si="6"/>
        <v>181236.25</v>
      </c>
      <c r="U23" s="5">
        <v>-391162.5</v>
      </c>
    </row>
    <row r="24" spans="1:21" x14ac:dyDescent="0.25">
      <c r="A24" s="10" t="s">
        <v>94</v>
      </c>
      <c r="B24" s="5">
        <v>-40050</v>
      </c>
      <c r="C24" s="5">
        <v>74790</v>
      </c>
      <c r="D24" s="5">
        <v>17820</v>
      </c>
      <c r="E24" s="5">
        <f t="shared" si="4"/>
        <v>16920</v>
      </c>
      <c r="F24" s="5">
        <v>-487350</v>
      </c>
      <c r="H24" s="10" t="s">
        <v>71</v>
      </c>
      <c r="I24" s="5">
        <v>-11000</v>
      </c>
      <c r="J24" s="5">
        <v>237000</v>
      </c>
      <c r="K24" s="5"/>
      <c r="L24" s="5">
        <v>-250</v>
      </c>
      <c r="M24" s="5">
        <f t="shared" si="5"/>
        <v>226250</v>
      </c>
      <c r="N24" s="5">
        <v>-389500</v>
      </c>
      <c r="O24">
        <v>-21875</v>
      </c>
      <c r="P24" s="10"/>
      <c r="Q24" s="5">
        <v>-21875</v>
      </c>
      <c r="R24" s="5">
        <v>-24500.000000000029</v>
      </c>
      <c r="S24" s="5">
        <v>28250</v>
      </c>
      <c r="T24" s="5">
        <f t="shared" si="6"/>
        <v>-74625.000000000029</v>
      </c>
      <c r="U24" s="5">
        <v>-392625</v>
      </c>
    </row>
    <row r="25" spans="1:21" x14ac:dyDescent="0.25">
      <c r="A25" s="10" t="s">
        <v>46</v>
      </c>
      <c r="B25" s="5">
        <v>213.75</v>
      </c>
      <c r="C25" s="5">
        <v>44650</v>
      </c>
      <c r="D25" s="5">
        <v>4180</v>
      </c>
      <c r="E25" s="5">
        <f t="shared" si="4"/>
        <v>40683.75</v>
      </c>
      <c r="F25" s="5">
        <v>-512287.5</v>
      </c>
      <c r="H25" s="10" t="s">
        <v>17</v>
      </c>
      <c r="I25" s="5">
        <v>-21801.25</v>
      </c>
      <c r="J25" s="5">
        <v>63900</v>
      </c>
      <c r="K25" s="5"/>
      <c r="L25" s="5">
        <v>10987.5</v>
      </c>
      <c r="M25" s="5">
        <f t="shared" si="5"/>
        <v>31111.25</v>
      </c>
      <c r="N25" s="5">
        <v>-286775</v>
      </c>
      <c r="O25">
        <v>7775</v>
      </c>
      <c r="P25" s="10">
        <v>-34000</v>
      </c>
      <c r="Q25" s="5">
        <v>7775</v>
      </c>
      <c r="R25" s="5">
        <v>69237.5</v>
      </c>
      <c r="S25" s="5">
        <v>11337.5</v>
      </c>
      <c r="T25" s="5">
        <f t="shared" si="6"/>
        <v>65675</v>
      </c>
      <c r="U25" s="5">
        <v>-256400</v>
      </c>
    </row>
    <row r="26" spans="1:21" x14ac:dyDescent="0.25">
      <c r="A26" s="10" t="s">
        <v>71</v>
      </c>
      <c r="B26" s="5">
        <v>-135375</v>
      </c>
      <c r="C26" s="5">
        <v>4750</v>
      </c>
      <c r="D26" s="5">
        <v>15750</v>
      </c>
      <c r="E26" s="5">
        <f t="shared" si="4"/>
        <v>-146375</v>
      </c>
      <c r="F26" s="5">
        <v>-528750</v>
      </c>
      <c r="H26" s="10" t="s">
        <v>67</v>
      </c>
      <c r="I26" s="5">
        <v>-52176.75</v>
      </c>
      <c r="J26" s="5">
        <v>0</v>
      </c>
      <c r="K26" s="5"/>
      <c r="L26" s="5">
        <v>0</v>
      </c>
      <c r="M26" s="5">
        <f t="shared" si="5"/>
        <v>-52176.75</v>
      </c>
      <c r="N26" s="5">
        <v>-129220</v>
      </c>
      <c r="O26">
        <v>2470</v>
      </c>
      <c r="P26" s="10" t="s">
        <v>67</v>
      </c>
      <c r="Q26" s="5">
        <v>2470</v>
      </c>
      <c r="R26" s="5">
        <v>-2730</v>
      </c>
      <c r="S26" s="5">
        <v>-195</v>
      </c>
      <c r="T26" s="5">
        <f t="shared" si="6"/>
        <v>-65</v>
      </c>
      <c r="U26" s="5">
        <v>-81900</v>
      </c>
    </row>
    <row r="27" spans="1:21" x14ac:dyDescent="0.25">
      <c r="A27" s="10" t="s">
        <v>17</v>
      </c>
      <c r="B27" s="5">
        <v>11418.75</v>
      </c>
      <c r="C27" s="5">
        <v>0</v>
      </c>
      <c r="D27" s="5">
        <v>0</v>
      </c>
      <c r="E27" s="5">
        <f t="shared" si="4"/>
        <v>11418.75</v>
      </c>
      <c r="F27" s="5">
        <v>-294362.5</v>
      </c>
      <c r="H27" s="10" t="s">
        <v>59</v>
      </c>
      <c r="I27" s="5">
        <v>64250</v>
      </c>
      <c r="J27" s="5">
        <v>0</v>
      </c>
      <c r="K27" s="5"/>
      <c r="L27" s="5">
        <v>0</v>
      </c>
      <c r="M27" s="5">
        <f t="shared" si="5"/>
        <v>64250</v>
      </c>
      <c r="N27" s="5">
        <v>-387512.5</v>
      </c>
      <c r="O27">
        <v>8537</v>
      </c>
      <c r="P27" s="10" t="s">
        <v>59</v>
      </c>
      <c r="Q27" s="5">
        <v>8537</v>
      </c>
      <c r="R27" s="5">
        <v>32349.999999999971</v>
      </c>
      <c r="S27" s="5">
        <v>46224.999999999993</v>
      </c>
      <c r="T27" s="5">
        <f t="shared" si="6"/>
        <v>-5338.0000000000218</v>
      </c>
      <c r="U27" s="5">
        <v>-310150</v>
      </c>
    </row>
    <row r="28" spans="1:21" x14ac:dyDescent="0.25">
      <c r="A28" s="3" t="s">
        <v>107</v>
      </c>
      <c r="B28" s="6">
        <f>SUM(B16:B27)</f>
        <v>-238102.5</v>
      </c>
      <c r="C28" s="6">
        <f>SUM(C16:C27)</f>
        <v>127548.75</v>
      </c>
      <c r="D28" s="6">
        <f>SUM(D16:D27)</f>
        <v>55328.75</v>
      </c>
      <c r="E28" s="3">
        <f>SUM(E16:E27)</f>
        <v>-165882.5</v>
      </c>
      <c r="F28" s="8">
        <f>SUM(F16:F27)</f>
        <v>-4613035</v>
      </c>
      <c r="H28" s="3" t="s">
        <v>107</v>
      </c>
      <c r="I28" s="6">
        <f>SUM(I16:I27)</f>
        <v>-162646.75</v>
      </c>
      <c r="J28" s="6">
        <f>SUM(J16:J27)</f>
        <v>916492.5</v>
      </c>
      <c r="K28" s="6"/>
      <c r="L28" s="6">
        <f>SUM(L16:L27)</f>
        <v>-580.00000000000728</v>
      </c>
      <c r="M28" s="3">
        <f>SUM(M16:M27)</f>
        <v>754425.75</v>
      </c>
      <c r="N28" s="8">
        <f>SUM(N16:N27)</f>
        <v>-4202408.75</v>
      </c>
      <c r="O28">
        <v>-2875</v>
      </c>
      <c r="P28" s="10" t="s">
        <v>79</v>
      </c>
      <c r="Q28" s="5">
        <v>-2875</v>
      </c>
      <c r="R28" s="5">
        <v>0</v>
      </c>
      <c r="S28" s="5">
        <v>0</v>
      </c>
      <c r="T28" s="5">
        <f t="shared" si="6"/>
        <v>-2875</v>
      </c>
      <c r="U28" s="5">
        <v>-295750</v>
      </c>
    </row>
    <row r="29" spans="1:21" x14ac:dyDescent="0.25">
      <c r="O29">
        <v>24315</v>
      </c>
      <c r="P29" s="10" t="s">
        <v>38</v>
      </c>
      <c r="Q29" s="5">
        <v>24315</v>
      </c>
      <c r="R29" s="5">
        <v>0</v>
      </c>
      <c r="S29" s="5">
        <v>0</v>
      </c>
      <c r="T29" s="5">
        <f t="shared" si="6"/>
        <v>24315</v>
      </c>
      <c r="U29" s="5">
        <v>-216622.5</v>
      </c>
    </row>
    <row r="30" spans="1:21" x14ac:dyDescent="0.25">
      <c r="O30">
        <v>-96741.75</v>
      </c>
      <c r="P30" s="3" t="s">
        <v>107</v>
      </c>
      <c r="Q30" s="6">
        <f>SUM(Q16:Q29)</f>
        <v>-96741.75</v>
      </c>
      <c r="R30" s="6">
        <f>SUM(R16:R29)</f>
        <v>897516.25</v>
      </c>
      <c r="S30" s="6">
        <f>SUM(S16:S29)</f>
        <v>287910</v>
      </c>
      <c r="T30" s="3">
        <f>SUM(T16:T29)</f>
        <v>512864.5</v>
      </c>
      <c r="U30" s="8">
        <f>SUM(U16:U29)</f>
        <v>-3951042.5</v>
      </c>
    </row>
    <row r="32" spans="1:21" x14ac:dyDescent="0.25">
      <c r="P32">
        <v>-81600</v>
      </c>
    </row>
    <row r="34" spans="1:21" x14ac:dyDescent="0.25">
      <c r="A34" s="122">
        <v>44740</v>
      </c>
      <c r="B34" s="123"/>
      <c r="C34" s="123"/>
      <c r="D34" s="123"/>
      <c r="E34" s="123"/>
      <c r="F34" s="123"/>
      <c r="H34" s="122">
        <v>44741</v>
      </c>
      <c r="I34" s="123"/>
      <c r="J34" s="123"/>
      <c r="K34" s="123"/>
      <c r="L34" s="123"/>
      <c r="M34" s="123"/>
      <c r="N34" s="123"/>
      <c r="P34" s="122">
        <v>51000</v>
      </c>
      <c r="Q34" s="123"/>
      <c r="R34" s="123"/>
      <c r="S34" s="123"/>
      <c r="T34" s="123"/>
      <c r="U34" s="123"/>
    </row>
    <row r="35" spans="1:21" x14ac:dyDescent="0.25">
      <c r="A35" s="6" t="s">
        <v>34</v>
      </c>
      <c r="B35" s="6" t="s">
        <v>104</v>
      </c>
      <c r="C35" s="6" t="s">
        <v>105</v>
      </c>
      <c r="D35" s="6" t="s">
        <v>106</v>
      </c>
      <c r="E35" s="3" t="s">
        <v>108</v>
      </c>
      <c r="F35" s="3" t="s">
        <v>28</v>
      </c>
      <c r="H35" s="6" t="s">
        <v>34</v>
      </c>
      <c r="I35" s="6" t="s">
        <v>104</v>
      </c>
      <c r="J35" s="6" t="s">
        <v>105</v>
      </c>
      <c r="K35" s="6"/>
      <c r="L35" s="6" t="s">
        <v>106</v>
      </c>
      <c r="M35" s="3" t="s">
        <v>108</v>
      </c>
      <c r="N35" s="3" t="s">
        <v>28</v>
      </c>
      <c r="O35" t="s">
        <v>104</v>
      </c>
      <c r="P35" s="6" t="s">
        <v>34</v>
      </c>
      <c r="Q35" s="6" t="s">
        <v>104</v>
      </c>
      <c r="R35" s="6" t="s">
        <v>105</v>
      </c>
      <c r="S35" s="6" t="s">
        <v>106</v>
      </c>
      <c r="T35" s="3" t="s">
        <v>108</v>
      </c>
      <c r="U35" s="3" t="s">
        <v>28</v>
      </c>
    </row>
    <row r="36" spans="1:21" x14ac:dyDescent="0.25">
      <c r="A36" s="10" t="s">
        <v>36</v>
      </c>
      <c r="B36" s="5">
        <v>-70740</v>
      </c>
      <c r="C36" s="5">
        <v>10680.000000000004</v>
      </c>
      <c r="D36" s="5">
        <v>-8160.0000000000009</v>
      </c>
      <c r="E36" s="5">
        <f t="shared" ref="E36:E52" si="7">+B36+C36-D36</f>
        <v>-51900</v>
      </c>
      <c r="F36" s="4">
        <v>0</v>
      </c>
      <c r="H36" s="10" t="s">
        <v>53</v>
      </c>
      <c r="I36" s="5">
        <v>-1162.5</v>
      </c>
      <c r="J36" s="5">
        <v>86025</v>
      </c>
      <c r="K36" s="5"/>
      <c r="L36" s="5">
        <v>-15965</v>
      </c>
      <c r="M36" s="5">
        <f t="shared" ref="M36:M46" si="8">+I36+J36-L36</f>
        <v>100827.5</v>
      </c>
      <c r="N36" s="5">
        <v>-313100</v>
      </c>
      <c r="O36">
        <v>322865</v>
      </c>
      <c r="P36" s="10" t="s">
        <v>53</v>
      </c>
      <c r="Q36" s="5">
        <v>322865</v>
      </c>
      <c r="R36" s="5">
        <v>-269235</v>
      </c>
      <c r="S36" s="5">
        <v>-11702.5</v>
      </c>
      <c r="T36" s="5">
        <f t="shared" ref="T36:T42" si="9">+Q36+R36-S36</f>
        <v>65332.5</v>
      </c>
      <c r="U36" s="5">
        <v>0</v>
      </c>
    </row>
    <row r="37" spans="1:21" x14ac:dyDescent="0.25">
      <c r="A37" s="10" t="s">
        <v>44</v>
      </c>
      <c r="B37" s="5">
        <v>-23852.5</v>
      </c>
      <c r="C37" s="5">
        <v>39222.5</v>
      </c>
      <c r="D37" s="5">
        <v>-25846.25</v>
      </c>
      <c r="E37" s="5">
        <f t="shared" si="7"/>
        <v>41216.25</v>
      </c>
      <c r="F37" s="7">
        <v>0</v>
      </c>
      <c r="H37" s="10" t="s">
        <v>99</v>
      </c>
      <c r="I37" s="5">
        <v>-171325</v>
      </c>
      <c r="J37" s="5">
        <v>221952.5</v>
      </c>
      <c r="K37" s="5"/>
      <c r="L37" s="5">
        <v>-12320</v>
      </c>
      <c r="M37" s="5">
        <f t="shared" si="8"/>
        <v>62947.5</v>
      </c>
      <c r="N37" s="7">
        <v>-247170</v>
      </c>
      <c r="O37">
        <v>27527.5</v>
      </c>
      <c r="P37" s="10" t="s">
        <v>99</v>
      </c>
      <c r="Q37" s="5">
        <f>-2502.5+30030</f>
        <v>27527.5</v>
      </c>
      <c r="R37" s="5">
        <v>62177.5</v>
      </c>
      <c r="S37" s="5">
        <v>62947.5</v>
      </c>
      <c r="T37" s="5">
        <f t="shared" si="9"/>
        <v>26757.5</v>
      </c>
      <c r="U37" s="7">
        <v>0</v>
      </c>
    </row>
    <row r="38" spans="1:21" x14ac:dyDescent="0.25">
      <c r="A38" s="10" t="s">
        <v>15</v>
      </c>
      <c r="B38" s="5">
        <v>-106250</v>
      </c>
      <c r="C38" s="5">
        <v>56687.5</v>
      </c>
      <c r="D38" s="5">
        <v>14687.5</v>
      </c>
      <c r="E38" s="5">
        <f t="shared" si="7"/>
        <v>-64250</v>
      </c>
      <c r="F38" s="5">
        <v>0</v>
      </c>
      <c r="H38" s="10" t="s">
        <v>94</v>
      </c>
      <c r="I38" s="5">
        <v>-41040</v>
      </c>
      <c r="J38" s="5">
        <v>-90359.999999999971</v>
      </c>
      <c r="K38" s="5"/>
      <c r="L38" s="5">
        <v>2790</v>
      </c>
      <c r="M38" s="5">
        <f t="shared" si="8"/>
        <v>-134189.99999999997</v>
      </c>
      <c r="N38" s="5">
        <v>-120960</v>
      </c>
      <c r="O38">
        <v>3060</v>
      </c>
      <c r="P38" s="10">
        <v>-51300</v>
      </c>
      <c r="Q38" s="5">
        <v>3060</v>
      </c>
      <c r="R38" s="5">
        <v>10890</v>
      </c>
      <c r="S38" s="5">
        <v>-18270.000000000004</v>
      </c>
      <c r="T38" s="5">
        <f t="shared" si="9"/>
        <v>32220.000000000004</v>
      </c>
      <c r="U38" s="5">
        <v>0</v>
      </c>
    </row>
    <row r="39" spans="1:21" x14ac:dyDescent="0.25">
      <c r="A39" s="10" t="s">
        <v>53</v>
      </c>
      <c r="B39" s="5">
        <v>3177.5</v>
      </c>
      <c r="C39" s="5">
        <v>35495</v>
      </c>
      <c r="D39" s="5">
        <v>-26505</v>
      </c>
      <c r="E39" s="5">
        <f t="shared" si="7"/>
        <v>65177.5</v>
      </c>
      <c r="F39" s="5">
        <v>-570865</v>
      </c>
      <c r="H39" s="10" t="s">
        <v>46</v>
      </c>
      <c r="I39" s="5">
        <v>-25887.5</v>
      </c>
      <c r="J39" s="5">
        <v>83433.75</v>
      </c>
      <c r="K39" s="5"/>
      <c r="L39" s="5">
        <v>28215</v>
      </c>
      <c r="M39" s="5">
        <f t="shared" si="8"/>
        <v>29331.25</v>
      </c>
      <c r="N39" s="5">
        <v>-12611.25</v>
      </c>
      <c r="O39">
        <v>7837.5</v>
      </c>
      <c r="P39" s="10"/>
      <c r="Q39" s="5">
        <v>7837.5</v>
      </c>
      <c r="R39" s="5">
        <v>-5510</v>
      </c>
      <c r="S39" s="5">
        <v>-2161.25</v>
      </c>
      <c r="T39" s="5">
        <f t="shared" si="9"/>
        <v>4488.75</v>
      </c>
      <c r="U39" s="5">
        <v>0</v>
      </c>
    </row>
    <row r="40" spans="1:21" x14ac:dyDescent="0.25">
      <c r="A40" s="10" t="s">
        <v>43</v>
      </c>
      <c r="B40" s="5">
        <v>-57687.5</v>
      </c>
      <c r="C40" s="5">
        <v>40562.5</v>
      </c>
      <c r="D40" s="5">
        <v>-5875</v>
      </c>
      <c r="E40" s="5">
        <f t="shared" si="7"/>
        <v>-11250</v>
      </c>
      <c r="F40" s="5">
        <v>0</v>
      </c>
      <c r="H40" s="10" t="s">
        <v>71</v>
      </c>
      <c r="I40" s="5">
        <v>-60000</v>
      </c>
      <c r="J40" s="5">
        <v>8250.0000000000073</v>
      </c>
      <c r="K40" s="5"/>
      <c r="L40" s="5">
        <v>13750</v>
      </c>
      <c r="M40" s="5">
        <f t="shared" si="8"/>
        <v>-65499.999999999993</v>
      </c>
      <c r="N40" s="5">
        <v>0</v>
      </c>
      <c r="O40">
        <v>12893.75</v>
      </c>
      <c r="P40" s="10">
        <v>-35100</v>
      </c>
      <c r="Q40" s="5">
        <f>22593.75-9700</f>
        <v>12893.75</v>
      </c>
      <c r="R40" s="5">
        <v>74412.5</v>
      </c>
      <c r="S40" s="5">
        <v>20193.75</v>
      </c>
      <c r="T40" s="5">
        <f t="shared" si="9"/>
        <v>67112.5</v>
      </c>
      <c r="U40" s="5">
        <v>0</v>
      </c>
    </row>
    <row r="41" spans="1:21" x14ac:dyDescent="0.25">
      <c r="A41" s="10" t="s">
        <v>99</v>
      </c>
      <c r="B41" s="5">
        <v>361515</v>
      </c>
      <c r="C41" s="5">
        <v>-707437.5</v>
      </c>
      <c r="D41" s="5">
        <v>-27335</v>
      </c>
      <c r="E41" s="5">
        <f t="shared" si="7"/>
        <v>-318587.5</v>
      </c>
      <c r="F41" s="7">
        <v>-443905</v>
      </c>
      <c r="H41" s="10" t="s">
        <v>17</v>
      </c>
      <c r="I41" s="5">
        <v>59662.5</v>
      </c>
      <c r="J41" s="5">
        <v>-93918.75</v>
      </c>
      <c r="K41" s="5"/>
      <c r="L41" s="5">
        <v>21662.5</v>
      </c>
      <c r="M41" s="5">
        <f t="shared" si="8"/>
        <v>-55918.75</v>
      </c>
      <c r="N41" s="5">
        <v>-123775</v>
      </c>
      <c r="O41">
        <v>151912.5</v>
      </c>
      <c r="P41" s="10">
        <v>-27000</v>
      </c>
      <c r="Q41" s="5">
        <f>30757.5+121155</f>
        <v>151912.5</v>
      </c>
      <c r="R41" s="5">
        <v>-105030</v>
      </c>
      <c r="S41" s="5">
        <v>-18817.500000000007</v>
      </c>
      <c r="T41" s="5">
        <f t="shared" si="9"/>
        <v>65700</v>
      </c>
      <c r="U41" s="5">
        <v>0</v>
      </c>
    </row>
    <row r="42" spans="1:21" x14ac:dyDescent="0.25">
      <c r="A42" s="10" t="s">
        <v>94</v>
      </c>
      <c r="B42" s="5">
        <v>-145980</v>
      </c>
      <c r="C42" s="5">
        <v>-50130</v>
      </c>
      <c r="D42" s="5">
        <v>-18630</v>
      </c>
      <c r="E42" s="5">
        <f t="shared" si="7"/>
        <v>-177480</v>
      </c>
      <c r="F42" s="5">
        <v>-437940</v>
      </c>
      <c r="H42" s="10" t="s">
        <v>59</v>
      </c>
      <c r="I42" s="5">
        <v>-22031.25</v>
      </c>
      <c r="J42" s="5">
        <v>22450</v>
      </c>
      <c r="K42" s="5"/>
      <c r="L42" s="5">
        <v>-32812.5</v>
      </c>
      <c r="M42" s="5">
        <f t="shared" si="8"/>
        <v>33231.25</v>
      </c>
      <c r="N42" s="5">
        <v>0</v>
      </c>
      <c r="O42">
        <v>-20460</v>
      </c>
      <c r="P42" s="10"/>
      <c r="Q42" s="5">
        <v>-20460</v>
      </c>
      <c r="R42" s="5">
        <v>65642.500000000015</v>
      </c>
      <c r="S42" s="5">
        <v>-155</v>
      </c>
      <c r="T42" s="5">
        <f t="shared" si="9"/>
        <v>45337.500000000015</v>
      </c>
      <c r="U42" s="5">
        <v>0</v>
      </c>
    </row>
    <row r="43" spans="1:21" x14ac:dyDescent="0.25">
      <c r="A43" s="10" t="s">
        <v>46</v>
      </c>
      <c r="B43" s="5">
        <v>-28286.25</v>
      </c>
      <c r="C43" s="5">
        <v>127561.25</v>
      </c>
      <c r="D43" s="5">
        <v>-2161.25</v>
      </c>
      <c r="E43" s="5">
        <f t="shared" si="7"/>
        <v>101436.25</v>
      </c>
      <c r="F43" s="5">
        <v>-235600</v>
      </c>
      <c r="H43" s="10" t="s">
        <v>79</v>
      </c>
      <c r="I43" s="5">
        <v>-33125</v>
      </c>
      <c r="J43" s="5">
        <v>29250</v>
      </c>
      <c r="K43" s="5"/>
      <c r="L43" s="5">
        <v>-1500</v>
      </c>
      <c r="M43" s="5">
        <f t="shared" si="8"/>
        <v>-2375</v>
      </c>
      <c r="N43" s="5">
        <v>0</v>
      </c>
      <c r="O43">
        <v>505636.25</v>
      </c>
      <c r="P43" s="3"/>
      <c r="Q43" s="6">
        <f>SUM(Q36:Q42)</f>
        <v>505636.25</v>
      </c>
      <c r="R43" s="6">
        <f>SUM(R36:R42)</f>
        <v>-166652.5</v>
      </c>
      <c r="S43" s="6">
        <f>SUM(S36:S42)</f>
        <v>32034.999999999993</v>
      </c>
      <c r="T43" s="3">
        <f>SUM(T36:T42)</f>
        <v>306948.75</v>
      </c>
      <c r="U43" s="8">
        <f>SUM(U36:U42)</f>
        <v>0</v>
      </c>
    </row>
    <row r="44" spans="1:21" x14ac:dyDescent="0.25">
      <c r="A44" s="10" t="s">
        <v>71</v>
      </c>
      <c r="B44" s="5">
        <v>-47500</v>
      </c>
      <c r="C44" s="5">
        <v>174875</v>
      </c>
      <c r="D44" s="5">
        <v>3625</v>
      </c>
      <c r="E44" s="5">
        <f t="shared" si="7"/>
        <v>123750</v>
      </c>
      <c r="F44" s="5">
        <v>-263375</v>
      </c>
      <c r="H44" s="10" t="s">
        <v>38</v>
      </c>
      <c r="I44" s="5">
        <v>-20317.5</v>
      </c>
      <c r="J44" s="5">
        <v>102989.99999999999</v>
      </c>
      <c r="K44" s="5"/>
      <c r="L44" s="5">
        <v>9472.5</v>
      </c>
      <c r="M44" s="5">
        <f t="shared" si="8"/>
        <v>73199.999999999985</v>
      </c>
      <c r="N44" s="5">
        <v>-140332.5</v>
      </c>
    </row>
    <row r="45" spans="1:21" x14ac:dyDescent="0.25">
      <c r="A45" s="10" t="s">
        <v>17</v>
      </c>
      <c r="B45" s="5">
        <v>-79887</v>
      </c>
      <c r="C45" s="5">
        <v>105793.75</v>
      </c>
      <c r="D45" s="5">
        <v>6231.25</v>
      </c>
      <c r="E45" s="5">
        <f t="shared" si="7"/>
        <v>19675.5</v>
      </c>
      <c r="F45" s="5">
        <v>-269725</v>
      </c>
      <c r="H45" s="10" t="s">
        <v>51</v>
      </c>
      <c r="I45" s="5">
        <v>-26280</v>
      </c>
      <c r="J45" s="5">
        <v>28124.999999999993</v>
      </c>
      <c r="K45" s="5"/>
      <c r="L45" s="5">
        <v>37485</v>
      </c>
      <c r="M45" s="5">
        <f t="shared" si="8"/>
        <v>-35640.000000000007</v>
      </c>
      <c r="N45" s="5">
        <v>0</v>
      </c>
    </row>
    <row r="46" spans="1:21" x14ac:dyDescent="0.25">
      <c r="A46" s="10" t="s">
        <v>67</v>
      </c>
      <c r="B46" s="5">
        <v>-20670</v>
      </c>
      <c r="C46" s="5">
        <v>17225</v>
      </c>
      <c r="D46" s="5">
        <v>1885</v>
      </c>
      <c r="E46" s="5">
        <f t="shared" si="7"/>
        <v>-5330</v>
      </c>
      <c r="F46" s="5">
        <v>0</v>
      </c>
      <c r="H46" s="10" t="s">
        <v>55</v>
      </c>
      <c r="I46" s="5">
        <v>8912.5</v>
      </c>
      <c r="J46" s="5">
        <v>57195</v>
      </c>
      <c r="K46" s="5"/>
      <c r="L46" s="5">
        <v>8680</v>
      </c>
      <c r="M46" s="5">
        <f t="shared" si="8"/>
        <v>57427.5</v>
      </c>
      <c r="N46" s="5">
        <v>-125084.99999999999</v>
      </c>
    </row>
    <row r="47" spans="1:21" x14ac:dyDescent="0.25">
      <c r="A47" s="10" t="s">
        <v>59</v>
      </c>
      <c r="B47" s="5">
        <v>-47506</v>
      </c>
      <c r="C47" s="5">
        <v>54250</v>
      </c>
      <c r="D47" s="5">
        <v>34300</v>
      </c>
      <c r="E47" s="5">
        <f t="shared" si="7"/>
        <v>-27556</v>
      </c>
      <c r="F47" s="5">
        <v>-305100</v>
      </c>
      <c r="H47" s="3" t="s">
        <v>107</v>
      </c>
      <c r="I47" s="6">
        <f>SUM(I36:I46)</f>
        <v>-332593.75</v>
      </c>
      <c r="J47" s="6">
        <f>SUM(J36:J46)</f>
        <v>455392.5</v>
      </c>
      <c r="K47" s="6"/>
      <c r="L47" s="6">
        <f>SUM(L36:L46)</f>
        <v>59457.5</v>
      </c>
      <c r="M47" s="3">
        <f>SUM(M36:M46)</f>
        <v>63341.250000000015</v>
      </c>
      <c r="N47" s="8">
        <f>SUM(N36:N46)</f>
        <v>-1083033.75</v>
      </c>
    </row>
    <row r="48" spans="1:21" x14ac:dyDescent="0.25">
      <c r="A48" s="10" t="s">
        <v>79</v>
      </c>
      <c r="B48" s="5">
        <v>-144375</v>
      </c>
      <c r="C48" s="5">
        <v>109750</v>
      </c>
      <c r="D48" s="5">
        <v>-2250</v>
      </c>
      <c r="E48" s="5">
        <f t="shared" si="7"/>
        <v>-32375</v>
      </c>
      <c r="F48" s="5">
        <v>-155500</v>
      </c>
    </row>
    <row r="49" spans="1:21" x14ac:dyDescent="0.25">
      <c r="A49" s="10" t="s">
        <v>38</v>
      </c>
      <c r="B49" s="5">
        <v>-136500</v>
      </c>
      <c r="C49" s="5">
        <v>83340.000000000015</v>
      </c>
      <c r="D49" s="5">
        <v>33435</v>
      </c>
      <c r="E49" s="5">
        <f t="shared" si="7"/>
        <v>-86594.999999999985</v>
      </c>
      <c r="F49" s="5">
        <v>-384427.5</v>
      </c>
    </row>
    <row r="50" spans="1:21" x14ac:dyDescent="0.25">
      <c r="A50" s="10" t="s">
        <v>51</v>
      </c>
      <c r="B50" s="5">
        <v>70110</v>
      </c>
      <c r="C50" s="5">
        <v>0</v>
      </c>
      <c r="D50" s="5">
        <v>0</v>
      </c>
      <c r="E50" s="5">
        <f t="shared" si="7"/>
        <v>70110</v>
      </c>
      <c r="F50" s="5">
        <v>-161550</v>
      </c>
      <c r="P50">
        <v>-81000</v>
      </c>
    </row>
    <row r="51" spans="1:21" x14ac:dyDescent="0.25">
      <c r="A51" s="11" t="s">
        <v>109</v>
      </c>
      <c r="B51" s="5">
        <v>12845</v>
      </c>
      <c r="C51" s="5">
        <v>0</v>
      </c>
      <c r="D51" s="5">
        <v>0</v>
      </c>
      <c r="E51" s="5">
        <f t="shared" si="7"/>
        <v>12845</v>
      </c>
      <c r="F51" s="5">
        <v>0</v>
      </c>
      <c r="P51">
        <v>27000</v>
      </c>
    </row>
    <row r="52" spans="1:21" x14ac:dyDescent="0.25">
      <c r="A52" s="10" t="s">
        <v>55</v>
      </c>
      <c r="B52" s="5">
        <v>-620</v>
      </c>
      <c r="C52" s="5">
        <v>0</v>
      </c>
      <c r="D52" s="5">
        <v>0</v>
      </c>
      <c r="E52" s="5">
        <f t="shared" si="7"/>
        <v>-620</v>
      </c>
      <c r="F52" s="5">
        <v>-161200</v>
      </c>
      <c r="H52" t="e">
        <f>+E53+M47+T30+M28+E28+Z12+S10+L9+#REF!+T43</f>
        <v>#REF!</v>
      </c>
    </row>
    <row r="53" spans="1:21" x14ac:dyDescent="0.25">
      <c r="A53" s="3" t="s">
        <v>107</v>
      </c>
      <c r="B53" s="6">
        <f>SUM(B36:B52)</f>
        <v>-462206.75</v>
      </c>
      <c r="C53" s="6">
        <f>SUM(C36:C52)</f>
        <v>97875.000000000015</v>
      </c>
      <c r="D53" s="6">
        <f>SUM(D36:D52)</f>
        <v>-22598.75</v>
      </c>
      <c r="E53" s="3">
        <f>SUM(E36:E52)</f>
        <v>-341733</v>
      </c>
      <c r="F53" s="8">
        <f>SUM(F36:F52)</f>
        <v>-3389187.5</v>
      </c>
    </row>
    <row r="56" spans="1:21" x14ac:dyDescent="0.25">
      <c r="O56">
        <v>42000</v>
      </c>
      <c r="P56">
        <v>-42000</v>
      </c>
    </row>
    <row r="57" spans="1:21" s="13" customFormat="1" x14ac:dyDescent="0.25"/>
    <row r="59" spans="1:21" x14ac:dyDescent="0.25">
      <c r="A59" s="122">
        <v>44747</v>
      </c>
      <c r="B59" s="123"/>
      <c r="C59" s="123"/>
      <c r="D59" s="123"/>
      <c r="E59" s="123"/>
      <c r="F59" s="123"/>
      <c r="H59" s="122">
        <v>44748</v>
      </c>
      <c r="I59" s="123"/>
      <c r="J59" s="123"/>
      <c r="K59" s="123"/>
      <c r="L59" s="123"/>
      <c r="M59" s="123"/>
      <c r="N59" s="123"/>
    </row>
    <row r="60" spans="1:21" x14ac:dyDescent="0.25">
      <c r="A60" s="6" t="s">
        <v>34</v>
      </c>
      <c r="B60" s="6" t="s">
        <v>104</v>
      </c>
      <c r="C60" s="6" t="s">
        <v>105</v>
      </c>
      <c r="D60" s="6" t="s">
        <v>106</v>
      </c>
      <c r="E60" s="3" t="s">
        <v>108</v>
      </c>
      <c r="F60" s="3" t="s">
        <v>28</v>
      </c>
      <c r="H60" s="6" t="s">
        <v>34</v>
      </c>
      <c r="I60" s="6" t="s">
        <v>104</v>
      </c>
      <c r="J60" s="6" t="s">
        <v>105</v>
      </c>
      <c r="K60" s="6"/>
      <c r="L60" s="6" t="s">
        <v>106</v>
      </c>
      <c r="M60" s="3" t="s">
        <v>108</v>
      </c>
      <c r="N60" s="3" t="s">
        <v>28</v>
      </c>
      <c r="P60" s="122">
        <v>44749</v>
      </c>
      <c r="Q60" s="123"/>
      <c r="R60" s="123"/>
      <c r="S60" s="123"/>
      <c r="T60" s="123"/>
      <c r="U60" s="123"/>
    </row>
    <row r="61" spans="1:21" x14ac:dyDescent="0.25">
      <c r="A61" s="10" t="s">
        <v>53</v>
      </c>
      <c r="B61" s="5">
        <v>-620</v>
      </c>
      <c r="C61" s="5">
        <v>0</v>
      </c>
      <c r="D61" s="5">
        <v>0</v>
      </c>
      <c r="E61" s="5">
        <f t="shared" ref="E61:E66" si="10">+B61+C61-D61</f>
        <v>-620</v>
      </c>
      <c r="F61" s="5">
        <v>-199872.5</v>
      </c>
      <c r="H61" s="10" t="s">
        <v>53</v>
      </c>
      <c r="I61" s="5">
        <v>-26117.5</v>
      </c>
      <c r="J61" s="5">
        <v>19917.5</v>
      </c>
      <c r="K61" s="5"/>
      <c r="L61" s="5">
        <v>3332.5</v>
      </c>
      <c r="M61" s="5">
        <f t="shared" ref="M61:M71" si="11">+I61+J61-L61</f>
        <v>-9532.5</v>
      </c>
      <c r="N61" s="5">
        <v>-347432.5</v>
      </c>
      <c r="O61" t="s">
        <v>104</v>
      </c>
      <c r="P61" s="6">
        <v>40000</v>
      </c>
      <c r="Q61" s="6" t="s">
        <v>104</v>
      </c>
      <c r="R61" s="6" t="s">
        <v>105</v>
      </c>
      <c r="S61" s="6" t="s">
        <v>106</v>
      </c>
      <c r="T61" s="3" t="s">
        <v>108</v>
      </c>
      <c r="U61" s="3" t="s">
        <v>28</v>
      </c>
    </row>
    <row r="62" spans="1:21" x14ac:dyDescent="0.25">
      <c r="A62" s="10" t="s">
        <v>99</v>
      </c>
      <c r="B62" s="5">
        <v>-1347.5</v>
      </c>
      <c r="C62" s="5">
        <v>0</v>
      </c>
      <c r="D62" s="5">
        <v>0</v>
      </c>
      <c r="E62" s="5">
        <f t="shared" si="10"/>
        <v>-1347.5</v>
      </c>
      <c r="F62" s="7">
        <v>-212520</v>
      </c>
      <c r="H62" s="10" t="s">
        <v>99</v>
      </c>
      <c r="I62" s="5">
        <v>-18580</v>
      </c>
      <c r="J62" s="5">
        <v>-10395</v>
      </c>
      <c r="K62" s="5"/>
      <c r="L62" s="5">
        <v>6352.5</v>
      </c>
      <c r="M62" s="5">
        <f t="shared" si="11"/>
        <v>-35327.5</v>
      </c>
      <c r="N62" s="7">
        <v>-351890</v>
      </c>
      <c r="O62">
        <v>61922.5</v>
      </c>
      <c r="P62" s="10">
        <v>70000</v>
      </c>
      <c r="Q62" s="5">
        <v>61922.5</v>
      </c>
      <c r="R62" s="5">
        <v>-221030.00000000006</v>
      </c>
      <c r="S62" s="7">
        <v>4262.5</v>
      </c>
      <c r="T62" s="5">
        <f t="shared" ref="T62:T72" si="12">+Q62+R62-S62</f>
        <v>-163370.00000000006</v>
      </c>
      <c r="U62" s="5">
        <v>-789105</v>
      </c>
    </row>
    <row r="63" spans="1:21" x14ac:dyDescent="0.25">
      <c r="A63" s="10" t="s">
        <v>45</v>
      </c>
      <c r="B63" s="5">
        <v>-2650</v>
      </c>
      <c r="C63" s="5">
        <v>0</v>
      </c>
      <c r="D63" s="5">
        <v>0</v>
      </c>
      <c r="E63" s="5">
        <f t="shared" si="10"/>
        <v>-2650</v>
      </c>
      <c r="F63" s="5">
        <v>-208100</v>
      </c>
      <c r="H63" s="10" t="s">
        <v>45</v>
      </c>
      <c r="I63" s="5">
        <v>-1900</v>
      </c>
      <c r="J63" s="5">
        <v>17350</v>
      </c>
      <c r="K63" s="5"/>
      <c r="L63" s="5">
        <v>950</v>
      </c>
      <c r="M63" s="5">
        <f t="shared" si="11"/>
        <v>14500</v>
      </c>
      <c r="N63" s="5">
        <v>-291500</v>
      </c>
      <c r="O63">
        <v>385</v>
      </c>
      <c r="P63" s="10">
        <v>70000</v>
      </c>
      <c r="Q63" s="5">
        <v>385</v>
      </c>
      <c r="R63" s="5">
        <v>38115</v>
      </c>
      <c r="S63" s="7">
        <v>-7892.5</v>
      </c>
      <c r="T63" s="5">
        <f t="shared" si="12"/>
        <v>46392.5</v>
      </c>
      <c r="U63" s="7">
        <v>-378262.5</v>
      </c>
    </row>
    <row r="64" spans="1:21" x14ac:dyDescent="0.25">
      <c r="A64" s="10" t="s">
        <v>35</v>
      </c>
      <c r="B64" s="5">
        <v>11830</v>
      </c>
      <c r="C64" s="5">
        <v>0</v>
      </c>
      <c r="D64" s="5">
        <v>0</v>
      </c>
      <c r="E64" s="5">
        <f t="shared" si="10"/>
        <v>11830</v>
      </c>
      <c r="F64" s="5">
        <v>-221480</v>
      </c>
      <c r="H64" s="10" t="s">
        <v>35</v>
      </c>
      <c r="I64" s="5">
        <v>5337</v>
      </c>
      <c r="J64" s="5">
        <v>-3045</v>
      </c>
      <c r="K64" s="5"/>
      <c r="L64" s="5">
        <v>4795</v>
      </c>
      <c r="M64" s="5">
        <f t="shared" si="11"/>
        <v>-2503</v>
      </c>
      <c r="N64" s="5">
        <v>-299810</v>
      </c>
      <c r="O64">
        <v>-4600</v>
      </c>
      <c r="P64" s="10"/>
      <c r="Q64" s="5">
        <v>-4600</v>
      </c>
      <c r="R64" s="5">
        <v>1550</v>
      </c>
      <c r="S64" s="7">
        <v>-250</v>
      </c>
      <c r="T64" s="5">
        <f t="shared" si="12"/>
        <v>-2800</v>
      </c>
      <c r="U64" s="5">
        <v>-358800</v>
      </c>
    </row>
    <row r="65" spans="1:21" x14ac:dyDescent="0.25">
      <c r="A65" s="10" t="s">
        <v>37</v>
      </c>
      <c r="B65" s="5">
        <v>12945</v>
      </c>
      <c r="C65" s="5">
        <v>0</v>
      </c>
      <c r="D65" s="5">
        <v>0</v>
      </c>
      <c r="E65" s="5">
        <f t="shared" si="10"/>
        <v>12945</v>
      </c>
      <c r="F65" s="5">
        <v>-190935</v>
      </c>
      <c r="H65" s="10" t="s">
        <v>37</v>
      </c>
      <c r="I65" s="5">
        <v>-2175</v>
      </c>
      <c r="J65" s="5">
        <v>10289.999999999996</v>
      </c>
      <c r="K65" s="5"/>
      <c r="L65" s="5">
        <v>7845</v>
      </c>
      <c r="M65" s="5">
        <f t="shared" si="11"/>
        <v>269.99999999999636</v>
      </c>
      <c r="N65" s="5">
        <v>-303120</v>
      </c>
      <c r="O65">
        <v>-840</v>
      </c>
      <c r="P65" s="10" t="s">
        <v>35</v>
      </c>
      <c r="Q65" s="5">
        <v>-840</v>
      </c>
      <c r="R65" s="5">
        <v>39445</v>
      </c>
      <c r="S65" s="7">
        <v>1400</v>
      </c>
      <c r="T65" s="5">
        <f t="shared" si="12"/>
        <v>37205</v>
      </c>
      <c r="U65" s="5">
        <v>-259805</v>
      </c>
    </row>
    <row r="66" spans="1:21" x14ac:dyDescent="0.25">
      <c r="A66" s="10" t="s">
        <v>16</v>
      </c>
      <c r="B66" s="5">
        <v>-1425</v>
      </c>
      <c r="C66" s="5">
        <v>0</v>
      </c>
      <c r="D66" s="5">
        <v>0</v>
      </c>
      <c r="E66" s="5">
        <f t="shared" si="10"/>
        <v>-1425</v>
      </c>
      <c r="F66" s="5">
        <v>-232500</v>
      </c>
      <c r="H66" s="10" t="s">
        <v>16</v>
      </c>
      <c r="I66" s="5">
        <v>-375</v>
      </c>
      <c r="J66" s="5">
        <v>51300</v>
      </c>
      <c r="K66" s="5"/>
      <c r="L66" s="5">
        <v>-5175</v>
      </c>
      <c r="M66" s="5">
        <f t="shared" si="11"/>
        <v>56100</v>
      </c>
      <c r="N66" s="5">
        <v>-239475.00000000003</v>
      </c>
      <c r="O66">
        <v>-5505</v>
      </c>
      <c r="P66" s="10" t="s">
        <v>37</v>
      </c>
      <c r="Q66" s="5">
        <v>-5505</v>
      </c>
      <c r="R66" s="5">
        <v>2640</v>
      </c>
      <c r="S66" s="7">
        <v>8760</v>
      </c>
      <c r="T66" s="5">
        <f t="shared" si="12"/>
        <v>-11625</v>
      </c>
      <c r="U66" s="5">
        <v>-384090</v>
      </c>
    </row>
    <row r="67" spans="1:21" x14ac:dyDescent="0.25">
      <c r="A67" s="3" t="s">
        <v>107</v>
      </c>
      <c r="B67" s="6">
        <f>SUM(B61:B66)</f>
        <v>18732.5</v>
      </c>
      <c r="C67" s="6">
        <f>SUM(C61:C66)</f>
        <v>0</v>
      </c>
      <c r="D67" s="6">
        <f>SUM(D61:D66)</f>
        <v>0</v>
      </c>
      <c r="E67" s="3">
        <f>SUM(E61:E66)</f>
        <v>18732.5</v>
      </c>
      <c r="F67" s="8">
        <f>SUM(F61:F66)</f>
        <v>-1265407.5</v>
      </c>
      <c r="H67" s="10" t="s">
        <v>18</v>
      </c>
      <c r="I67" s="5">
        <v>20405</v>
      </c>
      <c r="J67" s="5">
        <v>0</v>
      </c>
      <c r="K67" s="5"/>
      <c r="L67" s="5">
        <v>0</v>
      </c>
      <c r="M67" s="5">
        <f t="shared" si="11"/>
        <v>20405</v>
      </c>
      <c r="N67" s="5">
        <v>-302225</v>
      </c>
      <c r="O67">
        <v>1125</v>
      </c>
      <c r="P67" s="10"/>
      <c r="Q67" s="5">
        <v>1125</v>
      </c>
      <c r="R67" s="5">
        <v>-22424.999999999971</v>
      </c>
      <c r="S67" s="7">
        <v>4725</v>
      </c>
      <c r="T67" s="5">
        <f t="shared" si="12"/>
        <v>-26024.999999999971</v>
      </c>
      <c r="U67" s="5">
        <v>-312975</v>
      </c>
    </row>
    <row r="68" spans="1:21" x14ac:dyDescent="0.25">
      <c r="H68" s="10" t="s">
        <v>43</v>
      </c>
      <c r="I68" s="5">
        <v>-16121.7</v>
      </c>
      <c r="J68" s="5">
        <v>0</v>
      </c>
      <c r="K68" s="5"/>
      <c r="L68" s="5">
        <v>0</v>
      </c>
      <c r="M68" s="5">
        <f t="shared" si="11"/>
        <v>-16121.7</v>
      </c>
      <c r="N68" s="5">
        <v>-258687.5</v>
      </c>
      <c r="O68">
        <v>-17545</v>
      </c>
      <c r="P68" s="10">
        <v>-40000</v>
      </c>
      <c r="Q68" s="5">
        <v>-17545</v>
      </c>
      <c r="R68" s="5">
        <v>1100</v>
      </c>
      <c r="S68" s="7">
        <v>11825</v>
      </c>
      <c r="T68" s="5">
        <f t="shared" si="12"/>
        <v>-28270</v>
      </c>
      <c r="U68" s="5">
        <v>-327140</v>
      </c>
    </row>
    <row r="69" spans="1:21" x14ac:dyDescent="0.25">
      <c r="H69" s="10" t="s">
        <v>42</v>
      </c>
      <c r="I69" s="5">
        <v>-8625</v>
      </c>
      <c r="J69" s="5">
        <v>0</v>
      </c>
      <c r="K69" s="5"/>
      <c r="L69" s="5">
        <v>0</v>
      </c>
      <c r="M69" s="5">
        <f t="shared" si="11"/>
        <v>-8625</v>
      </c>
      <c r="N69" s="5">
        <v>-234450</v>
      </c>
      <c r="O69">
        <v>-10375</v>
      </c>
      <c r="P69" s="10">
        <v>-10000</v>
      </c>
      <c r="Q69" s="5">
        <v>-10375</v>
      </c>
      <c r="R69" s="5">
        <v>-49437.5</v>
      </c>
      <c r="S69" s="7">
        <v>5250</v>
      </c>
      <c r="T69" s="5">
        <f t="shared" si="12"/>
        <v>-65062.5</v>
      </c>
      <c r="U69" s="5">
        <v>-406750</v>
      </c>
    </row>
    <row r="70" spans="1:21" x14ac:dyDescent="0.25">
      <c r="H70" s="10" t="s">
        <v>39</v>
      </c>
      <c r="I70" s="5">
        <v>6775</v>
      </c>
      <c r="J70" s="5">
        <v>0</v>
      </c>
      <c r="K70" s="5"/>
      <c r="L70" s="5">
        <v>0</v>
      </c>
      <c r="M70" s="5">
        <f t="shared" si="11"/>
        <v>6775</v>
      </c>
      <c r="N70" s="5">
        <v>-220825</v>
      </c>
      <c r="O70">
        <v>0</v>
      </c>
      <c r="P70" s="10"/>
      <c r="Q70" s="5">
        <v>11700</v>
      </c>
      <c r="R70" s="5">
        <v>-34050</v>
      </c>
      <c r="S70" s="7">
        <v>-900</v>
      </c>
      <c r="T70" s="5">
        <f t="shared" si="12"/>
        <v>-21450</v>
      </c>
      <c r="U70" s="5">
        <v>-422550</v>
      </c>
    </row>
    <row r="71" spans="1:21" x14ac:dyDescent="0.25">
      <c r="H71" s="10" t="s">
        <v>19</v>
      </c>
      <c r="I71" s="5">
        <v>-8837.5</v>
      </c>
      <c r="J71" s="5">
        <v>0</v>
      </c>
      <c r="K71" s="5"/>
      <c r="L71" s="5">
        <v>0</v>
      </c>
      <c r="M71" s="5">
        <f t="shared" si="11"/>
        <v>-8837.5</v>
      </c>
      <c r="N71" s="5">
        <v>-263500</v>
      </c>
      <c r="O71">
        <v>-7900</v>
      </c>
      <c r="P71" s="10" t="s">
        <v>39</v>
      </c>
      <c r="Q71" s="5">
        <v>-7900</v>
      </c>
      <c r="R71" s="5">
        <v>-3950</v>
      </c>
      <c r="S71" s="7">
        <v>9625</v>
      </c>
      <c r="T71" s="5">
        <f>SUM(R58:R71)-R69-R68</f>
        <v>-199705.00000000003</v>
      </c>
      <c r="U71" s="5">
        <v>-223725</v>
      </c>
    </row>
    <row r="72" spans="1:21" x14ac:dyDescent="0.25">
      <c r="H72" s="3" t="s">
        <v>107</v>
      </c>
      <c r="I72" s="6">
        <f>SUM(I61:I71)</f>
        <v>-50214.7</v>
      </c>
      <c r="J72" s="6">
        <f>SUM(J61:J71)</f>
        <v>85417.5</v>
      </c>
      <c r="K72" s="6"/>
      <c r="L72" s="6">
        <f>SUM(L61:L71)</f>
        <v>18100</v>
      </c>
      <c r="M72" s="3">
        <f>SUM(M61:M71)</f>
        <v>17102.8</v>
      </c>
      <c r="N72" s="8">
        <f>SUM(N61:N71)</f>
        <v>-3112915</v>
      </c>
      <c r="O72">
        <v>-10762.5</v>
      </c>
      <c r="P72" s="10" t="s">
        <v>19</v>
      </c>
      <c r="Q72" s="5">
        <v>-10762.5</v>
      </c>
      <c r="R72" s="5">
        <v>-16750</v>
      </c>
      <c r="S72" s="7">
        <v>-5725</v>
      </c>
      <c r="T72" s="5">
        <f t="shared" si="12"/>
        <v>-21787.5</v>
      </c>
      <c r="U72" s="5">
        <v>-325600</v>
      </c>
    </row>
    <row r="73" spans="1:21" x14ac:dyDescent="0.25">
      <c r="O73">
        <v>17605</v>
      </c>
      <c r="P73" s="3" t="s">
        <v>107</v>
      </c>
      <c r="Q73" s="6">
        <f>SUM(Q62:Q72)</f>
        <v>17605</v>
      </c>
      <c r="R73" s="6">
        <f>SUM(R62:R72)</f>
        <v>-264792.5</v>
      </c>
      <c r="S73" s="14">
        <f>SUM(S62:S72)</f>
        <v>31080</v>
      </c>
      <c r="T73" s="3">
        <f>SUM(T62:T72)</f>
        <v>-456497.50000000006</v>
      </c>
      <c r="U73" s="8">
        <f>SUM(U62:U72)</f>
        <v>-4188802.5</v>
      </c>
    </row>
    <row r="75" spans="1:21" x14ac:dyDescent="0.25">
      <c r="A75" s="122">
        <v>44750</v>
      </c>
      <c r="B75" s="123"/>
      <c r="C75" s="123"/>
      <c r="D75" s="123"/>
      <c r="E75" s="123"/>
      <c r="F75" s="123"/>
      <c r="H75" s="122">
        <v>44753</v>
      </c>
      <c r="I75" s="123"/>
      <c r="J75" s="123"/>
      <c r="K75" s="123"/>
      <c r="L75" s="123"/>
      <c r="M75" s="123"/>
      <c r="N75" s="123"/>
      <c r="P75" s="122">
        <v>44754</v>
      </c>
      <c r="Q75" s="123"/>
      <c r="R75" s="123"/>
      <c r="S75" s="123"/>
      <c r="T75" s="123"/>
      <c r="U75" s="123"/>
    </row>
    <row r="76" spans="1:21" x14ac:dyDescent="0.25">
      <c r="A76" s="6" t="s">
        <v>34</v>
      </c>
      <c r="B76" s="6" t="s">
        <v>104</v>
      </c>
      <c r="C76" s="6" t="s">
        <v>105</v>
      </c>
      <c r="D76" s="6" t="s">
        <v>106</v>
      </c>
      <c r="E76" s="3" t="s">
        <v>108</v>
      </c>
      <c r="F76" s="3" t="s">
        <v>28</v>
      </c>
      <c r="H76" s="6" t="s">
        <v>34</v>
      </c>
      <c r="I76" s="6" t="s">
        <v>104</v>
      </c>
      <c r="J76" s="6" t="s">
        <v>105</v>
      </c>
      <c r="K76" s="6"/>
      <c r="L76" s="6" t="s">
        <v>106</v>
      </c>
      <c r="M76" s="3" t="s">
        <v>108</v>
      </c>
      <c r="N76" s="3" t="s">
        <v>28</v>
      </c>
      <c r="O76" t="s">
        <v>104</v>
      </c>
      <c r="P76" s="6" t="s">
        <v>34</v>
      </c>
      <c r="Q76" s="6" t="s">
        <v>104</v>
      </c>
      <c r="R76" s="6" t="s">
        <v>105</v>
      </c>
      <c r="S76" s="6" t="s">
        <v>106</v>
      </c>
      <c r="T76" s="3" t="s">
        <v>108</v>
      </c>
      <c r="U76" s="3" t="s">
        <v>28</v>
      </c>
    </row>
    <row r="77" spans="1:21" x14ac:dyDescent="0.25">
      <c r="A77" s="10" t="s">
        <v>53</v>
      </c>
      <c r="B77" s="5">
        <v>-14802.5</v>
      </c>
      <c r="C77" s="5">
        <v>70060</v>
      </c>
      <c r="D77" s="7">
        <v>-19840</v>
      </c>
      <c r="E77" s="5">
        <f t="shared" ref="E77:E88" si="13">+B77+C77-D77</f>
        <v>75097.5</v>
      </c>
      <c r="F77" s="5">
        <v>-651930</v>
      </c>
      <c r="H77" s="10" t="s">
        <v>53</v>
      </c>
      <c r="I77" s="5">
        <v>-15810</v>
      </c>
      <c r="J77" s="5">
        <v>71145</v>
      </c>
      <c r="K77" s="5"/>
      <c r="L77" s="7">
        <v>8137.5</v>
      </c>
      <c r="M77" s="5">
        <f t="shared" ref="M77:M89" si="14">+I77+J77-L77</f>
        <v>47197.5</v>
      </c>
      <c r="N77" s="5">
        <v>-667275</v>
      </c>
      <c r="O77">
        <v>-17205</v>
      </c>
      <c r="P77" s="10" t="s">
        <v>53</v>
      </c>
      <c r="Q77" s="5">
        <v>-17205</v>
      </c>
      <c r="R77" s="5">
        <v>53707.5</v>
      </c>
      <c r="S77" s="7">
        <v>16430</v>
      </c>
      <c r="T77" s="5">
        <f t="shared" ref="T77:T92" si="15">+Q77+R77-S77</f>
        <v>20072.5</v>
      </c>
      <c r="U77" s="5">
        <v>-645497.5</v>
      </c>
    </row>
    <row r="78" spans="1:21" x14ac:dyDescent="0.25">
      <c r="A78" s="10" t="s">
        <v>99</v>
      </c>
      <c r="B78" s="5">
        <v>0</v>
      </c>
      <c r="C78" s="5">
        <v>4812.5</v>
      </c>
      <c r="D78" s="7">
        <v>-1732.5</v>
      </c>
      <c r="E78" s="5">
        <f t="shared" si="13"/>
        <v>6545</v>
      </c>
      <c r="F78" s="7">
        <v>-342072.5</v>
      </c>
      <c r="H78" s="10" t="s">
        <v>99</v>
      </c>
      <c r="I78" s="5">
        <v>-770</v>
      </c>
      <c r="J78" s="5">
        <v>46970</v>
      </c>
      <c r="K78" s="5"/>
      <c r="L78" s="7">
        <v>6352.5</v>
      </c>
      <c r="M78" s="5">
        <f t="shared" si="14"/>
        <v>39847.5</v>
      </c>
      <c r="N78" s="7">
        <v>-443905</v>
      </c>
      <c r="O78">
        <v>0</v>
      </c>
      <c r="P78" s="10" t="s">
        <v>99</v>
      </c>
      <c r="Q78" s="5">
        <v>0</v>
      </c>
      <c r="R78" s="5">
        <v>27142.499999999993</v>
      </c>
      <c r="S78" s="7">
        <v>-2117.5</v>
      </c>
      <c r="T78" s="5">
        <f t="shared" si="15"/>
        <v>29259.999999999993</v>
      </c>
      <c r="U78" s="7">
        <v>-372487.5</v>
      </c>
    </row>
    <row r="79" spans="1:21" x14ac:dyDescent="0.25">
      <c r="A79" s="10" t="s">
        <v>45</v>
      </c>
      <c r="B79" s="5">
        <v>-2200</v>
      </c>
      <c r="C79" s="5">
        <v>6800.0000000000018</v>
      </c>
      <c r="D79" s="7">
        <v>6000</v>
      </c>
      <c r="E79" s="5">
        <f t="shared" si="13"/>
        <v>-1399.9999999999982</v>
      </c>
      <c r="F79" s="5">
        <v>-367550</v>
      </c>
      <c r="H79" s="10" t="s">
        <v>45</v>
      </c>
      <c r="I79" s="5">
        <v>-7600</v>
      </c>
      <c r="J79" s="5">
        <v>20050.000000000015</v>
      </c>
      <c r="K79" s="5"/>
      <c r="L79" s="7">
        <v>5600</v>
      </c>
      <c r="M79" s="5">
        <f t="shared" si="14"/>
        <v>6850.0000000000146</v>
      </c>
      <c r="N79" s="5">
        <v>-394950</v>
      </c>
      <c r="O79">
        <v>1950</v>
      </c>
      <c r="P79" s="10"/>
      <c r="Q79" s="5">
        <v>1950</v>
      </c>
      <c r="R79" s="5">
        <v>12100</v>
      </c>
      <c r="S79" s="7">
        <v>14450</v>
      </c>
      <c r="T79" s="5">
        <f t="shared" si="15"/>
        <v>-400</v>
      </c>
      <c r="U79" s="5">
        <v>-392500</v>
      </c>
    </row>
    <row r="80" spans="1:21" x14ac:dyDescent="0.25">
      <c r="A80" s="10" t="s">
        <v>35</v>
      </c>
      <c r="B80" s="5">
        <v>-10325</v>
      </c>
      <c r="C80" s="5">
        <v>41790</v>
      </c>
      <c r="D80" s="7">
        <v>12425</v>
      </c>
      <c r="E80" s="5">
        <f t="shared" si="13"/>
        <v>19040</v>
      </c>
      <c r="F80" s="5">
        <v>-279720</v>
      </c>
      <c r="H80" s="10" t="s">
        <v>35</v>
      </c>
      <c r="I80" s="5">
        <v>-24325</v>
      </c>
      <c r="J80" s="5">
        <v>-68635</v>
      </c>
      <c r="K80" s="5"/>
      <c r="L80" s="7">
        <v>2135</v>
      </c>
      <c r="M80" s="5">
        <f t="shared" si="14"/>
        <v>-95095</v>
      </c>
      <c r="N80" s="5">
        <v>-387590</v>
      </c>
      <c r="O80">
        <v>-2030</v>
      </c>
      <c r="P80" s="10"/>
      <c r="Q80" s="5">
        <v>-2030</v>
      </c>
      <c r="R80" s="5">
        <v>-4900</v>
      </c>
      <c r="S80" s="7">
        <v>9100</v>
      </c>
      <c r="T80" s="5">
        <f t="shared" si="15"/>
        <v>-16030</v>
      </c>
      <c r="U80" s="5">
        <v>-370300</v>
      </c>
    </row>
    <row r="81" spans="1:21" x14ac:dyDescent="0.25">
      <c r="A81" s="10" t="s">
        <v>37</v>
      </c>
      <c r="B81" s="5">
        <v>705</v>
      </c>
      <c r="C81" s="5">
        <v>5219.9999999999964</v>
      </c>
      <c r="D81" s="7">
        <v>-15420</v>
      </c>
      <c r="E81" s="5">
        <f t="shared" si="13"/>
        <v>21344.999999999996</v>
      </c>
      <c r="F81" s="5">
        <v>-350085</v>
      </c>
      <c r="H81" s="10" t="s">
        <v>37</v>
      </c>
      <c r="I81" s="5">
        <v>-3735</v>
      </c>
      <c r="J81" s="5">
        <v>14550</v>
      </c>
      <c r="K81" s="5"/>
      <c r="L81" s="7">
        <v>-12435</v>
      </c>
      <c r="M81" s="5">
        <f t="shared" si="14"/>
        <v>23250</v>
      </c>
      <c r="N81" s="5">
        <v>-339300</v>
      </c>
      <c r="O81">
        <v>-4290</v>
      </c>
      <c r="P81" s="10"/>
      <c r="Q81" s="5">
        <v>-4290</v>
      </c>
      <c r="R81" s="5">
        <v>5010</v>
      </c>
      <c r="S81" s="7">
        <v>-3720</v>
      </c>
      <c r="T81" s="5">
        <f t="shared" si="15"/>
        <v>4440</v>
      </c>
      <c r="U81" s="5">
        <v>-344925</v>
      </c>
    </row>
    <row r="82" spans="1:21" x14ac:dyDescent="0.25">
      <c r="A82" s="10" t="s">
        <v>16</v>
      </c>
      <c r="B82" s="5">
        <v>0</v>
      </c>
      <c r="C82" s="5">
        <v>18225</v>
      </c>
      <c r="D82" s="7">
        <v>-9975</v>
      </c>
      <c r="E82" s="5">
        <f t="shared" si="13"/>
        <v>28200</v>
      </c>
      <c r="F82" s="5">
        <v>-268575</v>
      </c>
      <c r="H82" s="10" t="s">
        <v>16</v>
      </c>
      <c r="I82" s="5">
        <v>0</v>
      </c>
      <c r="J82" s="5">
        <v>8100</v>
      </c>
      <c r="K82" s="5"/>
      <c r="L82" s="7">
        <v>1800</v>
      </c>
      <c r="M82" s="5">
        <f t="shared" si="14"/>
        <v>6300</v>
      </c>
      <c r="N82" s="5">
        <v>-277800</v>
      </c>
      <c r="O82">
        <v>750</v>
      </c>
      <c r="P82" s="10" t="s">
        <v>16</v>
      </c>
      <c r="Q82" s="5">
        <v>750</v>
      </c>
      <c r="R82" s="5">
        <v>25725</v>
      </c>
      <c r="S82" s="7">
        <v>-9450</v>
      </c>
      <c r="T82" s="5">
        <f t="shared" si="15"/>
        <v>35925</v>
      </c>
      <c r="U82" s="5">
        <v>-241275</v>
      </c>
    </row>
    <row r="83" spans="1:21" x14ac:dyDescent="0.25">
      <c r="A83" s="10" t="s">
        <v>18</v>
      </c>
      <c r="B83" s="5">
        <v>-4785</v>
      </c>
      <c r="C83" s="5">
        <v>49610</v>
      </c>
      <c r="D83" s="7">
        <v>11825</v>
      </c>
      <c r="E83" s="5">
        <f t="shared" si="13"/>
        <v>33000</v>
      </c>
      <c r="F83" s="5">
        <v>-362615</v>
      </c>
      <c r="H83" s="10" t="s">
        <v>18</v>
      </c>
      <c r="I83" s="5">
        <v>0</v>
      </c>
      <c r="J83" s="5">
        <v>36025</v>
      </c>
      <c r="K83" s="5"/>
      <c r="L83" s="7">
        <v>-9405</v>
      </c>
      <c r="M83" s="5">
        <f t="shared" si="14"/>
        <v>45430</v>
      </c>
      <c r="N83" s="5">
        <v>-381535</v>
      </c>
      <c r="O83">
        <v>1045</v>
      </c>
      <c r="P83" s="10" t="s">
        <v>18</v>
      </c>
      <c r="Q83" s="5">
        <v>1045</v>
      </c>
      <c r="R83" s="5">
        <v>21505</v>
      </c>
      <c r="S83" s="7">
        <v>-5830.0000000000009</v>
      </c>
      <c r="T83" s="5">
        <f t="shared" si="15"/>
        <v>28380</v>
      </c>
      <c r="U83" s="5">
        <v>-292930</v>
      </c>
    </row>
    <row r="84" spans="1:21" x14ac:dyDescent="0.25">
      <c r="A84" s="10" t="s">
        <v>43</v>
      </c>
      <c r="B84" s="5">
        <v>-1375</v>
      </c>
      <c r="C84" s="5">
        <v>34499.999999999978</v>
      </c>
      <c r="D84" s="7">
        <v>-4625</v>
      </c>
      <c r="E84" s="5">
        <f t="shared" si="13"/>
        <v>37749.999999999978</v>
      </c>
      <c r="F84" s="5">
        <v>-346187.5</v>
      </c>
      <c r="H84" s="10" t="s">
        <v>43</v>
      </c>
      <c r="I84" s="5">
        <v>-13875</v>
      </c>
      <c r="J84" s="5">
        <v>28687.5</v>
      </c>
      <c r="K84" s="5"/>
      <c r="L84" s="7">
        <v>7312.5</v>
      </c>
      <c r="M84" s="5">
        <f t="shared" si="14"/>
        <v>7500</v>
      </c>
      <c r="N84" s="5">
        <v>-403312.5</v>
      </c>
      <c r="O84">
        <v>-375</v>
      </c>
      <c r="P84" s="10" t="s">
        <v>43</v>
      </c>
      <c r="Q84" s="5">
        <v>-375</v>
      </c>
      <c r="R84" s="5">
        <v>32437.5</v>
      </c>
      <c r="S84" s="7">
        <v>-3375</v>
      </c>
      <c r="T84" s="5">
        <f t="shared" si="15"/>
        <v>35437.5</v>
      </c>
      <c r="U84" s="5">
        <v>-390250</v>
      </c>
    </row>
    <row r="85" spans="1:21" x14ac:dyDescent="0.25">
      <c r="A85" s="10" t="s">
        <v>42</v>
      </c>
      <c r="B85" s="5">
        <v>-525</v>
      </c>
      <c r="C85" s="5">
        <v>-33375</v>
      </c>
      <c r="D85" s="7">
        <v>750</v>
      </c>
      <c r="E85" s="5">
        <f t="shared" si="13"/>
        <v>-34650</v>
      </c>
      <c r="F85" s="5">
        <v>-489750</v>
      </c>
      <c r="H85" s="10" t="s">
        <v>42</v>
      </c>
      <c r="I85" s="5">
        <v>-33750</v>
      </c>
      <c r="J85" s="5">
        <v>34950</v>
      </c>
      <c r="K85" s="5"/>
      <c r="L85" s="7">
        <v>2400</v>
      </c>
      <c r="M85" s="5">
        <f t="shared" si="14"/>
        <v>-1200</v>
      </c>
      <c r="N85" s="5">
        <v>-616200</v>
      </c>
      <c r="O85">
        <v>6825</v>
      </c>
      <c r="P85" s="10" t="s">
        <v>42</v>
      </c>
      <c r="Q85" s="5">
        <v>6825</v>
      </c>
      <c r="R85" s="5">
        <v>60975</v>
      </c>
      <c r="S85" s="7">
        <v>10650</v>
      </c>
      <c r="T85" s="5">
        <f t="shared" si="15"/>
        <v>57150</v>
      </c>
      <c r="U85" s="5">
        <v>-608400</v>
      </c>
    </row>
    <row r="86" spans="1:21" x14ac:dyDescent="0.25">
      <c r="A86" s="10" t="s">
        <v>39</v>
      </c>
      <c r="B86" s="5">
        <v>-650</v>
      </c>
      <c r="C86" s="5">
        <v>3325.0000000000018</v>
      </c>
      <c r="D86" s="7">
        <v>-8425</v>
      </c>
      <c r="E86" s="5">
        <f t="shared" si="13"/>
        <v>11100.000000000002</v>
      </c>
      <c r="F86" s="5">
        <v>-201825</v>
      </c>
      <c r="H86" s="10" t="s">
        <v>39</v>
      </c>
      <c r="I86" s="5">
        <v>-4550</v>
      </c>
      <c r="J86" s="5">
        <v>40275</v>
      </c>
      <c r="K86" s="5"/>
      <c r="L86" s="7">
        <v>-750</v>
      </c>
      <c r="M86" s="5">
        <f t="shared" si="14"/>
        <v>36475</v>
      </c>
      <c r="N86" s="5">
        <v>-302025</v>
      </c>
      <c r="O86">
        <v>-700</v>
      </c>
      <c r="P86" s="10" t="s">
        <v>39</v>
      </c>
      <c r="Q86" s="5">
        <v>-700</v>
      </c>
      <c r="R86" s="5">
        <v>4650</v>
      </c>
      <c r="S86" s="7">
        <v>5200</v>
      </c>
      <c r="T86" s="5">
        <f t="shared" si="15"/>
        <v>-1250</v>
      </c>
      <c r="U86" s="5">
        <v>-374075</v>
      </c>
    </row>
    <row r="87" spans="1:21" x14ac:dyDescent="0.25">
      <c r="A87" s="10" t="s">
        <v>19</v>
      </c>
      <c r="B87" s="5">
        <v>412.5</v>
      </c>
      <c r="C87" s="5">
        <v>11300</v>
      </c>
      <c r="D87" s="7">
        <v>-38112.5</v>
      </c>
      <c r="E87" s="5">
        <f t="shared" si="13"/>
        <v>49825</v>
      </c>
      <c r="F87" s="5">
        <v>-332537.5</v>
      </c>
      <c r="H87" s="10" t="s">
        <v>19</v>
      </c>
      <c r="I87" s="5">
        <v>0</v>
      </c>
      <c r="J87" s="5">
        <v>9712.5</v>
      </c>
      <c r="K87" s="5"/>
      <c r="L87" s="7">
        <v>9425</v>
      </c>
      <c r="M87" s="5">
        <f t="shared" si="14"/>
        <v>287.5</v>
      </c>
      <c r="N87" s="5">
        <v>-342250</v>
      </c>
      <c r="O87">
        <v>1200</v>
      </c>
      <c r="P87" s="10" t="s">
        <v>19</v>
      </c>
      <c r="Q87" s="5">
        <v>1200</v>
      </c>
      <c r="R87" s="5">
        <v>11975</v>
      </c>
      <c r="S87" s="7">
        <v>-16912.5</v>
      </c>
      <c r="T87" s="5">
        <f t="shared" si="15"/>
        <v>30087.5</v>
      </c>
      <c r="U87" s="5">
        <v>-246912.5</v>
      </c>
    </row>
    <row r="88" spans="1:21" x14ac:dyDescent="0.25">
      <c r="A88" s="10" t="s">
        <v>60</v>
      </c>
      <c r="B88" s="5">
        <v>3200</v>
      </c>
      <c r="C88" s="5">
        <v>0</v>
      </c>
      <c r="D88" s="7">
        <v>0</v>
      </c>
      <c r="E88" s="5">
        <f t="shared" si="13"/>
        <v>3200</v>
      </c>
      <c r="F88" s="5">
        <v>-210887.5</v>
      </c>
      <c r="H88" s="10" t="s">
        <v>60</v>
      </c>
      <c r="I88" s="5">
        <v>-13487.5</v>
      </c>
      <c r="J88" s="5">
        <v>21462.5</v>
      </c>
      <c r="K88" s="5"/>
      <c r="L88" s="7">
        <v>2162.5</v>
      </c>
      <c r="M88" s="5">
        <f t="shared" si="14"/>
        <v>5812.5</v>
      </c>
      <c r="N88" s="5">
        <v>-546337.5</v>
      </c>
      <c r="O88">
        <v>-1275</v>
      </c>
      <c r="P88" s="10" t="s">
        <v>60</v>
      </c>
      <c r="Q88" s="5">
        <v>-1275</v>
      </c>
      <c r="R88" s="5">
        <v>46175</v>
      </c>
      <c r="S88" s="7">
        <v>-375</v>
      </c>
      <c r="T88" s="5">
        <f t="shared" si="15"/>
        <v>45275</v>
      </c>
      <c r="U88" s="5">
        <v>-594025</v>
      </c>
    </row>
    <row r="89" spans="1:21" x14ac:dyDescent="0.25">
      <c r="A89" s="3" t="s">
        <v>107</v>
      </c>
      <c r="B89" s="6">
        <f>SUM(B77:B88)</f>
        <v>-30345</v>
      </c>
      <c r="C89" s="6">
        <f>SUM(C77:C88)</f>
        <v>212267.49999999997</v>
      </c>
      <c r="D89" s="14">
        <f>SUM(D77:D88)</f>
        <v>-67130</v>
      </c>
      <c r="E89" s="3">
        <f>SUM(E77:E88)</f>
        <v>249052.49999999997</v>
      </c>
      <c r="F89" s="8">
        <f>SUM(F77:F88)</f>
        <v>-4203735</v>
      </c>
      <c r="H89" s="10" t="s">
        <v>94</v>
      </c>
      <c r="I89" s="5">
        <v>-1530</v>
      </c>
      <c r="J89" s="5">
        <v>0</v>
      </c>
      <c r="K89" s="5"/>
      <c r="L89" s="7">
        <v>0</v>
      </c>
      <c r="M89" s="5">
        <f t="shared" si="14"/>
        <v>-1530</v>
      </c>
      <c r="N89" s="5">
        <v>-179010</v>
      </c>
      <c r="O89">
        <v>-8100</v>
      </c>
      <c r="P89" s="10" t="s">
        <v>94</v>
      </c>
      <c r="Q89" s="5">
        <v>-8100</v>
      </c>
      <c r="R89" s="5">
        <v>6300</v>
      </c>
      <c r="S89" s="7">
        <v>5670</v>
      </c>
      <c r="T89" s="5">
        <f t="shared" si="15"/>
        <v>-7470</v>
      </c>
      <c r="U89" s="5">
        <v>-273330</v>
      </c>
    </row>
    <row r="90" spans="1:21" x14ac:dyDescent="0.25">
      <c r="H90" s="3" t="s">
        <v>107</v>
      </c>
      <c r="I90" s="6">
        <f>SUM(I77:I89)</f>
        <v>-119432.5</v>
      </c>
      <c r="J90" s="6">
        <f>SUM(J77:J89)</f>
        <v>263292.5</v>
      </c>
      <c r="K90" s="6"/>
      <c r="L90" s="14">
        <f>SUM(L77:L89)</f>
        <v>22735</v>
      </c>
      <c r="M90" s="3">
        <f>SUM(M77:M89)</f>
        <v>121125.00000000001</v>
      </c>
      <c r="N90" s="8">
        <f>SUM(N77:N89)</f>
        <v>-5281490</v>
      </c>
      <c r="O90">
        <v>-19503.75</v>
      </c>
      <c r="P90" s="10" t="s">
        <v>41</v>
      </c>
      <c r="Q90" s="5">
        <v>-19503.75</v>
      </c>
      <c r="R90" s="5">
        <v>0</v>
      </c>
      <c r="S90" s="7">
        <v>0</v>
      </c>
      <c r="T90" s="5">
        <f t="shared" si="15"/>
        <v>-19503.75</v>
      </c>
      <c r="U90" s="5">
        <v>-268336.25</v>
      </c>
    </row>
    <row r="91" spans="1:21" x14ac:dyDescent="0.25">
      <c r="O91">
        <v>-4650</v>
      </c>
      <c r="P91" s="10" t="s">
        <v>63</v>
      </c>
      <c r="Q91" s="5">
        <v>-4650</v>
      </c>
      <c r="R91" s="5">
        <v>0</v>
      </c>
      <c r="S91" s="7">
        <v>0</v>
      </c>
      <c r="T91" s="5">
        <f t="shared" si="15"/>
        <v>-4650</v>
      </c>
      <c r="U91" s="5">
        <v>-275750</v>
      </c>
    </row>
    <row r="92" spans="1:21" x14ac:dyDescent="0.25">
      <c r="O92">
        <v>-3900</v>
      </c>
      <c r="P92" s="10"/>
      <c r="Q92" s="5">
        <v>-3900</v>
      </c>
      <c r="R92" s="5">
        <v>0</v>
      </c>
      <c r="S92" s="7">
        <v>0</v>
      </c>
      <c r="T92" s="5">
        <f t="shared" si="15"/>
        <v>-3900</v>
      </c>
      <c r="U92" s="5">
        <v>-189800</v>
      </c>
    </row>
    <row r="93" spans="1:21" x14ac:dyDescent="0.25">
      <c r="O93">
        <v>-50258.75</v>
      </c>
      <c r="P93" s="3" t="s">
        <v>107</v>
      </c>
      <c r="Q93" s="6">
        <f>SUM(Q77:Q92)</f>
        <v>-50258.75</v>
      </c>
      <c r="R93" s="6">
        <f>SUM(R77:R92)</f>
        <v>302802.5</v>
      </c>
      <c r="S93" s="14">
        <f>SUM(S77:S92)</f>
        <v>19720</v>
      </c>
      <c r="T93" s="3">
        <f>SUM(T77:T92)</f>
        <v>232823.75</v>
      </c>
      <c r="U93" s="8">
        <f>SUM(U77:U92)</f>
        <v>-5880793.75</v>
      </c>
    </row>
    <row r="96" spans="1:21" x14ac:dyDescent="0.25">
      <c r="A96" s="122">
        <v>44755</v>
      </c>
      <c r="B96" s="123"/>
      <c r="C96" s="123"/>
      <c r="D96" s="123"/>
      <c r="E96" s="123"/>
      <c r="F96" s="123"/>
      <c r="H96" s="122">
        <v>44756</v>
      </c>
      <c r="I96" s="123"/>
      <c r="J96" s="123"/>
      <c r="K96" s="123"/>
      <c r="L96" s="123"/>
      <c r="M96" s="123"/>
      <c r="N96" s="123"/>
      <c r="P96" s="122">
        <v>44757</v>
      </c>
      <c r="Q96" s="123"/>
      <c r="R96" s="123"/>
      <c r="S96" s="123"/>
      <c r="T96" s="123"/>
      <c r="U96" s="123"/>
    </row>
    <row r="97" spans="1:21" x14ac:dyDescent="0.25">
      <c r="A97" s="6" t="s">
        <v>34</v>
      </c>
      <c r="B97" s="6" t="s">
        <v>104</v>
      </c>
      <c r="C97" s="6" t="s">
        <v>105</v>
      </c>
      <c r="D97" s="6" t="s">
        <v>106</v>
      </c>
      <c r="E97" s="3" t="s">
        <v>108</v>
      </c>
      <c r="F97" s="3" t="s">
        <v>28</v>
      </c>
      <c r="H97" s="6" t="s">
        <v>34</v>
      </c>
      <c r="I97" s="6" t="s">
        <v>104</v>
      </c>
      <c r="J97" s="6" t="s">
        <v>105</v>
      </c>
      <c r="K97" s="6"/>
      <c r="L97" s="6" t="s">
        <v>106</v>
      </c>
      <c r="M97" s="3" t="s">
        <v>108</v>
      </c>
      <c r="N97" s="3" t="s">
        <v>28</v>
      </c>
      <c r="O97" t="s">
        <v>104</v>
      </c>
      <c r="P97" s="6" t="s">
        <v>34</v>
      </c>
      <c r="Q97" s="6" t="s">
        <v>104</v>
      </c>
      <c r="R97" s="6" t="s">
        <v>105</v>
      </c>
      <c r="S97" s="6" t="s">
        <v>106</v>
      </c>
      <c r="T97" s="3" t="s">
        <v>108</v>
      </c>
      <c r="U97" s="3" t="s">
        <v>28</v>
      </c>
    </row>
    <row r="98" spans="1:21" x14ac:dyDescent="0.25">
      <c r="A98" s="10" t="s">
        <v>53</v>
      </c>
      <c r="B98" s="5">
        <v>-12555</v>
      </c>
      <c r="C98" s="5">
        <v>31465</v>
      </c>
      <c r="D98" s="7">
        <v>10695</v>
      </c>
      <c r="E98" s="5">
        <f t="shared" ref="E98:E114" si="16">+B98+C98-D98</f>
        <v>8215</v>
      </c>
      <c r="F98" s="5">
        <v>-766707.5</v>
      </c>
      <c r="H98" s="10" t="s">
        <v>53</v>
      </c>
      <c r="I98" s="5">
        <v>8990</v>
      </c>
      <c r="J98" s="5">
        <v>52312.5</v>
      </c>
      <c r="K98" s="5"/>
      <c r="L98" s="7">
        <v>5657.5</v>
      </c>
      <c r="M98" s="5">
        <f t="shared" ref="M98:M113" si="17">+I98+J98-L98</f>
        <v>55645</v>
      </c>
      <c r="N98" s="5">
        <v>-757562.5</v>
      </c>
      <c r="O98">
        <v>-465</v>
      </c>
      <c r="P98" s="10"/>
      <c r="Q98" s="5">
        <v>-465</v>
      </c>
      <c r="R98" s="5">
        <v>115940</v>
      </c>
      <c r="S98" s="7">
        <v>40222.5</v>
      </c>
      <c r="T98" s="5">
        <f t="shared" ref="T98:T113" si="18">+Q98+R98-S98</f>
        <v>75252.5</v>
      </c>
      <c r="U98" s="5">
        <v>-769110</v>
      </c>
    </row>
    <row r="99" spans="1:21" x14ac:dyDescent="0.25">
      <c r="A99" s="10" t="s">
        <v>99</v>
      </c>
      <c r="B99" s="5">
        <v>-34265</v>
      </c>
      <c r="C99" s="5">
        <v>37537.5</v>
      </c>
      <c r="D99" s="7">
        <v>-3272.5</v>
      </c>
      <c r="E99" s="5">
        <f t="shared" si="16"/>
        <v>6545</v>
      </c>
      <c r="F99" s="7">
        <v>-652767.5</v>
      </c>
      <c r="H99" s="10" t="s">
        <v>99</v>
      </c>
      <c r="I99" s="5">
        <v>-161315</v>
      </c>
      <c r="J99" s="5">
        <v>-161507.5</v>
      </c>
      <c r="K99" s="5"/>
      <c r="L99" s="7">
        <v>-6930</v>
      </c>
      <c r="M99" s="5">
        <f t="shared" si="17"/>
        <v>-315892.5</v>
      </c>
      <c r="N99" s="7">
        <v>-794832.5</v>
      </c>
      <c r="O99">
        <v>-25602.5</v>
      </c>
      <c r="P99" s="10"/>
      <c r="Q99" s="5">
        <v>-25602.5</v>
      </c>
      <c r="R99" s="5">
        <v>127820</v>
      </c>
      <c r="S99" s="7">
        <v>8855</v>
      </c>
      <c r="T99" s="5">
        <f t="shared" si="18"/>
        <v>93362.5</v>
      </c>
      <c r="U99" s="7">
        <v>-777700</v>
      </c>
    </row>
    <row r="100" spans="1:21" x14ac:dyDescent="0.25">
      <c r="A100" s="10" t="s">
        <v>45</v>
      </c>
      <c r="B100" s="5">
        <v>850</v>
      </c>
      <c r="C100" s="5">
        <v>38650</v>
      </c>
      <c r="D100" s="7">
        <v>7900</v>
      </c>
      <c r="E100" s="5">
        <f t="shared" si="16"/>
        <v>31600</v>
      </c>
      <c r="F100" s="5">
        <v>-415650</v>
      </c>
      <c r="H100" s="10" t="s">
        <v>45</v>
      </c>
      <c r="I100" s="5">
        <v>12850</v>
      </c>
      <c r="J100" s="5">
        <v>35100</v>
      </c>
      <c r="K100" s="5"/>
      <c r="L100" s="7">
        <v>-3050</v>
      </c>
      <c r="M100" s="5">
        <f t="shared" si="17"/>
        <v>51000</v>
      </c>
      <c r="N100" s="5">
        <v>-468600</v>
      </c>
      <c r="O100">
        <v>1800</v>
      </c>
      <c r="P100" s="10"/>
      <c r="Q100" s="5">
        <v>1800</v>
      </c>
      <c r="R100" s="5">
        <v>16200</v>
      </c>
      <c r="S100" s="7">
        <v>3750</v>
      </c>
      <c r="T100" s="5">
        <f t="shared" si="18"/>
        <v>14250</v>
      </c>
      <c r="U100" s="5">
        <v>-530250</v>
      </c>
    </row>
    <row r="101" spans="1:21" x14ac:dyDescent="0.25">
      <c r="A101" s="10" t="s">
        <v>35</v>
      </c>
      <c r="B101" s="5">
        <v>-24325</v>
      </c>
      <c r="C101" s="5">
        <v>15365</v>
      </c>
      <c r="D101" s="7">
        <v>-19775</v>
      </c>
      <c r="E101" s="5">
        <f t="shared" si="16"/>
        <v>10815</v>
      </c>
      <c r="F101" s="5">
        <v>-485485</v>
      </c>
      <c r="H101" s="10" t="s">
        <v>35</v>
      </c>
      <c r="I101" s="5">
        <v>-1680</v>
      </c>
      <c r="J101" s="5">
        <v>50190</v>
      </c>
      <c r="K101" s="5"/>
      <c r="L101" s="7">
        <v>-11585.000000000002</v>
      </c>
      <c r="M101" s="5">
        <f t="shared" si="17"/>
        <v>60095</v>
      </c>
      <c r="N101" s="5">
        <v>-447580</v>
      </c>
      <c r="O101">
        <v>-20615</v>
      </c>
      <c r="P101" s="10" t="s">
        <v>35</v>
      </c>
      <c r="Q101" s="5">
        <v>-20615</v>
      </c>
      <c r="R101" s="5">
        <v>63980</v>
      </c>
      <c r="S101" s="7">
        <v>-770</v>
      </c>
      <c r="T101" s="5">
        <f t="shared" si="18"/>
        <v>44135</v>
      </c>
      <c r="U101" s="5">
        <v>-449750</v>
      </c>
    </row>
    <row r="102" spans="1:21" x14ac:dyDescent="0.25">
      <c r="A102" s="10" t="s">
        <v>37</v>
      </c>
      <c r="B102" s="5">
        <v>0</v>
      </c>
      <c r="C102" s="5">
        <v>2100</v>
      </c>
      <c r="D102" s="7">
        <v>-14385</v>
      </c>
      <c r="E102" s="5">
        <f t="shared" si="16"/>
        <v>16485</v>
      </c>
      <c r="F102" s="5">
        <v>-336960</v>
      </c>
      <c r="H102" s="10" t="s">
        <v>37</v>
      </c>
      <c r="I102" s="5">
        <v>42870</v>
      </c>
      <c r="J102" s="5">
        <v>-14610</v>
      </c>
      <c r="K102" s="5"/>
      <c r="L102" s="7">
        <v>7530</v>
      </c>
      <c r="M102" s="5">
        <f t="shared" si="17"/>
        <v>20730</v>
      </c>
      <c r="N102" s="5">
        <v>-323130</v>
      </c>
      <c r="O102">
        <v>-43035</v>
      </c>
      <c r="P102" s="10" t="s">
        <v>37</v>
      </c>
      <c r="Q102" s="5">
        <v>-43035</v>
      </c>
      <c r="R102" s="5">
        <v>47055</v>
      </c>
      <c r="S102" s="7">
        <v>-1365</v>
      </c>
      <c r="T102" s="5">
        <f t="shared" si="18"/>
        <v>5385</v>
      </c>
      <c r="U102" s="5">
        <v>-585990</v>
      </c>
    </row>
    <row r="103" spans="1:21" x14ac:dyDescent="0.25">
      <c r="A103" s="10" t="s">
        <v>16</v>
      </c>
      <c r="B103" s="5">
        <v>-73350</v>
      </c>
      <c r="C103" s="5">
        <v>-90600</v>
      </c>
      <c r="D103" s="7">
        <v>-3450</v>
      </c>
      <c r="E103" s="5">
        <f t="shared" si="16"/>
        <v>-160500</v>
      </c>
      <c r="F103" s="5">
        <v>-280800</v>
      </c>
      <c r="H103" s="10" t="s">
        <v>16</v>
      </c>
      <c r="I103" s="5">
        <v>7275</v>
      </c>
      <c r="J103" s="5">
        <v>-1350</v>
      </c>
      <c r="K103" s="5"/>
      <c r="L103" s="7">
        <v>69900</v>
      </c>
      <c r="M103" s="5">
        <f t="shared" si="17"/>
        <v>-63975</v>
      </c>
      <c r="N103" s="5">
        <v>-231000</v>
      </c>
      <c r="O103">
        <v>-525</v>
      </c>
      <c r="P103" s="10"/>
      <c r="Q103" s="5">
        <v>-525</v>
      </c>
      <c r="R103" s="5">
        <v>31800</v>
      </c>
      <c r="S103" s="7">
        <v>-5700</v>
      </c>
      <c r="T103" s="5">
        <f t="shared" si="18"/>
        <v>36975</v>
      </c>
      <c r="U103" s="5">
        <v>-232200</v>
      </c>
    </row>
    <row r="104" spans="1:21" x14ac:dyDescent="0.25">
      <c r="A104" s="10" t="s">
        <v>18</v>
      </c>
      <c r="B104" s="5">
        <v>-21285</v>
      </c>
      <c r="C104" s="5">
        <v>3795</v>
      </c>
      <c r="D104" s="7">
        <v>-220</v>
      </c>
      <c r="E104" s="5">
        <f t="shared" si="16"/>
        <v>-17270</v>
      </c>
      <c r="F104" s="5">
        <v>-448030</v>
      </c>
      <c r="H104" s="10" t="s">
        <v>18</v>
      </c>
      <c r="I104" s="5">
        <v>220</v>
      </c>
      <c r="J104" s="5">
        <v>34045</v>
      </c>
      <c r="K104" s="5"/>
      <c r="L104" s="7">
        <v>16005</v>
      </c>
      <c r="M104" s="5">
        <f t="shared" si="17"/>
        <v>18260</v>
      </c>
      <c r="N104" s="5">
        <v>-462825</v>
      </c>
      <c r="O104">
        <v>11990</v>
      </c>
      <c r="P104" s="10"/>
      <c r="Q104" s="5">
        <v>11990</v>
      </c>
      <c r="R104" s="5">
        <v>77825</v>
      </c>
      <c r="S104" s="7">
        <v>1375</v>
      </c>
      <c r="T104" s="5">
        <f t="shared" si="18"/>
        <v>88440</v>
      </c>
      <c r="U104" s="5">
        <v>-386595</v>
      </c>
    </row>
    <row r="105" spans="1:21" x14ac:dyDescent="0.25">
      <c r="A105" s="10" t="s">
        <v>43</v>
      </c>
      <c r="B105" s="5">
        <v>-9687.5</v>
      </c>
      <c r="C105" s="5">
        <v>17750</v>
      </c>
      <c r="D105" s="7">
        <v>-6625</v>
      </c>
      <c r="E105" s="5">
        <f t="shared" si="16"/>
        <v>14687.5</v>
      </c>
      <c r="F105" s="5">
        <v>-619750</v>
      </c>
      <c r="H105" s="10" t="s">
        <v>43</v>
      </c>
      <c r="I105" s="5">
        <v>-8375</v>
      </c>
      <c r="J105" s="5">
        <v>49937.500000000015</v>
      </c>
      <c r="K105" s="5"/>
      <c r="L105" s="7">
        <v>4625</v>
      </c>
      <c r="M105" s="5">
        <f t="shared" si="17"/>
        <v>36937.500000000015</v>
      </c>
      <c r="N105" s="5">
        <v>-603875</v>
      </c>
      <c r="O105">
        <v>-7625</v>
      </c>
      <c r="P105" s="10" t="s">
        <v>43</v>
      </c>
      <c r="Q105" s="5">
        <v>-7625</v>
      </c>
      <c r="R105" s="5">
        <v>82187.5</v>
      </c>
      <c r="S105" s="7">
        <v>1312.5</v>
      </c>
      <c r="T105" s="5">
        <f t="shared" si="18"/>
        <v>73250</v>
      </c>
      <c r="U105" s="5">
        <v>-569250</v>
      </c>
    </row>
    <row r="106" spans="1:21" x14ac:dyDescent="0.25">
      <c r="A106" s="10" t="s">
        <v>42</v>
      </c>
      <c r="B106" s="5">
        <v>-9750</v>
      </c>
      <c r="C106" s="5">
        <v>51675</v>
      </c>
      <c r="D106" s="7">
        <v>24375</v>
      </c>
      <c r="E106" s="5">
        <f t="shared" si="16"/>
        <v>17550</v>
      </c>
      <c r="F106" s="5">
        <v>-678075</v>
      </c>
      <c r="H106" s="10" t="s">
        <v>42</v>
      </c>
      <c r="I106" s="5">
        <v>-11925</v>
      </c>
      <c r="J106" s="5">
        <v>96975</v>
      </c>
      <c r="K106" s="5"/>
      <c r="L106" s="7">
        <v>11625</v>
      </c>
      <c r="M106" s="5">
        <f t="shared" si="17"/>
        <v>73425</v>
      </c>
      <c r="N106" s="5">
        <v>-700875</v>
      </c>
      <c r="O106">
        <v>-22350</v>
      </c>
      <c r="P106" s="10" t="s">
        <v>42</v>
      </c>
      <c r="Q106" s="5">
        <v>-22350</v>
      </c>
      <c r="R106" s="5">
        <v>95625</v>
      </c>
      <c r="S106" s="7">
        <v>11025</v>
      </c>
      <c r="T106" s="5">
        <f t="shared" si="18"/>
        <v>62250</v>
      </c>
      <c r="U106" s="5">
        <v>-729675</v>
      </c>
    </row>
    <row r="107" spans="1:21" x14ac:dyDescent="0.25">
      <c r="A107" s="10" t="s">
        <v>39</v>
      </c>
      <c r="B107" s="5">
        <v>-12825</v>
      </c>
      <c r="C107" s="5">
        <v>-40875</v>
      </c>
      <c r="D107" s="7">
        <v>400</v>
      </c>
      <c r="E107" s="5">
        <f t="shared" si="16"/>
        <v>-54100</v>
      </c>
      <c r="F107" s="5">
        <v>-579600</v>
      </c>
      <c r="H107" s="10" t="s">
        <v>39</v>
      </c>
      <c r="I107" s="5">
        <v>-18925</v>
      </c>
      <c r="J107" s="5">
        <v>59900</v>
      </c>
      <c r="K107" s="5"/>
      <c r="L107" s="7">
        <v>8625</v>
      </c>
      <c r="M107" s="5">
        <f t="shared" si="17"/>
        <v>32350</v>
      </c>
      <c r="N107" s="5">
        <v>-624150</v>
      </c>
      <c r="O107">
        <v>0</v>
      </c>
      <c r="P107" s="10" t="s">
        <v>39</v>
      </c>
      <c r="Q107" s="5">
        <v>0</v>
      </c>
      <c r="R107" s="5">
        <v>116875</v>
      </c>
      <c r="S107" s="7">
        <v>-6725</v>
      </c>
      <c r="T107" s="5">
        <f t="shared" si="18"/>
        <v>123600</v>
      </c>
      <c r="U107" s="5">
        <v>-533900</v>
      </c>
    </row>
    <row r="108" spans="1:21" x14ac:dyDescent="0.25">
      <c r="A108" s="10" t="s">
        <v>19</v>
      </c>
      <c r="B108" s="5">
        <v>-7175</v>
      </c>
      <c r="C108" s="5">
        <v>36275</v>
      </c>
      <c r="D108" s="7">
        <v>-17875</v>
      </c>
      <c r="E108" s="5">
        <f t="shared" si="16"/>
        <v>46975</v>
      </c>
      <c r="F108" s="5">
        <v>-292787.5</v>
      </c>
      <c r="H108" s="10" t="s">
        <v>19</v>
      </c>
      <c r="I108" s="5">
        <v>-10412.5</v>
      </c>
      <c r="J108" s="5">
        <v>12437.5</v>
      </c>
      <c r="K108" s="5"/>
      <c r="L108" s="7">
        <v>6125</v>
      </c>
      <c r="M108" s="5">
        <f t="shared" si="17"/>
        <v>-4100</v>
      </c>
      <c r="N108" s="5">
        <v>-353600</v>
      </c>
      <c r="O108">
        <v>-7925</v>
      </c>
      <c r="P108" s="10" t="s">
        <v>19</v>
      </c>
      <c r="Q108" s="5">
        <v>-7925</v>
      </c>
      <c r="R108" s="5">
        <v>-16762.5</v>
      </c>
      <c r="S108" s="7">
        <v>-7337.5</v>
      </c>
      <c r="T108" s="5">
        <f t="shared" si="18"/>
        <v>-17350</v>
      </c>
      <c r="U108" s="5">
        <v>-332050</v>
      </c>
    </row>
    <row r="109" spans="1:21" x14ac:dyDescent="0.25">
      <c r="A109" s="10" t="s">
        <v>60</v>
      </c>
      <c r="B109" s="5">
        <v>17487.5</v>
      </c>
      <c r="C109" s="5">
        <v>15287.5</v>
      </c>
      <c r="D109" s="7">
        <v>13987.5</v>
      </c>
      <c r="E109" s="5">
        <f t="shared" si="16"/>
        <v>18787.5</v>
      </c>
      <c r="F109" s="5">
        <v>-616075</v>
      </c>
      <c r="H109" s="10" t="s">
        <v>60</v>
      </c>
      <c r="I109" s="5">
        <v>-48425</v>
      </c>
      <c r="J109" s="5">
        <v>33025</v>
      </c>
      <c r="K109" s="5"/>
      <c r="L109" s="7">
        <v>14100</v>
      </c>
      <c r="M109" s="5">
        <f t="shared" si="17"/>
        <v>-29500</v>
      </c>
      <c r="N109" s="5">
        <v>-745450</v>
      </c>
      <c r="O109">
        <v>-512.5</v>
      </c>
      <c r="P109" s="10">
        <v>-40000</v>
      </c>
      <c r="Q109" s="5">
        <v>-512.5</v>
      </c>
      <c r="R109" s="5">
        <v>79350</v>
      </c>
      <c r="S109" s="7">
        <v>4000</v>
      </c>
      <c r="T109" s="5">
        <f t="shared" si="18"/>
        <v>74837.5</v>
      </c>
      <c r="U109" s="5">
        <v>-727912.5</v>
      </c>
    </row>
    <row r="110" spans="1:21" x14ac:dyDescent="0.25">
      <c r="A110" s="10" t="s">
        <v>94</v>
      </c>
      <c r="B110" s="5">
        <v>-1350</v>
      </c>
      <c r="C110" s="5">
        <v>5670.0000000000073</v>
      </c>
      <c r="D110" s="7">
        <v>-1170</v>
      </c>
      <c r="E110" s="5">
        <f t="shared" si="16"/>
        <v>5490.0000000000073</v>
      </c>
      <c r="F110" s="5">
        <v>-417420</v>
      </c>
      <c r="H110" s="10" t="s">
        <v>94</v>
      </c>
      <c r="I110" s="5">
        <v>1710</v>
      </c>
      <c r="J110" s="5">
        <v>32040</v>
      </c>
      <c r="K110" s="5"/>
      <c r="L110" s="7">
        <v>-11790</v>
      </c>
      <c r="M110" s="5">
        <f t="shared" si="17"/>
        <v>45540</v>
      </c>
      <c r="N110" s="5">
        <v>-503730</v>
      </c>
      <c r="O110">
        <v>15930</v>
      </c>
      <c r="P110" s="10" t="s">
        <v>94</v>
      </c>
      <c r="Q110" s="5">
        <v>15930</v>
      </c>
      <c r="R110" s="5">
        <v>30960.000000000011</v>
      </c>
      <c r="S110" s="7">
        <v>-5580</v>
      </c>
      <c r="T110" s="5">
        <f t="shared" si="18"/>
        <v>52470.000000000015</v>
      </c>
      <c r="U110" s="5">
        <v>-487080</v>
      </c>
    </row>
    <row r="111" spans="1:21" x14ac:dyDescent="0.25">
      <c r="A111" s="10" t="s">
        <v>41</v>
      </c>
      <c r="B111" s="5">
        <v>-8137.5</v>
      </c>
      <c r="C111" s="5">
        <v>26932.5</v>
      </c>
      <c r="D111" s="7">
        <v>-12757.5</v>
      </c>
      <c r="E111" s="5">
        <f t="shared" si="16"/>
        <v>31552.5</v>
      </c>
      <c r="F111" s="5">
        <v>-332325</v>
      </c>
      <c r="H111" s="10" t="s">
        <v>41</v>
      </c>
      <c r="I111" s="5">
        <v>20807.5</v>
      </c>
      <c r="J111" s="5">
        <v>73666.25</v>
      </c>
      <c r="K111" s="5"/>
      <c r="L111" s="7">
        <v>-140</v>
      </c>
      <c r="M111" s="5">
        <f t="shared" si="17"/>
        <v>94613.75</v>
      </c>
      <c r="N111" s="5">
        <v>-462630</v>
      </c>
      <c r="O111">
        <v>-62387.5</v>
      </c>
      <c r="P111" s="10">
        <f>28750</f>
        <v>28750</v>
      </c>
      <c r="Q111" s="5">
        <v>-62387.5</v>
      </c>
      <c r="R111" s="5">
        <v>41396.25</v>
      </c>
      <c r="S111" s="7">
        <v>5591.25</v>
      </c>
      <c r="T111" s="5">
        <f t="shared" si="18"/>
        <v>-26582.5</v>
      </c>
      <c r="U111" s="5">
        <v>-582382.5</v>
      </c>
    </row>
    <row r="112" spans="1:21" x14ac:dyDescent="0.25">
      <c r="A112" s="10" t="s">
        <v>63</v>
      </c>
      <c r="B112" s="5">
        <v>16030</v>
      </c>
      <c r="C112" s="5">
        <v>41970</v>
      </c>
      <c r="D112" s="7">
        <v>-780</v>
      </c>
      <c r="E112" s="5">
        <f t="shared" si="16"/>
        <v>58780</v>
      </c>
      <c r="F112" s="5">
        <v>-342900</v>
      </c>
      <c r="H112" s="10" t="s">
        <v>63</v>
      </c>
      <c r="I112" s="5">
        <v>17720</v>
      </c>
      <c r="J112" s="5">
        <v>50500</v>
      </c>
      <c r="K112" s="5"/>
      <c r="L112" s="7">
        <v>2089.9999999999991</v>
      </c>
      <c r="M112" s="5">
        <f t="shared" si="17"/>
        <v>66130</v>
      </c>
      <c r="N112" s="5">
        <v>-320990</v>
      </c>
      <c r="O112">
        <v>1640</v>
      </c>
      <c r="P112" s="10">
        <v>60000</v>
      </c>
      <c r="Q112" s="5">
        <v>1640</v>
      </c>
      <c r="R112" s="5">
        <v>88440</v>
      </c>
      <c r="S112" s="7">
        <v>2249.9999999999991</v>
      </c>
      <c r="T112" s="5">
        <f t="shared" si="18"/>
        <v>87830</v>
      </c>
      <c r="U112" s="5">
        <v>-401300</v>
      </c>
    </row>
    <row r="113" spans="1:21" x14ac:dyDescent="0.25">
      <c r="A113" s="10" t="s">
        <v>67</v>
      </c>
      <c r="B113" s="5">
        <v>-12285</v>
      </c>
      <c r="C113" s="5">
        <v>-4355</v>
      </c>
      <c r="D113" s="7">
        <v>-4550</v>
      </c>
      <c r="E113" s="5">
        <f t="shared" si="16"/>
        <v>-12090</v>
      </c>
      <c r="F113" s="5">
        <v>-429260</v>
      </c>
      <c r="H113" s="10" t="s">
        <v>67</v>
      </c>
      <c r="I113" s="5">
        <v>62205</v>
      </c>
      <c r="J113" s="5">
        <v>-40885</v>
      </c>
      <c r="K113" s="5"/>
      <c r="L113" s="7">
        <v>-2990</v>
      </c>
      <c r="M113" s="5">
        <f t="shared" si="17"/>
        <v>24310</v>
      </c>
      <c r="N113" s="5">
        <v>-459550</v>
      </c>
      <c r="O113">
        <v>-8710</v>
      </c>
      <c r="P113" s="10">
        <v>50000</v>
      </c>
      <c r="Q113" s="5">
        <v>-8710</v>
      </c>
      <c r="R113" s="5">
        <v>72215</v>
      </c>
      <c r="S113" s="7">
        <v>-18980</v>
      </c>
      <c r="T113" s="5">
        <f t="shared" si="18"/>
        <v>82485</v>
      </c>
      <c r="U113" s="5">
        <v>-412295</v>
      </c>
    </row>
    <row r="114" spans="1:21" x14ac:dyDescent="0.25">
      <c r="A114" s="10" t="s">
        <v>84</v>
      </c>
      <c r="B114" s="5">
        <v>3960</v>
      </c>
      <c r="C114" s="5">
        <v>0</v>
      </c>
      <c r="D114" s="7">
        <v>0</v>
      </c>
      <c r="E114" s="5">
        <f t="shared" si="16"/>
        <v>3960</v>
      </c>
      <c r="F114" s="5">
        <v>-110880</v>
      </c>
      <c r="H114" s="10" t="s">
        <v>84</v>
      </c>
      <c r="I114" s="5">
        <v>-9630</v>
      </c>
      <c r="J114" s="5">
        <v>-15750</v>
      </c>
      <c r="K114" s="5"/>
      <c r="L114" s="7">
        <v>900</v>
      </c>
      <c r="M114" s="5">
        <f>+I114+J114-L114</f>
        <v>-26280</v>
      </c>
      <c r="N114" s="5">
        <v>-236340</v>
      </c>
      <c r="O114">
        <v>8550</v>
      </c>
      <c r="P114" s="10"/>
      <c r="Q114" s="5">
        <v>8550</v>
      </c>
      <c r="R114" s="5">
        <v>56700</v>
      </c>
      <c r="S114" s="7">
        <v>-2520</v>
      </c>
      <c r="T114" s="5">
        <f>+Q114+R114-S114</f>
        <v>67770</v>
      </c>
      <c r="U114" s="5">
        <v>-277020</v>
      </c>
    </row>
    <row r="115" spans="1:21" x14ac:dyDescent="0.25">
      <c r="A115" s="3" t="s">
        <v>107</v>
      </c>
      <c r="B115" s="6">
        <f>SUM(B98:B114)</f>
        <v>-188662.5</v>
      </c>
      <c r="C115" s="6">
        <f>SUM(C98:C114)</f>
        <v>188642.5</v>
      </c>
      <c r="D115" s="14">
        <f>SUM(D98:D114)</f>
        <v>-27502.5</v>
      </c>
      <c r="E115" s="3">
        <f>SUM(E98:E114)</f>
        <v>27482.500000000007</v>
      </c>
      <c r="F115" s="8">
        <f>SUM(F98:F114)</f>
        <v>-7805472.5</v>
      </c>
      <c r="H115" s="10" t="s">
        <v>48</v>
      </c>
      <c r="I115" s="5">
        <v>3000</v>
      </c>
      <c r="J115" s="5">
        <v>0</v>
      </c>
      <c r="K115" s="5"/>
      <c r="L115" s="7">
        <v>0</v>
      </c>
      <c r="M115" s="5">
        <f>+I115+J115-L115</f>
        <v>3000</v>
      </c>
      <c r="N115" s="5">
        <v>-211830</v>
      </c>
      <c r="O115">
        <v>9652.5</v>
      </c>
      <c r="P115" s="10"/>
      <c r="Q115" s="5">
        <v>9652.5</v>
      </c>
      <c r="R115" s="5">
        <v>80295</v>
      </c>
      <c r="S115" s="7">
        <v>-772.50000000000011</v>
      </c>
      <c r="T115" s="5">
        <f>+Q115+R115-S115</f>
        <v>90720</v>
      </c>
      <c r="U115" s="5">
        <v>-454612.5</v>
      </c>
    </row>
    <row r="116" spans="1:21" x14ac:dyDescent="0.25">
      <c r="H116" s="10" t="s">
        <v>64</v>
      </c>
      <c r="I116" s="5">
        <v>8300</v>
      </c>
      <c r="J116" s="5">
        <v>0</v>
      </c>
      <c r="K116" s="5"/>
      <c r="L116" s="7">
        <v>0</v>
      </c>
      <c r="M116" s="5">
        <f>+I116+J116-L116</f>
        <v>8300</v>
      </c>
      <c r="N116" s="5">
        <v>-172880</v>
      </c>
      <c r="O116">
        <v>4100</v>
      </c>
      <c r="P116" s="10"/>
      <c r="Q116" s="5">
        <v>4100</v>
      </c>
      <c r="R116" s="5">
        <v>45430</v>
      </c>
      <c r="S116" s="7">
        <v>19480</v>
      </c>
      <c r="T116" s="5">
        <f>+Q116+R116-S116</f>
        <v>30050</v>
      </c>
      <c r="U116" s="5">
        <v>-223060</v>
      </c>
    </row>
    <row r="117" spans="1:21" x14ac:dyDescent="0.25">
      <c r="H117" s="3" t="s">
        <v>107</v>
      </c>
      <c r="I117" s="6">
        <f>SUM(I98:I116)</f>
        <v>-84740</v>
      </c>
      <c r="J117" s="6">
        <f>SUM(J98:J116)</f>
        <v>346026.25</v>
      </c>
      <c r="K117" s="6"/>
      <c r="L117" s="14">
        <f>SUM(L98:L116)</f>
        <v>110697.5</v>
      </c>
      <c r="M117" s="3">
        <f>SUM(M98:M116)</f>
        <v>150588.75</v>
      </c>
      <c r="N117" s="8">
        <f>SUM(N98:N116)</f>
        <v>-8881430</v>
      </c>
      <c r="O117">
        <v>-2500</v>
      </c>
      <c r="P117" s="10" t="s">
        <v>21</v>
      </c>
      <c r="Q117" s="5">
        <v>-2500</v>
      </c>
      <c r="R117" s="5">
        <v>0</v>
      </c>
      <c r="S117" s="7">
        <v>0</v>
      </c>
      <c r="T117" s="5">
        <f>+Q117+R117-S117</f>
        <v>-2500</v>
      </c>
      <c r="U117" s="5">
        <v>-307440</v>
      </c>
    </row>
    <row r="118" spans="1:21" x14ac:dyDescent="0.25">
      <c r="O118">
        <v>18907.5</v>
      </c>
      <c r="P118" s="10" t="e">
        <f>RTD("nest.scriprtd",,"nse_fo|PERSISTENT28JUL22FUT","Symbol")</f>
        <v>#N/A</v>
      </c>
      <c r="Q118" s="4">
        <v>18907.5</v>
      </c>
      <c r="R118" s="5">
        <v>0</v>
      </c>
      <c r="S118" s="5">
        <v>0</v>
      </c>
      <c r="T118" s="4">
        <f>+Q118+R118-S118</f>
        <v>18907.5</v>
      </c>
      <c r="U118" s="5">
        <v>-105000</v>
      </c>
    </row>
    <row r="119" spans="1:21" x14ac:dyDescent="0.25">
      <c r="O119">
        <v>-129682.5</v>
      </c>
      <c r="P119" s="3">
        <v>-50000</v>
      </c>
      <c r="Q119" s="6">
        <f>SUM(Q98:Q118)</f>
        <v>-129682.5</v>
      </c>
      <c r="R119" s="6">
        <f>SUM(R98:R118)</f>
        <v>1253331.25</v>
      </c>
      <c r="S119" s="14">
        <f>SUM(S98:S118)</f>
        <v>48111.25</v>
      </c>
      <c r="T119" s="3">
        <f>SUM(T98:T118)</f>
        <v>1075537.5</v>
      </c>
      <c r="U119" s="8">
        <f>SUM(U98:U118)</f>
        <v>-9874572.5</v>
      </c>
    </row>
    <row r="121" spans="1:21" x14ac:dyDescent="0.25">
      <c r="A121" s="122">
        <v>44760</v>
      </c>
      <c r="B121" s="123"/>
      <c r="C121" s="123"/>
      <c r="D121" s="123"/>
      <c r="E121" s="123"/>
      <c r="F121" s="123"/>
      <c r="H121" s="122">
        <v>44761</v>
      </c>
      <c r="I121" s="123"/>
      <c r="J121" s="123"/>
      <c r="K121" s="123"/>
      <c r="L121" s="123"/>
      <c r="M121" s="123"/>
      <c r="N121" s="123"/>
      <c r="P121" s="122">
        <v>50000</v>
      </c>
      <c r="Q121" s="123"/>
      <c r="R121" s="123"/>
      <c r="S121" s="123"/>
      <c r="T121" s="123"/>
      <c r="U121" s="123"/>
    </row>
    <row r="122" spans="1:21" x14ac:dyDescent="0.25">
      <c r="A122" s="6" t="s">
        <v>34</v>
      </c>
      <c r="B122" s="6" t="s">
        <v>104</v>
      </c>
      <c r="C122" s="6" t="s">
        <v>105</v>
      </c>
      <c r="D122" s="6" t="s">
        <v>106</v>
      </c>
      <c r="E122" s="3" t="s">
        <v>108</v>
      </c>
      <c r="F122" s="3" t="s">
        <v>28</v>
      </c>
      <c r="H122" s="6" t="s">
        <v>34</v>
      </c>
      <c r="I122" s="6" t="s">
        <v>104</v>
      </c>
      <c r="J122" s="6" t="s">
        <v>105</v>
      </c>
      <c r="K122" s="6"/>
      <c r="L122" s="6" t="s">
        <v>106</v>
      </c>
      <c r="M122" s="3" t="s">
        <v>108</v>
      </c>
      <c r="N122" s="3" t="s">
        <v>28</v>
      </c>
      <c r="O122" t="s">
        <v>104</v>
      </c>
      <c r="P122" s="6" t="s">
        <v>34</v>
      </c>
      <c r="Q122" s="6" t="s">
        <v>104</v>
      </c>
      <c r="R122" s="6" t="s">
        <v>105</v>
      </c>
      <c r="S122" s="6" t="s">
        <v>106</v>
      </c>
      <c r="T122" s="3" t="s">
        <v>108</v>
      </c>
      <c r="U122" s="3" t="s">
        <v>28</v>
      </c>
    </row>
    <row r="123" spans="1:21" x14ac:dyDescent="0.25">
      <c r="A123" s="10" t="s">
        <v>53</v>
      </c>
      <c r="B123" s="5">
        <v>51150</v>
      </c>
      <c r="C123" s="5">
        <v>-37975</v>
      </c>
      <c r="D123" s="7">
        <v>6432.5000000000018</v>
      </c>
      <c r="E123" s="5">
        <f t="shared" ref="E123:E138" si="19">+B123+C123-D123</f>
        <v>6742.4999999999982</v>
      </c>
      <c r="F123" s="5">
        <v>-824445</v>
      </c>
      <c r="H123" s="10" t="s">
        <v>53</v>
      </c>
      <c r="I123" s="5">
        <v>-65720</v>
      </c>
      <c r="J123" s="5">
        <v>59985</v>
      </c>
      <c r="K123" s="5"/>
      <c r="L123" s="7">
        <v>-21777.5</v>
      </c>
      <c r="M123" s="5">
        <f t="shared" ref="M123:M144" si="20">+I123+J123-L123</f>
        <v>16042.5</v>
      </c>
      <c r="N123" s="5">
        <v>-774690</v>
      </c>
      <c r="O123">
        <v>20072.5</v>
      </c>
      <c r="P123" s="10"/>
      <c r="Q123" s="5">
        <v>20072.5</v>
      </c>
      <c r="R123" s="5">
        <v>-164455</v>
      </c>
      <c r="S123" s="7">
        <v>16507.5</v>
      </c>
      <c r="T123" s="5">
        <f t="shared" ref="T123:T143" si="21">+Q123+R123-S123</f>
        <v>-160890</v>
      </c>
      <c r="U123" s="5">
        <v>-855290</v>
      </c>
    </row>
    <row r="124" spans="1:21" x14ac:dyDescent="0.25">
      <c r="A124" s="10" t="s">
        <v>99</v>
      </c>
      <c r="B124" s="5">
        <v>10395</v>
      </c>
      <c r="C124" s="5">
        <v>210210</v>
      </c>
      <c r="D124" s="7">
        <v>28297.5</v>
      </c>
      <c r="E124" s="5">
        <f t="shared" si="19"/>
        <v>192307.5</v>
      </c>
      <c r="F124" s="7">
        <v>-899937.5</v>
      </c>
      <c r="H124" s="10" t="s">
        <v>99</v>
      </c>
      <c r="I124" s="5">
        <v>-22522</v>
      </c>
      <c r="J124" s="5">
        <v>-238892.5</v>
      </c>
      <c r="K124" s="5"/>
      <c r="L124" s="7">
        <v>28297.5</v>
      </c>
      <c r="M124" s="5">
        <f t="shared" si="20"/>
        <v>-289712</v>
      </c>
      <c r="N124" s="7">
        <v>-751327.5</v>
      </c>
      <c r="O124">
        <v>-229460</v>
      </c>
      <c r="P124" s="10" t="s">
        <v>99</v>
      </c>
      <c r="Q124" s="5">
        <v>-229460</v>
      </c>
      <c r="R124" s="5">
        <v>26372.5</v>
      </c>
      <c r="S124" s="7">
        <v>-18480</v>
      </c>
      <c r="T124" s="5">
        <f t="shared" si="21"/>
        <v>-184607.5</v>
      </c>
      <c r="U124" s="7">
        <v>-797335</v>
      </c>
    </row>
    <row r="125" spans="1:21" x14ac:dyDescent="0.25">
      <c r="A125" s="10" t="s">
        <v>45</v>
      </c>
      <c r="B125" s="5">
        <v>11149.95</v>
      </c>
      <c r="C125" s="5">
        <v>54500</v>
      </c>
      <c r="D125" s="7">
        <v>16050</v>
      </c>
      <c r="E125" s="5">
        <f t="shared" si="19"/>
        <v>49599.95</v>
      </c>
      <c r="F125" s="5">
        <v>-586300</v>
      </c>
      <c r="H125" s="10" t="s">
        <v>45</v>
      </c>
      <c r="I125" s="5">
        <v>0</v>
      </c>
      <c r="J125" s="5">
        <v>57950</v>
      </c>
      <c r="K125" s="5"/>
      <c r="L125" s="7">
        <v>1300</v>
      </c>
      <c r="M125" s="5">
        <f t="shared" si="20"/>
        <v>56650</v>
      </c>
      <c r="N125" s="5">
        <v>-509400</v>
      </c>
      <c r="O125">
        <v>-44500</v>
      </c>
      <c r="P125" s="10" t="s">
        <v>45</v>
      </c>
      <c r="Q125" s="5">
        <v>-44500</v>
      </c>
      <c r="R125" s="5">
        <v>-80050</v>
      </c>
      <c r="S125" s="7">
        <v>-1250</v>
      </c>
      <c r="T125" s="5">
        <f t="shared" si="21"/>
        <v>-123300</v>
      </c>
      <c r="U125" s="5">
        <v>-600350</v>
      </c>
    </row>
    <row r="126" spans="1:21" x14ac:dyDescent="0.25">
      <c r="A126" s="10" t="s">
        <v>35</v>
      </c>
      <c r="B126" s="5">
        <v>-127925</v>
      </c>
      <c r="C126" s="5">
        <v>54390</v>
      </c>
      <c r="D126" s="7">
        <v>1260</v>
      </c>
      <c r="E126" s="5">
        <f t="shared" si="19"/>
        <v>-74795</v>
      </c>
      <c r="F126" s="5">
        <v>-293545</v>
      </c>
      <c r="H126" s="10" t="s">
        <v>35</v>
      </c>
      <c r="I126" s="5">
        <v>0</v>
      </c>
      <c r="J126" s="5">
        <v>24465</v>
      </c>
      <c r="K126" s="5"/>
      <c r="L126" s="7">
        <v>20160</v>
      </c>
      <c r="M126" s="5">
        <f t="shared" si="20"/>
        <v>4305</v>
      </c>
      <c r="N126" s="5">
        <v>-303485</v>
      </c>
      <c r="O126">
        <v>0</v>
      </c>
      <c r="P126" s="10" t="s">
        <v>35</v>
      </c>
      <c r="Q126" s="5">
        <v>0</v>
      </c>
      <c r="R126" s="5">
        <v>19110</v>
      </c>
      <c r="S126" s="7">
        <v>-3990</v>
      </c>
      <c r="T126" s="5">
        <f t="shared" si="21"/>
        <v>23100</v>
      </c>
      <c r="U126" s="5">
        <v>-266140</v>
      </c>
    </row>
    <row r="127" spans="1:21" x14ac:dyDescent="0.25">
      <c r="A127" s="10" t="s">
        <v>37</v>
      </c>
      <c r="B127" s="5">
        <v>-16890</v>
      </c>
      <c r="C127" s="5">
        <v>48405</v>
      </c>
      <c r="D127" s="7">
        <v>-36315</v>
      </c>
      <c r="E127" s="5">
        <f t="shared" si="19"/>
        <v>67830</v>
      </c>
      <c r="F127" s="5">
        <v>-723840</v>
      </c>
      <c r="H127" s="10" t="s">
        <v>37</v>
      </c>
      <c r="I127" s="5">
        <v>26760</v>
      </c>
      <c r="J127" s="5">
        <v>-196065</v>
      </c>
      <c r="K127" s="5"/>
      <c r="L127" s="7">
        <v>18090</v>
      </c>
      <c r="M127" s="5">
        <f t="shared" si="20"/>
        <v>-187395</v>
      </c>
      <c r="N127" s="5">
        <v>-604200</v>
      </c>
      <c r="O127">
        <v>58380</v>
      </c>
      <c r="P127" s="10" t="s">
        <v>37</v>
      </c>
      <c r="Q127" s="5">
        <v>58380</v>
      </c>
      <c r="R127" s="5">
        <v>-33915.000000000058</v>
      </c>
      <c r="S127" s="7">
        <v>35910</v>
      </c>
      <c r="T127" s="5">
        <f t="shared" si="21"/>
        <v>-11445.000000000058</v>
      </c>
      <c r="U127" s="5">
        <v>-435150</v>
      </c>
    </row>
    <row r="128" spans="1:21" x14ac:dyDescent="0.25">
      <c r="A128" s="10" t="s">
        <v>16</v>
      </c>
      <c r="B128" s="5">
        <v>-13650</v>
      </c>
      <c r="C128" s="5">
        <v>44700</v>
      </c>
      <c r="D128" s="7">
        <v>9600</v>
      </c>
      <c r="E128" s="5">
        <f t="shared" si="19"/>
        <v>21450</v>
      </c>
      <c r="F128" s="5">
        <v>-223200</v>
      </c>
      <c r="H128" s="10" t="s">
        <v>16</v>
      </c>
      <c r="I128" s="5">
        <v>-43200</v>
      </c>
      <c r="J128" s="5">
        <v>-525</v>
      </c>
      <c r="K128" s="5"/>
      <c r="L128" s="7">
        <v>10575.000000000002</v>
      </c>
      <c r="M128" s="5">
        <f t="shared" si="20"/>
        <v>-54300</v>
      </c>
      <c r="N128" s="5">
        <v>-121050</v>
      </c>
      <c r="O128">
        <v>0</v>
      </c>
      <c r="P128" s="10">
        <v>-50000</v>
      </c>
      <c r="Q128" s="5">
        <v>0</v>
      </c>
      <c r="R128" s="5">
        <v>13800</v>
      </c>
      <c r="S128" s="7">
        <v>-8100</v>
      </c>
      <c r="T128" s="5">
        <f t="shared" si="21"/>
        <v>21900</v>
      </c>
      <c r="U128" s="5">
        <v>-131400</v>
      </c>
    </row>
    <row r="129" spans="1:21" x14ac:dyDescent="0.25">
      <c r="A129" s="10" t="s">
        <v>18</v>
      </c>
      <c r="B129" s="5">
        <v>0</v>
      </c>
      <c r="C129" s="5">
        <v>98945</v>
      </c>
      <c r="D129" s="7">
        <v>19525</v>
      </c>
      <c r="E129" s="5">
        <f t="shared" si="19"/>
        <v>79420</v>
      </c>
      <c r="F129" s="5">
        <v>-348425</v>
      </c>
      <c r="H129" s="10" t="s">
        <v>18</v>
      </c>
      <c r="I129" s="5">
        <v>0</v>
      </c>
      <c r="J129" s="5">
        <v>51975</v>
      </c>
      <c r="K129" s="5"/>
      <c r="L129" s="7">
        <v>6545</v>
      </c>
      <c r="M129" s="5">
        <f t="shared" si="20"/>
        <v>45430</v>
      </c>
      <c r="N129" s="5">
        <v>-370645</v>
      </c>
      <c r="O129">
        <v>0</v>
      </c>
      <c r="P129" s="10" t="s">
        <v>18</v>
      </c>
      <c r="Q129" s="5">
        <v>0</v>
      </c>
      <c r="R129" s="5">
        <v>22715</v>
      </c>
      <c r="S129" s="7">
        <v>6105</v>
      </c>
      <c r="T129" s="5">
        <f t="shared" si="21"/>
        <v>16610</v>
      </c>
      <c r="U129" s="5">
        <v>-315260</v>
      </c>
    </row>
    <row r="130" spans="1:21" x14ac:dyDescent="0.25">
      <c r="A130" s="10" t="s">
        <v>43</v>
      </c>
      <c r="B130" s="5">
        <v>0</v>
      </c>
      <c r="C130" s="5">
        <v>114000</v>
      </c>
      <c r="D130" s="7">
        <v>10000</v>
      </c>
      <c r="E130" s="5">
        <f t="shared" si="19"/>
        <v>104000</v>
      </c>
      <c r="F130" s="5">
        <v>-538875</v>
      </c>
      <c r="H130" s="10" t="s">
        <v>43</v>
      </c>
      <c r="I130" s="5">
        <v>1000</v>
      </c>
      <c r="J130" s="5">
        <v>-23687.499999999971</v>
      </c>
      <c r="K130" s="5"/>
      <c r="L130" s="7">
        <v>38250</v>
      </c>
      <c r="M130" s="5">
        <f t="shared" si="20"/>
        <v>-60937.499999999971</v>
      </c>
      <c r="N130" s="5">
        <v>-421625</v>
      </c>
      <c r="O130">
        <v>-309062.5</v>
      </c>
      <c r="P130" s="10" t="s">
        <v>43</v>
      </c>
      <c r="Q130" s="5">
        <v>-309062.5</v>
      </c>
      <c r="R130" s="5">
        <v>11062.5</v>
      </c>
      <c r="S130" s="7">
        <v>-23250.000000000004</v>
      </c>
      <c r="T130" s="5">
        <f t="shared" si="21"/>
        <v>-274750</v>
      </c>
      <c r="U130" s="5">
        <v>-562000</v>
      </c>
    </row>
    <row r="131" spans="1:21" x14ac:dyDescent="0.25">
      <c r="A131" s="10" t="s">
        <v>42</v>
      </c>
      <c r="B131" s="5">
        <v>0</v>
      </c>
      <c r="C131" s="5">
        <v>132825</v>
      </c>
      <c r="D131" s="7">
        <v>17850</v>
      </c>
      <c r="E131" s="5">
        <f t="shared" si="19"/>
        <v>114975</v>
      </c>
      <c r="F131" s="5">
        <v>-625950</v>
      </c>
      <c r="H131" s="10" t="s">
        <v>42</v>
      </c>
      <c r="I131" s="5">
        <v>-10650</v>
      </c>
      <c r="J131" s="5">
        <v>99000</v>
      </c>
      <c r="K131" s="5"/>
      <c r="L131" s="7">
        <v>-1275</v>
      </c>
      <c r="M131" s="5">
        <f t="shared" si="20"/>
        <v>89625</v>
      </c>
      <c r="N131" s="5">
        <v>-657750</v>
      </c>
      <c r="O131">
        <v>-154125</v>
      </c>
      <c r="P131" s="10">
        <v>50000</v>
      </c>
      <c r="Q131" s="5">
        <v>-154125</v>
      </c>
      <c r="R131" s="5">
        <v>-122399.99999999999</v>
      </c>
      <c r="S131" s="7">
        <v>11925</v>
      </c>
      <c r="T131" s="5">
        <f t="shared" si="21"/>
        <v>-288450</v>
      </c>
      <c r="U131" s="5">
        <v>-790950</v>
      </c>
    </row>
    <row r="132" spans="1:21" x14ac:dyDescent="0.25">
      <c r="A132" s="10" t="s">
        <v>39</v>
      </c>
      <c r="B132" s="5">
        <v>292700</v>
      </c>
      <c r="C132" s="5">
        <v>-472825</v>
      </c>
      <c r="D132" s="7">
        <v>32875</v>
      </c>
      <c r="E132" s="5">
        <f t="shared" si="19"/>
        <v>-213000</v>
      </c>
      <c r="F132" s="5">
        <v>-610600</v>
      </c>
      <c r="H132" s="10" t="s">
        <v>39</v>
      </c>
      <c r="I132" s="5">
        <v>-8725</v>
      </c>
      <c r="J132" s="5">
        <v>57500</v>
      </c>
      <c r="K132" s="5"/>
      <c r="L132" s="7">
        <v>22400</v>
      </c>
      <c r="M132" s="5">
        <f t="shared" si="20"/>
        <v>26375</v>
      </c>
      <c r="N132" s="5">
        <v>-475850</v>
      </c>
      <c r="O132">
        <v>19800</v>
      </c>
      <c r="P132" s="10">
        <v>50000</v>
      </c>
      <c r="Q132" s="5">
        <v>19800</v>
      </c>
      <c r="R132" s="5">
        <v>-46700</v>
      </c>
      <c r="S132" s="7">
        <v>-8300</v>
      </c>
      <c r="T132" s="5">
        <f t="shared" si="21"/>
        <v>-18600</v>
      </c>
      <c r="U132" s="5">
        <v>-342750</v>
      </c>
    </row>
    <row r="133" spans="1:21" x14ac:dyDescent="0.25">
      <c r="A133" s="10" t="s">
        <v>19</v>
      </c>
      <c r="B133" s="5">
        <v>0</v>
      </c>
      <c r="C133" s="5">
        <v>54737.5</v>
      </c>
      <c r="D133" s="7">
        <v>-9312.5</v>
      </c>
      <c r="E133" s="5">
        <f t="shared" si="19"/>
        <v>64050</v>
      </c>
      <c r="F133" s="5">
        <v>-292750</v>
      </c>
      <c r="H133" s="10" t="s">
        <v>19</v>
      </c>
      <c r="I133" s="5">
        <v>850</v>
      </c>
      <c r="J133" s="5">
        <v>37275</v>
      </c>
      <c r="K133" s="5"/>
      <c r="L133" s="7">
        <v>-13087.5</v>
      </c>
      <c r="M133" s="5">
        <f t="shared" si="20"/>
        <v>51212.5</v>
      </c>
      <c r="N133" s="5">
        <v>-196637.5</v>
      </c>
      <c r="O133">
        <v>0</v>
      </c>
      <c r="P133" s="10">
        <v>50000</v>
      </c>
      <c r="Q133" s="5">
        <v>0</v>
      </c>
      <c r="R133" s="5">
        <v>75537.5</v>
      </c>
      <c r="S133" s="7">
        <v>-7700</v>
      </c>
      <c r="T133" s="5">
        <f t="shared" si="21"/>
        <v>83237.5</v>
      </c>
      <c r="U133" s="5">
        <v>-189600</v>
      </c>
    </row>
    <row r="134" spans="1:21" x14ac:dyDescent="0.25">
      <c r="A134" s="10" t="s">
        <v>60</v>
      </c>
      <c r="B134" s="5">
        <v>250</v>
      </c>
      <c r="C134" s="5">
        <v>70900</v>
      </c>
      <c r="D134" s="7">
        <v>8762.5</v>
      </c>
      <c r="E134" s="5">
        <f t="shared" si="19"/>
        <v>62387.5</v>
      </c>
      <c r="F134" s="5">
        <v>-720600</v>
      </c>
      <c r="H134" s="10" t="s">
        <v>60</v>
      </c>
      <c r="I134" s="5">
        <v>-5375</v>
      </c>
      <c r="J134" s="5">
        <v>43812.5</v>
      </c>
      <c r="K134" s="5"/>
      <c r="L134" s="7">
        <v>9512.5</v>
      </c>
      <c r="M134" s="5">
        <f t="shared" si="20"/>
        <v>28925</v>
      </c>
      <c r="N134" s="5">
        <v>-718800</v>
      </c>
      <c r="O134">
        <v>-137925</v>
      </c>
      <c r="P134" s="10"/>
      <c r="Q134" s="5">
        <f>-121700-16225</f>
        <v>-137925</v>
      </c>
      <c r="R134" s="5">
        <v>65212.5</v>
      </c>
      <c r="S134" s="7">
        <v>13375</v>
      </c>
      <c r="T134" s="5">
        <f t="shared" si="21"/>
        <v>-86087.5</v>
      </c>
      <c r="U134" s="5">
        <v>-759825</v>
      </c>
    </row>
    <row r="135" spans="1:21" x14ac:dyDescent="0.25">
      <c r="A135" s="10" t="s">
        <v>94</v>
      </c>
      <c r="B135" s="5">
        <v>18090</v>
      </c>
      <c r="C135" s="5">
        <v>58140</v>
      </c>
      <c r="D135" s="7">
        <v>6570</v>
      </c>
      <c r="E135" s="5">
        <f t="shared" si="19"/>
        <v>69660</v>
      </c>
      <c r="F135" s="5">
        <v>-491400</v>
      </c>
      <c r="H135" s="10" t="s">
        <v>94</v>
      </c>
      <c r="I135" s="5">
        <v>-13320</v>
      </c>
      <c r="J135" s="5">
        <v>-88290</v>
      </c>
      <c r="K135" s="5"/>
      <c r="L135" s="7">
        <v>19800</v>
      </c>
      <c r="M135" s="5">
        <f t="shared" si="20"/>
        <v>-121410</v>
      </c>
      <c r="N135" s="5">
        <v>-543420</v>
      </c>
      <c r="O135">
        <v>-65610</v>
      </c>
      <c r="P135" s="10"/>
      <c r="Q135" s="5">
        <v>-65610</v>
      </c>
      <c r="R135" s="5">
        <v>-77040</v>
      </c>
      <c r="S135" s="7">
        <v>-3330</v>
      </c>
      <c r="T135" s="5">
        <f t="shared" si="21"/>
        <v>-139320</v>
      </c>
      <c r="U135" s="5">
        <v>-465390</v>
      </c>
    </row>
    <row r="136" spans="1:21" x14ac:dyDescent="0.25">
      <c r="A136" s="10" t="s">
        <v>41</v>
      </c>
      <c r="B136" s="5">
        <v>-85583.75</v>
      </c>
      <c r="C136" s="5">
        <v>22207.5</v>
      </c>
      <c r="D136" s="7">
        <v>-16817.5</v>
      </c>
      <c r="E136" s="5">
        <f t="shared" si="19"/>
        <v>-46558.75</v>
      </c>
      <c r="F136" s="5">
        <v>-603680</v>
      </c>
      <c r="H136" s="10" t="s">
        <v>41</v>
      </c>
      <c r="I136" s="5">
        <v>2660</v>
      </c>
      <c r="J136" s="5">
        <v>153562.5</v>
      </c>
      <c r="K136" s="5"/>
      <c r="L136" s="7">
        <v>-21350</v>
      </c>
      <c r="M136" s="5">
        <f t="shared" si="20"/>
        <v>177572.5</v>
      </c>
      <c r="N136" s="5">
        <v>-485520</v>
      </c>
      <c r="O136">
        <v>244291.25</v>
      </c>
      <c r="P136" s="10"/>
      <c r="Q136" s="5">
        <v>244291.25</v>
      </c>
      <c r="R136" s="5">
        <v>-566816.25</v>
      </c>
      <c r="S136" s="7">
        <v>31744.999999999996</v>
      </c>
      <c r="T136" s="5">
        <f t="shared" si="21"/>
        <v>-354270</v>
      </c>
      <c r="U136" s="5">
        <v>-565871.25</v>
      </c>
    </row>
    <row r="137" spans="1:21" x14ac:dyDescent="0.25">
      <c r="A137" s="10" t="s">
        <v>63</v>
      </c>
      <c r="B137" s="5">
        <v>90520</v>
      </c>
      <c r="C137" s="5">
        <v>-136160</v>
      </c>
      <c r="D137" s="7">
        <v>18140</v>
      </c>
      <c r="E137" s="5">
        <f t="shared" si="19"/>
        <v>-63780</v>
      </c>
      <c r="F137" s="5">
        <v>-638300</v>
      </c>
      <c r="H137" s="10" t="s">
        <v>63</v>
      </c>
      <c r="I137" s="5">
        <v>1230</v>
      </c>
      <c r="J137" s="5">
        <v>43500</v>
      </c>
      <c r="K137" s="5"/>
      <c r="L137" s="7">
        <v>-20520</v>
      </c>
      <c r="M137" s="5">
        <f t="shared" si="20"/>
        <v>65250</v>
      </c>
      <c r="N137" s="5">
        <v>-471600</v>
      </c>
      <c r="O137">
        <v>3320</v>
      </c>
      <c r="P137" s="10"/>
      <c r="Q137" s="5">
        <v>3320</v>
      </c>
      <c r="R137" s="5">
        <v>-119170</v>
      </c>
      <c r="S137" s="7">
        <v>750</v>
      </c>
      <c r="T137" s="5">
        <f t="shared" si="21"/>
        <v>-116600</v>
      </c>
      <c r="U137" s="5">
        <v>-484030</v>
      </c>
    </row>
    <row r="138" spans="1:21" x14ac:dyDescent="0.25">
      <c r="A138" s="10" t="s">
        <v>67</v>
      </c>
      <c r="B138" s="5">
        <v>-2470</v>
      </c>
      <c r="C138" s="5">
        <v>103090</v>
      </c>
      <c r="D138" s="7">
        <v>19045</v>
      </c>
      <c r="E138" s="5">
        <f t="shared" si="19"/>
        <v>81575</v>
      </c>
      <c r="F138" s="5">
        <v>-499850</v>
      </c>
      <c r="H138" s="10" t="s">
        <v>67</v>
      </c>
      <c r="I138" s="5">
        <v>1625</v>
      </c>
      <c r="J138" s="5">
        <v>-76504.999999999985</v>
      </c>
      <c r="K138" s="5"/>
      <c r="L138" s="7">
        <v>4680</v>
      </c>
      <c r="M138" s="5">
        <f t="shared" si="20"/>
        <v>-79559.999999999985</v>
      </c>
      <c r="N138" s="5">
        <v>-597155</v>
      </c>
      <c r="O138">
        <v>-17615</v>
      </c>
      <c r="P138" s="10"/>
      <c r="Q138" s="5">
        <v>-17615</v>
      </c>
      <c r="R138" s="5">
        <v>162825</v>
      </c>
      <c r="S138" s="7">
        <v>-13195</v>
      </c>
      <c r="T138" s="5">
        <f t="shared" si="21"/>
        <v>158405</v>
      </c>
      <c r="U138" s="5">
        <v>-494130</v>
      </c>
    </row>
    <row r="139" spans="1:21" x14ac:dyDescent="0.25">
      <c r="A139" s="10" t="s">
        <v>84</v>
      </c>
      <c r="B139" s="5">
        <v>27855</v>
      </c>
      <c r="C139" s="5">
        <v>-57195</v>
      </c>
      <c r="D139" s="7">
        <v>6300</v>
      </c>
      <c r="E139" s="5">
        <f t="shared" ref="E139:E144" si="22">+B139+C139-D139</f>
        <v>-35640</v>
      </c>
      <c r="F139" s="5">
        <v>-304695</v>
      </c>
      <c r="H139" s="10" t="s">
        <v>84</v>
      </c>
      <c r="I139" s="5">
        <v>-18765</v>
      </c>
      <c r="J139" s="5">
        <v>19395</v>
      </c>
      <c r="K139" s="5"/>
      <c r="L139" s="7">
        <v>-5580</v>
      </c>
      <c r="M139" s="5">
        <f t="shared" si="20"/>
        <v>6210</v>
      </c>
      <c r="N139" s="5">
        <v>-280080</v>
      </c>
      <c r="O139">
        <v>-4140</v>
      </c>
      <c r="P139" s="10">
        <v>-25000</v>
      </c>
      <c r="Q139" s="5">
        <v>-4140</v>
      </c>
      <c r="R139" s="5">
        <v>-7290</v>
      </c>
      <c r="S139" s="7">
        <v>-3915</v>
      </c>
      <c r="T139" s="5">
        <f t="shared" si="21"/>
        <v>-7515</v>
      </c>
      <c r="U139" s="5">
        <v>-379665</v>
      </c>
    </row>
    <row r="140" spans="1:21" x14ac:dyDescent="0.25">
      <c r="A140" s="10" t="s">
        <v>48</v>
      </c>
      <c r="B140" s="5">
        <v>233437.5</v>
      </c>
      <c r="C140" s="5">
        <v>-231187.50000000006</v>
      </c>
      <c r="D140" s="7">
        <v>24300</v>
      </c>
      <c r="E140" s="5">
        <f t="shared" si="22"/>
        <v>-22050.000000000058</v>
      </c>
      <c r="F140" s="5">
        <v>-619200</v>
      </c>
      <c r="H140" s="10" t="s">
        <v>48</v>
      </c>
      <c r="I140" s="5">
        <v>-22972.5</v>
      </c>
      <c r="J140" s="5">
        <v>38355</v>
      </c>
      <c r="K140" s="5"/>
      <c r="L140" s="7">
        <v>13635</v>
      </c>
      <c r="M140" s="5">
        <f t="shared" si="20"/>
        <v>1747.5</v>
      </c>
      <c r="N140" s="5">
        <v>-529245</v>
      </c>
      <c r="O140">
        <v>50587.5</v>
      </c>
      <c r="P140" s="10"/>
      <c r="Q140" s="5">
        <v>50587.5</v>
      </c>
      <c r="R140" s="5">
        <v>-222885.00000000006</v>
      </c>
      <c r="S140" s="7">
        <v>4695</v>
      </c>
      <c r="T140" s="5">
        <f t="shared" si="21"/>
        <v>-176992.50000000006</v>
      </c>
      <c r="U140" s="5">
        <v>-609180</v>
      </c>
    </row>
    <row r="141" spans="1:21" x14ac:dyDescent="0.25">
      <c r="A141" s="10" t="s">
        <v>64</v>
      </c>
      <c r="B141" s="5">
        <v>-24250</v>
      </c>
      <c r="C141" s="5">
        <v>64980</v>
      </c>
      <c r="D141" s="7">
        <v>2940</v>
      </c>
      <c r="E141" s="5">
        <f t="shared" si="22"/>
        <v>37790</v>
      </c>
      <c r="F141" s="5">
        <v>-390160</v>
      </c>
      <c r="H141" s="10" t="s">
        <v>64</v>
      </c>
      <c r="I141" s="5">
        <v>-11400</v>
      </c>
      <c r="J141" s="5">
        <v>47010</v>
      </c>
      <c r="K141" s="5"/>
      <c r="L141" s="7">
        <v>5570</v>
      </c>
      <c r="M141" s="5">
        <f t="shared" si="20"/>
        <v>30040</v>
      </c>
      <c r="N141" s="5">
        <v>-407720</v>
      </c>
      <c r="O141">
        <v>321720</v>
      </c>
      <c r="P141" s="10"/>
      <c r="Q141" s="5">
        <v>321720</v>
      </c>
      <c r="R141" s="5">
        <v>-507190</v>
      </c>
      <c r="S141" s="7">
        <v>5330</v>
      </c>
      <c r="T141" s="5">
        <f t="shared" si="21"/>
        <v>-190800</v>
      </c>
      <c r="U141" s="5">
        <v>-626170</v>
      </c>
    </row>
    <row r="142" spans="1:21" x14ac:dyDescent="0.25">
      <c r="A142" s="10" t="s">
        <v>21</v>
      </c>
      <c r="B142" s="5">
        <v>5750</v>
      </c>
      <c r="C142" s="5">
        <v>-29655</v>
      </c>
      <c r="D142" s="7">
        <v>19230</v>
      </c>
      <c r="E142" s="5">
        <f t="shared" si="22"/>
        <v>-43135</v>
      </c>
      <c r="F142" s="5">
        <v>-508500</v>
      </c>
      <c r="H142" s="10" t="s">
        <v>21</v>
      </c>
      <c r="I142" s="5">
        <v>-18500</v>
      </c>
      <c r="J142" s="5">
        <v>103740</v>
      </c>
      <c r="K142" s="5"/>
      <c r="L142" s="7">
        <v>6090.0000000000009</v>
      </c>
      <c r="M142" s="5">
        <f t="shared" si="20"/>
        <v>79150</v>
      </c>
      <c r="N142" s="5">
        <v>-494955</v>
      </c>
      <c r="O142">
        <v>186135</v>
      </c>
      <c r="P142" s="10"/>
      <c r="Q142" s="4">
        <v>186135</v>
      </c>
      <c r="R142" s="5">
        <v>-567840</v>
      </c>
      <c r="S142" s="5">
        <v>37005</v>
      </c>
      <c r="T142" s="5">
        <f t="shared" si="21"/>
        <v>-418710</v>
      </c>
      <c r="U142" s="5">
        <v>-666300</v>
      </c>
    </row>
    <row r="143" spans="1:21" x14ac:dyDescent="0.25">
      <c r="A143" s="10" t="s">
        <v>38</v>
      </c>
      <c r="B143" s="4">
        <v>24697.5</v>
      </c>
      <c r="C143" s="5">
        <v>-21250</v>
      </c>
      <c r="D143" s="5">
        <v>2250</v>
      </c>
      <c r="E143" s="4">
        <f t="shared" si="22"/>
        <v>1197.5</v>
      </c>
      <c r="F143" s="5">
        <v>-190000</v>
      </c>
      <c r="H143" s="10" t="s">
        <v>38</v>
      </c>
      <c r="I143" s="4">
        <v>-27367.5</v>
      </c>
      <c r="J143" s="5">
        <v>-105000</v>
      </c>
      <c r="K143" s="5"/>
      <c r="L143" s="5">
        <v>1250</v>
      </c>
      <c r="M143" s="5">
        <f t="shared" si="20"/>
        <v>-133617.5</v>
      </c>
      <c r="N143" s="5">
        <v>0</v>
      </c>
      <c r="O143">
        <v>-18905</v>
      </c>
      <c r="P143" s="10"/>
      <c r="Q143" s="4">
        <v>-18905</v>
      </c>
      <c r="R143" s="5">
        <v>68803.75</v>
      </c>
      <c r="S143" s="5">
        <v>2256.25</v>
      </c>
      <c r="T143" s="5">
        <f t="shared" si="21"/>
        <v>47642.5</v>
      </c>
      <c r="U143" s="5">
        <v>-462175</v>
      </c>
    </row>
    <row r="144" spans="1:21" x14ac:dyDescent="0.25">
      <c r="A144" s="10" t="s">
        <v>46</v>
      </c>
      <c r="B144" s="4">
        <v>-4583.75</v>
      </c>
      <c r="C144" s="5">
        <v>0</v>
      </c>
      <c r="D144" s="5">
        <v>0</v>
      </c>
      <c r="E144" s="4">
        <f t="shared" si="22"/>
        <v>-4583.75</v>
      </c>
      <c r="F144" s="5">
        <v>-279395</v>
      </c>
      <c r="H144" s="10" t="s">
        <v>46</v>
      </c>
      <c r="I144" s="4">
        <v>4750</v>
      </c>
      <c r="J144" s="5">
        <v>1828.75</v>
      </c>
      <c r="K144" s="5"/>
      <c r="L144" s="5">
        <v>4844.9999999999982</v>
      </c>
      <c r="M144" s="5">
        <f t="shared" si="20"/>
        <v>1733.7500000000018</v>
      </c>
      <c r="N144" s="5">
        <v>-446215</v>
      </c>
      <c r="O144">
        <v>-77036.25</v>
      </c>
      <c r="P144" s="3"/>
      <c r="Q144" s="6">
        <f>SUM(Q123:Q143)</f>
        <v>-77036.25</v>
      </c>
      <c r="R144" s="6">
        <f>SUM(R123:R143)</f>
        <v>-2050312.5</v>
      </c>
      <c r="S144" s="14">
        <f>SUM(S123:S143)</f>
        <v>74093.75</v>
      </c>
      <c r="T144" s="3">
        <f>SUM(T123:T143)</f>
        <v>-2201442.5</v>
      </c>
      <c r="U144" s="8">
        <f>SUM(U123:U143)</f>
        <v>-10798961.25</v>
      </c>
    </row>
    <row r="145" spans="1:21" x14ac:dyDescent="0.25">
      <c r="A145" s="3" t="s">
        <v>107</v>
      </c>
      <c r="B145" s="6">
        <f>SUM(B123:B144)</f>
        <v>490642.45</v>
      </c>
      <c r="C145" s="6">
        <f>SUM(C123:C144)</f>
        <v>145782.49999999994</v>
      </c>
      <c r="D145" s="14">
        <f>SUM(D123:D144)</f>
        <v>186982.5</v>
      </c>
      <c r="E145" s="3">
        <f>SUM(E123:E144)</f>
        <v>449442.4499999999</v>
      </c>
      <c r="F145" s="8">
        <f>SUM(F123:F144)</f>
        <v>-11213647.5</v>
      </c>
      <c r="H145" s="3" t="s">
        <v>107</v>
      </c>
      <c r="I145" s="6">
        <f>SUM(I123:I144)</f>
        <v>-229642</v>
      </c>
      <c r="J145" s="6">
        <f>SUM(J123:J144)</f>
        <v>110388.75</v>
      </c>
      <c r="K145" s="6"/>
      <c r="L145" s="14">
        <f>SUM(L123:L144)</f>
        <v>127410</v>
      </c>
      <c r="M145" s="3">
        <f>SUM(M123:M144)</f>
        <v>-246663.25</v>
      </c>
      <c r="N145" s="8">
        <f>SUM(N123:N144)</f>
        <v>-10161370</v>
      </c>
    </row>
    <row r="147" spans="1:21" x14ac:dyDescent="0.25">
      <c r="A147" s="122">
        <v>44763</v>
      </c>
      <c r="B147" s="123"/>
      <c r="C147" s="123"/>
      <c r="D147" s="123"/>
      <c r="E147" s="123"/>
      <c r="F147" s="123"/>
      <c r="H147" s="122">
        <v>44764</v>
      </c>
      <c r="I147" s="123"/>
      <c r="J147" s="123"/>
      <c r="K147" s="123"/>
      <c r="L147" s="123"/>
      <c r="M147" s="123"/>
      <c r="N147" s="123"/>
      <c r="P147" s="122">
        <v>44767</v>
      </c>
      <c r="Q147" s="123"/>
      <c r="R147" s="123"/>
      <c r="S147" s="123"/>
      <c r="T147" s="123"/>
      <c r="U147" s="123"/>
    </row>
    <row r="148" spans="1:21" x14ac:dyDescent="0.25">
      <c r="A148" s="6" t="s">
        <v>34</v>
      </c>
      <c r="B148" s="6" t="s">
        <v>104</v>
      </c>
      <c r="C148" s="6" t="s">
        <v>105</v>
      </c>
      <c r="D148" s="6" t="s">
        <v>106</v>
      </c>
      <c r="E148" s="3" t="s">
        <v>108</v>
      </c>
      <c r="F148" s="3" t="s">
        <v>28</v>
      </c>
      <c r="H148" s="6" t="s">
        <v>34</v>
      </c>
      <c r="I148" s="6" t="s">
        <v>104</v>
      </c>
      <c r="J148" s="6" t="s">
        <v>105</v>
      </c>
      <c r="K148" s="6"/>
      <c r="L148" s="6" t="s">
        <v>106</v>
      </c>
      <c r="M148" s="3" t="s">
        <v>108</v>
      </c>
      <c r="N148" s="3" t="s">
        <v>28</v>
      </c>
      <c r="O148" t="s">
        <v>104</v>
      </c>
      <c r="P148" s="6"/>
      <c r="Q148" s="6" t="s">
        <v>104</v>
      </c>
      <c r="R148" s="6" t="s">
        <v>105</v>
      </c>
      <c r="S148" s="6" t="s">
        <v>106</v>
      </c>
      <c r="T148" s="3" t="s">
        <v>108</v>
      </c>
      <c r="U148" s="3" t="s">
        <v>28</v>
      </c>
    </row>
    <row r="149" spans="1:21" x14ac:dyDescent="0.25">
      <c r="A149" s="10" t="s">
        <v>53</v>
      </c>
      <c r="B149" s="5">
        <v>-15887.5</v>
      </c>
      <c r="C149" s="5">
        <v>203127.5</v>
      </c>
      <c r="D149" s="7">
        <v>45182.5</v>
      </c>
      <c r="E149" s="5">
        <f t="shared" ref="E149:E169" si="23">+B149+C149-D149</f>
        <v>142057.5</v>
      </c>
      <c r="F149" s="5">
        <v>-849400</v>
      </c>
      <c r="H149" s="10" t="s">
        <v>53</v>
      </c>
      <c r="I149" s="5">
        <v>2325</v>
      </c>
      <c r="J149" s="5">
        <v>221727.5</v>
      </c>
      <c r="K149" s="5"/>
      <c r="L149" s="7">
        <v>-7130</v>
      </c>
      <c r="M149" s="5">
        <f t="shared" ref="M149:M168" si="24">+I149+J149-L149</f>
        <v>231182.5</v>
      </c>
      <c r="N149" s="7">
        <v>-687037.5</v>
      </c>
      <c r="O149">
        <v>-35727.5</v>
      </c>
      <c r="P149" s="10"/>
      <c r="Q149" s="5">
        <v>-35727.5</v>
      </c>
      <c r="R149" s="5">
        <v>106872.5</v>
      </c>
      <c r="S149" s="7">
        <v>36580</v>
      </c>
      <c r="T149" s="5">
        <f t="shared" ref="T149:T158" si="25">+Q149+R149-S149</f>
        <v>34565</v>
      </c>
      <c r="U149" s="7">
        <v>-655417.5</v>
      </c>
    </row>
    <row r="150" spans="1:21" x14ac:dyDescent="0.25">
      <c r="A150" s="10" t="s">
        <v>99</v>
      </c>
      <c r="B150" s="5">
        <v>-11550</v>
      </c>
      <c r="C150" s="5">
        <v>146492.5</v>
      </c>
      <c r="D150" s="7">
        <v>38307.5</v>
      </c>
      <c r="E150" s="5">
        <f t="shared" si="23"/>
        <v>96635</v>
      </c>
      <c r="F150" s="7">
        <v>-806382.5</v>
      </c>
      <c r="H150" s="10" t="s">
        <v>99</v>
      </c>
      <c r="I150" s="5">
        <v>-3850</v>
      </c>
      <c r="J150" s="5">
        <v>177677.5</v>
      </c>
      <c r="K150" s="5"/>
      <c r="L150" s="7">
        <v>8855</v>
      </c>
      <c r="M150" s="5">
        <f t="shared" si="24"/>
        <v>164972.5</v>
      </c>
      <c r="N150" s="7">
        <v>-669515</v>
      </c>
      <c r="O150">
        <v>4620</v>
      </c>
      <c r="P150" s="10"/>
      <c r="Q150" s="5">
        <v>4620</v>
      </c>
      <c r="R150" s="5">
        <v>88165</v>
      </c>
      <c r="S150" s="7">
        <v>25987.5</v>
      </c>
      <c r="T150" s="5">
        <f t="shared" si="25"/>
        <v>66797.5</v>
      </c>
      <c r="U150" s="7">
        <v>-547855</v>
      </c>
    </row>
    <row r="151" spans="1:21" x14ac:dyDescent="0.25">
      <c r="A151" s="10" t="s">
        <v>45</v>
      </c>
      <c r="B151" s="5">
        <v>-84000</v>
      </c>
      <c r="C151" s="5">
        <v>276200</v>
      </c>
      <c r="D151" s="7">
        <v>-28550</v>
      </c>
      <c r="E151" s="5">
        <f t="shared" si="23"/>
        <v>220750</v>
      </c>
      <c r="F151" s="5">
        <v>-481900</v>
      </c>
      <c r="H151" s="10" t="s">
        <v>45</v>
      </c>
      <c r="I151" s="5">
        <v>-1250</v>
      </c>
      <c r="J151" s="5">
        <v>77350</v>
      </c>
      <c r="K151" s="5"/>
      <c r="L151" s="7">
        <v>12950</v>
      </c>
      <c r="M151" s="5">
        <f t="shared" si="24"/>
        <v>63150</v>
      </c>
      <c r="N151" s="7">
        <v>-360650</v>
      </c>
      <c r="O151">
        <v>-2350</v>
      </c>
      <c r="P151" s="10"/>
      <c r="Q151" s="5">
        <v>-2350</v>
      </c>
      <c r="R151" s="5">
        <v>159900</v>
      </c>
      <c r="S151" s="7">
        <v>5000</v>
      </c>
      <c r="T151" s="5">
        <f t="shared" si="25"/>
        <v>152550</v>
      </c>
      <c r="U151" s="7">
        <v>-200050</v>
      </c>
    </row>
    <row r="152" spans="1:21" x14ac:dyDescent="0.25">
      <c r="A152" s="10" t="s">
        <v>35</v>
      </c>
      <c r="B152" s="5">
        <v>102410</v>
      </c>
      <c r="C152" s="5">
        <v>-176365</v>
      </c>
      <c r="D152" s="7">
        <v>-13440</v>
      </c>
      <c r="E152" s="5">
        <f t="shared" si="23"/>
        <v>-60515</v>
      </c>
      <c r="F152" s="5">
        <v>-343700</v>
      </c>
      <c r="H152" s="10" t="s">
        <v>35</v>
      </c>
      <c r="I152" s="5">
        <v>-8645</v>
      </c>
      <c r="J152" s="5">
        <v>51660</v>
      </c>
      <c r="K152" s="5"/>
      <c r="L152" s="7">
        <v>13545</v>
      </c>
      <c r="M152" s="5">
        <f t="shared" si="24"/>
        <v>29470</v>
      </c>
      <c r="N152" s="7">
        <v>-342370</v>
      </c>
      <c r="O152">
        <v>-28805</v>
      </c>
      <c r="P152" s="10"/>
      <c r="Q152" s="5">
        <v>-28805</v>
      </c>
      <c r="R152" s="5">
        <v>147805</v>
      </c>
      <c r="S152" s="7">
        <v>12950</v>
      </c>
      <c r="T152" s="5">
        <f t="shared" si="25"/>
        <v>106050</v>
      </c>
      <c r="U152" s="7">
        <v>-190575</v>
      </c>
    </row>
    <row r="153" spans="1:21" x14ac:dyDescent="0.25">
      <c r="A153" s="10" t="s">
        <v>37</v>
      </c>
      <c r="B153" s="5">
        <v>5730</v>
      </c>
      <c r="C153" s="5">
        <v>14790</v>
      </c>
      <c r="D153" s="7">
        <v>-9390</v>
      </c>
      <c r="E153" s="5">
        <f t="shared" si="23"/>
        <v>29910</v>
      </c>
      <c r="F153" s="5">
        <v>-701580</v>
      </c>
      <c r="H153" s="10" t="s">
        <v>37</v>
      </c>
      <c r="I153" s="5">
        <v>-16500</v>
      </c>
      <c r="J153" s="5">
        <v>62130</v>
      </c>
      <c r="K153" s="5"/>
      <c r="L153" s="7">
        <v>-23955</v>
      </c>
      <c r="M153" s="5">
        <f t="shared" si="24"/>
        <v>69585</v>
      </c>
      <c r="N153" s="7">
        <v>-486345</v>
      </c>
      <c r="O153">
        <v>-48390</v>
      </c>
      <c r="P153" s="10"/>
      <c r="Q153" s="5">
        <v>-48390</v>
      </c>
      <c r="R153" s="5">
        <v>242010</v>
      </c>
      <c r="S153" s="7">
        <v>-14265</v>
      </c>
      <c r="T153" s="5">
        <f t="shared" si="25"/>
        <v>207885</v>
      </c>
      <c r="U153" s="7">
        <v>-277650</v>
      </c>
    </row>
    <row r="154" spans="1:21" x14ac:dyDescent="0.25">
      <c r="A154" s="10" t="s">
        <v>16</v>
      </c>
      <c r="B154" s="5">
        <v>-12525</v>
      </c>
      <c r="C154" s="5">
        <v>-8025.0000000000073</v>
      </c>
      <c r="D154" s="7">
        <v>5325</v>
      </c>
      <c r="E154" s="5">
        <f t="shared" si="23"/>
        <v>-25875.000000000007</v>
      </c>
      <c r="F154" s="5">
        <v>-149250</v>
      </c>
      <c r="H154" s="10" t="s">
        <v>16</v>
      </c>
      <c r="I154" s="5">
        <v>22875</v>
      </c>
      <c r="J154" s="5">
        <v>-23250</v>
      </c>
      <c r="K154" s="5"/>
      <c r="L154" s="7">
        <v>-1050</v>
      </c>
      <c r="M154" s="5">
        <f t="shared" si="24"/>
        <v>675</v>
      </c>
      <c r="N154" s="7">
        <v>0</v>
      </c>
      <c r="O154">
        <v>-21505</v>
      </c>
      <c r="P154" s="10"/>
      <c r="Q154" s="5">
        <v>-21505</v>
      </c>
      <c r="R154" s="5">
        <v>56870</v>
      </c>
      <c r="S154" s="7">
        <v>24860</v>
      </c>
      <c r="T154" s="5">
        <f t="shared" si="25"/>
        <v>10505</v>
      </c>
      <c r="U154" s="7">
        <v>-138105</v>
      </c>
    </row>
    <row r="155" spans="1:21" x14ac:dyDescent="0.25">
      <c r="A155" s="10" t="s">
        <v>18</v>
      </c>
      <c r="B155" s="5">
        <v>27390</v>
      </c>
      <c r="C155" s="5">
        <v>-6435.0000000000146</v>
      </c>
      <c r="D155" s="7">
        <v>2255</v>
      </c>
      <c r="E155" s="5">
        <f t="shared" si="23"/>
        <v>18699.999999999985</v>
      </c>
      <c r="F155" s="5">
        <v>-457820</v>
      </c>
      <c r="H155" s="10" t="s">
        <v>18</v>
      </c>
      <c r="I155" s="5">
        <v>-2695</v>
      </c>
      <c r="J155" s="5">
        <v>36960.000000000015</v>
      </c>
      <c r="K155" s="5"/>
      <c r="L155" s="7">
        <v>-12100</v>
      </c>
      <c r="M155" s="5">
        <f t="shared" si="24"/>
        <v>46365.000000000015</v>
      </c>
      <c r="N155" s="7">
        <v>-242000</v>
      </c>
      <c r="O155">
        <v>-113250</v>
      </c>
      <c r="P155" s="10"/>
      <c r="Q155" s="5">
        <v>-113250</v>
      </c>
      <c r="R155" s="5">
        <v>213875</v>
      </c>
      <c r="S155" s="7">
        <v>-54375</v>
      </c>
      <c r="T155" s="5">
        <f t="shared" si="25"/>
        <v>155000</v>
      </c>
      <c r="U155" s="7">
        <v>-367500</v>
      </c>
    </row>
    <row r="156" spans="1:21" x14ac:dyDescent="0.25">
      <c r="A156" s="10" t="s">
        <v>43</v>
      </c>
      <c r="B156" s="5">
        <v>-187.5</v>
      </c>
      <c r="C156" s="5">
        <v>85374.999999999985</v>
      </c>
      <c r="D156" s="7">
        <v>-24125</v>
      </c>
      <c r="E156" s="5">
        <f t="shared" si="23"/>
        <v>109312.49999999999</v>
      </c>
      <c r="F156" s="5">
        <v>-607625</v>
      </c>
      <c r="H156" s="10" t="s">
        <v>43</v>
      </c>
      <c r="I156" s="5">
        <v>6500</v>
      </c>
      <c r="J156" s="5">
        <v>-1187.5000000000073</v>
      </c>
      <c r="K156" s="5"/>
      <c r="L156" s="7">
        <v>-13937.5</v>
      </c>
      <c r="M156" s="5">
        <f t="shared" si="24"/>
        <v>19249.999999999993</v>
      </c>
      <c r="N156" s="7">
        <v>-454875</v>
      </c>
      <c r="O156">
        <v>1725</v>
      </c>
      <c r="P156" s="10"/>
      <c r="Q156" s="5">
        <v>1725</v>
      </c>
      <c r="R156" s="5">
        <v>242700</v>
      </c>
      <c r="S156" s="7">
        <v>51600</v>
      </c>
      <c r="T156" s="5">
        <f t="shared" si="25"/>
        <v>192825</v>
      </c>
      <c r="U156" s="7">
        <v>-539400</v>
      </c>
    </row>
    <row r="157" spans="1:21" x14ac:dyDescent="0.25">
      <c r="A157" s="10" t="s">
        <v>42</v>
      </c>
      <c r="B157" s="5">
        <v>-17100</v>
      </c>
      <c r="C157" s="5">
        <v>93825</v>
      </c>
      <c r="D157" s="7">
        <v>-1800</v>
      </c>
      <c r="E157" s="5">
        <f t="shared" si="23"/>
        <v>78525</v>
      </c>
      <c r="F157" s="5">
        <v>-832575</v>
      </c>
      <c r="H157" s="10" t="s">
        <v>42</v>
      </c>
      <c r="I157" s="5">
        <v>-184050</v>
      </c>
      <c r="J157" s="5">
        <v>-171450</v>
      </c>
      <c r="K157" s="5"/>
      <c r="L157" s="7">
        <v>1050</v>
      </c>
      <c r="M157" s="5">
        <f t="shared" si="24"/>
        <v>-356550</v>
      </c>
      <c r="N157" s="7">
        <v>-643650</v>
      </c>
      <c r="O157">
        <v>-17800</v>
      </c>
      <c r="P157" s="10"/>
      <c r="Q157" s="5">
        <v>-17800</v>
      </c>
      <c r="R157" s="5">
        <v>67550</v>
      </c>
      <c r="S157" s="7">
        <v>7725</v>
      </c>
      <c r="T157" s="5">
        <f t="shared" si="25"/>
        <v>42025</v>
      </c>
      <c r="U157" s="7">
        <v>0</v>
      </c>
    </row>
    <row r="158" spans="1:21" x14ac:dyDescent="0.25">
      <c r="A158" s="10" t="s">
        <v>39</v>
      </c>
      <c r="B158" s="5">
        <v>-44800</v>
      </c>
      <c r="C158" s="5">
        <v>3150</v>
      </c>
      <c r="D158" s="7">
        <v>6050</v>
      </c>
      <c r="E158" s="5">
        <f t="shared" si="23"/>
        <v>-47700</v>
      </c>
      <c r="F158" s="5">
        <v>-307350</v>
      </c>
      <c r="H158" s="10" t="s">
        <v>39</v>
      </c>
      <c r="I158" s="5">
        <f>725+8750</f>
        <v>9475</v>
      </c>
      <c r="J158" s="5">
        <v>-10625</v>
      </c>
      <c r="K158" s="5"/>
      <c r="L158" s="7">
        <v>1100.0000000000005</v>
      </c>
      <c r="M158" s="5">
        <f t="shared" si="24"/>
        <v>-2250.0000000000005</v>
      </c>
      <c r="N158" s="7">
        <v>-193200</v>
      </c>
      <c r="O158">
        <v>70550</v>
      </c>
      <c r="P158" s="10"/>
      <c r="Q158" s="5">
        <v>70550</v>
      </c>
      <c r="R158" s="5">
        <v>-81100</v>
      </c>
      <c r="S158" s="7">
        <v>-14750</v>
      </c>
      <c r="T158" s="5">
        <f t="shared" si="25"/>
        <v>4200</v>
      </c>
      <c r="U158" s="7">
        <v>0</v>
      </c>
    </row>
    <row r="159" spans="1:21" x14ac:dyDescent="0.25">
      <c r="A159" s="10" t="s">
        <v>19</v>
      </c>
      <c r="B159" s="5">
        <v>195225</v>
      </c>
      <c r="C159" s="5">
        <v>-656925</v>
      </c>
      <c r="D159" s="7">
        <v>700</v>
      </c>
      <c r="E159" s="5">
        <f t="shared" si="23"/>
        <v>-462400</v>
      </c>
      <c r="F159" s="5">
        <v>0</v>
      </c>
      <c r="H159" s="10" t="s">
        <v>60</v>
      </c>
      <c r="I159" s="5">
        <v>-13900</v>
      </c>
      <c r="J159" s="5">
        <v>-68750</v>
      </c>
      <c r="K159" s="5"/>
      <c r="L159" s="7">
        <v>4650</v>
      </c>
      <c r="M159" s="5">
        <f t="shared" si="24"/>
        <v>-87300</v>
      </c>
      <c r="N159" s="7">
        <v>-597500</v>
      </c>
      <c r="O159">
        <v>-2520</v>
      </c>
      <c r="P159" s="10" t="s">
        <v>94</v>
      </c>
      <c r="Q159" s="5">
        <f>-1350-1170</f>
        <v>-2520</v>
      </c>
      <c r="R159" s="5">
        <v>15300</v>
      </c>
      <c r="S159" s="7">
        <v>147960</v>
      </c>
      <c r="T159" s="5">
        <f>+Q159+R159-S159</f>
        <v>-135180</v>
      </c>
      <c r="U159" s="7">
        <v>-555390</v>
      </c>
    </row>
    <row r="160" spans="1:21" x14ac:dyDescent="0.25">
      <c r="A160" s="10" t="s">
        <v>60</v>
      </c>
      <c r="B160" s="5">
        <v>-22337.5</v>
      </c>
      <c r="C160" s="5">
        <v>73675</v>
      </c>
      <c r="D160" s="7">
        <v>10850</v>
      </c>
      <c r="E160" s="5">
        <f t="shared" si="23"/>
        <v>40487.5</v>
      </c>
      <c r="F160" s="5">
        <v>-759200</v>
      </c>
      <c r="H160" s="10" t="s">
        <v>94</v>
      </c>
      <c r="I160" s="5">
        <f>18270-9540</f>
        <v>8730</v>
      </c>
      <c r="J160" s="5">
        <v>142560</v>
      </c>
      <c r="K160" s="5"/>
      <c r="L160" s="7">
        <v>17550</v>
      </c>
      <c r="M160" s="5">
        <f>+I160+J160-L160</f>
        <v>133740</v>
      </c>
      <c r="N160" s="7">
        <v>-539730</v>
      </c>
      <c r="O160">
        <v>-68495</v>
      </c>
      <c r="P160" s="10" t="s">
        <v>41</v>
      </c>
      <c r="Q160" s="5">
        <v>-68495</v>
      </c>
      <c r="R160" s="5">
        <v>172882.5</v>
      </c>
      <c r="S160" s="7">
        <v>3701.25</v>
      </c>
      <c r="T160" s="5">
        <f t="shared" ref="T160:T166" si="26">+Q160+R160-S160</f>
        <v>100686.25</v>
      </c>
      <c r="U160" s="7">
        <v>-182078.75</v>
      </c>
    </row>
    <row r="161" spans="1:21" x14ac:dyDescent="0.25">
      <c r="A161" s="10" t="s">
        <v>94</v>
      </c>
      <c r="B161" s="5">
        <v>-13770</v>
      </c>
      <c r="C161" s="5">
        <v>38340</v>
      </c>
      <c r="D161" s="7">
        <v>3060</v>
      </c>
      <c r="E161" s="5">
        <f t="shared" si="23"/>
        <v>21510</v>
      </c>
      <c r="F161" s="5">
        <v>-564840</v>
      </c>
      <c r="H161" s="10" t="s">
        <v>41</v>
      </c>
      <c r="I161" s="5">
        <v>-97343</v>
      </c>
      <c r="J161" s="5">
        <v>208888.75</v>
      </c>
      <c r="K161" s="5"/>
      <c r="L161" s="7">
        <v>472.49999999999909</v>
      </c>
      <c r="M161" s="5">
        <f t="shared" si="24"/>
        <v>111073.25</v>
      </c>
      <c r="N161" s="7">
        <v>-459165</v>
      </c>
      <c r="O161">
        <v>-11600</v>
      </c>
      <c r="P161" s="10" t="s">
        <v>63</v>
      </c>
      <c r="Q161" s="5">
        <v>-11600</v>
      </c>
      <c r="R161" s="5">
        <v>142500</v>
      </c>
      <c r="S161" s="7">
        <v>14780</v>
      </c>
      <c r="T161" s="5">
        <f t="shared" si="26"/>
        <v>116120</v>
      </c>
      <c r="U161" s="7">
        <v>-269040</v>
      </c>
    </row>
    <row r="162" spans="1:21" x14ac:dyDescent="0.25">
      <c r="A162" s="10" t="s">
        <v>41</v>
      </c>
      <c r="B162" s="5">
        <v>-21288.75</v>
      </c>
      <c r="C162" s="5">
        <v>-20273.75</v>
      </c>
      <c r="D162" s="7">
        <v>-11856.25</v>
      </c>
      <c r="E162" s="5">
        <f t="shared" si="23"/>
        <v>-29706.25</v>
      </c>
      <c r="F162" s="5">
        <v>-539805</v>
      </c>
      <c r="H162" s="10" t="s">
        <v>63</v>
      </c>
      <c r="I162" s="5">
        <v>-1360</v>
      </c>
      <c r="J162" s="5">
        <v>48320</v>
      </c>
      <c r="K162" s="5"/>
      <c r="L162" s="7">
        <v>-520</v>
      </c>
      <c r="M162" s="5">
        <f t="shared" si="24"/>
        <v>47480</v>
      </c>
      <c r="N162" s="7">
        <v>-401000</v>
      </c>
      <c r="O162">
        <v>4160</v>
      </c>
      <c r="P162" s="10" t="s">
        <v>67</v>
      </c>
      <c r="Q162" s="5">
        <v>4160</v>
      </c>
      <c r="R162" s="5">
        <v>149370</v>
      </c>
      <c r="S162" s="7">
        <v>-8190</v>
      </c>
      <c r="T162" s="5">
        <f t="shared" si="26"/>
        <v>161720</v>
      </c>
      <c r="U162" s="7">
        <v>-186810</v>
      </c>
    </row>
    <row r="163" spans="1:21" x14ac:dyDescent="0.25">
      <c r="A163" s="10" t="s">
        <v>63</v>
      </c>
      <c r="B163" s="5">
        <v>52060</v>
      </c>
      <c r="C163" s="5">
        <v>23240</v>
      </c>
      <c r="D163" s="7">
        <v>38420</v>
      </c>
      <c r="E163" s="5">
        <f t="shared" si="23"/>
        <v>36880</v>
      </c>
      <c r="F163" s="5">
        <v>-517400</v>
      </c>
      <c r="H163" s="10" t="s">
        <v>67</v>
      </c>
      <c r="I163" s="5">
        <v>2210</v>
      </c>
      <c r="J163" s="5">
        <v>117910</v>
      </c>
      <c r="K163" s="5"/>
      <c r="L163" s="7">
        <v>-6760</v>
      </c>
      <c r="M163" s="5">
        <f t="shared" si="24"/>
        <v>126880</v>
      </c>
      <c r="N163" s="7">
        <v>-363090</v>
      </c>
      <c r="O163">
        <v>23220</v>
      </c>
      <c r="P163" s="10" t="s">
        <v>84</v>
      </c>
      <c r="Q163" s="5">
        <v>23220</v>
      </c>
      <c r="R163" s="5">
        <v>-63855</v>
      </c>
      <c r="S163" s="7">
        <v>5804.9999999999964</v>
      </c>
      <c r="T163" s="5">
        <f t="shared" si="26"/>
        <v>-46440</v>
      </c>
      <c r="U163" s="7">
        <v>-340020</v>
      </c>
    </row>
    <row r="164" spans="1:21" x14ac:dyDescent="0.25">
      <c r="A164" s="10" t="s">
        <v>67</v>
      </c>
      <c r="B164" s="5">
        <v>-34970</v>
      </c>
      <c r="C164" s="5">
        <v>-5395</v>
      </c>
      <c r="D164" s="7">
        <v>21905</v>
      </c>
      <c r="E164" s="5">
        <f t="shared" si="23"/>
        <v>-62270</v>
      </c>
      <c r="F164" s="5">
        <v>-572390</v>
      </c>
      <c r="H164" s="10" t="s">
        <v>84</v>
      </c>
      <c r="I164" s="5">
        <v>14895</v>
      </c>
      <c r="J164" s="5">
        <v>35730</v>
      </c>
      <c r="K164" s="5"/>
      <c r="L164" s="7">
        <v>-25425</v>
      </c>
      <c r="M164" s="5">
        <f t="shared" si="24"/>
        <v>76050</v>
      </c>
      <c r="N164" s="7">
        <v>-286650</v>
      </c>
      <c r="O164">
        <v>-73635</v>
      </c>
      <c r="P164" s="10" t="s">
        <v>48</v>
      </c>
      <c r="Q164" s="5">
        <v>-73635</v>
      </c>
      <c r="R164" s="5">
        <v>252442.5</v>
      </c>
      <c r="S164" s="7">
        <v>61552.5</v>
      </c>
      <c r="T164" s="5">
        <f t="shared" si="26"/>
        <v>117255</v>
      </c>
      <c r="U164" s="7">
        <v>0</v>
      </c>
    </row>
    <row r="165" spans="1:21" x14ac:dyDescent="0.25">
      <c r="A165" s="10" t="s">
        <v>84</v>
      </c>
      <c r="B165" s="5">
        <v>-19080</v>
      </c>
      <c r="C165" s="5">
        <v>34155</v>
      </c>
      <c r="D165" s="7">
        <v>-12375</v>
      </c>
      <c r="E165" s="5">
        <f t="shared" si="23"/>
        <v>27450</v>
      </c>
      <c r="F165" s="5">
        <v>-420165</v>
      </c>
      <c r="H165" s="10" t="s">
        <v>48</v>
      </c>
      <c r="I165" s="5">
        <v>660</v>
      </c>
      <c r="J165" s="5">
        <v>144419.99999999997</v>
      </c>
      <c r="K165" s="5"/>
      <c r="L165" s="7">
        <v>29670</v>
      </c>
      <c r="M165" s="5">
        <f t="shared" si="24"/>
        <v>115409.99999999997</v>
      </c>
      <c r="N165" s="7">
        <v>-410595</v>
      </c>
      <c r="O165">
        <v>-54020</v>
      </c>
      <c r="P165" s="10" t="s">
        <v>64</v>
      </c>
      <c r="Q165" s="5">
        <v>-54020</v>
      </c>
      <c r="R165" s="5">
        <v>196520</v>
      </c>
      <c r="S165" s="7">
        <v>20420</v>
      </c>
      <c r="T165" s="5">
        <f t="shared" si="26"/>
        <v>122080</v>
      </c>
      <c r="U165" s="7">
        <v>-270120</v>
      </c>
    </row>
    <row r="166" spans="1:21" x14ac:dyDescent="0.25">
      <c r="A166" s="10" t="s">
        <v>48</v>
      </c>
      <c r="B166" s="5">
        <v>-4582.5</v>
      </c>
      <c r="C166" s="5">
        <v>131384.99999999997</v>
      </c>
      <c r="D166" s="7">
        <v>-8512.5000000000018</v>
      </c>
      <c r="E166" s="5">
        <f t="shared" si="23"/>
        <v>135314.99999999997</v>
      </c>
      <c r="F166" s="5">
        <v>-494100</v>
      </c>
      <c r="H166" s="10" t="s">
        <v>64</v>
      </c>
      <c r="I166" s="5">
        <v>820</v>
      </c>
      <c r="J166" s="5">
        <v>117400</v>
      </c>
      <c r="K166" s="5"/>
      <c r="L166" s="7">
        <v>15940</v>
      </c>
      <c r="M166" s="5">
        <f t="shared" si="24"/>
        <v>102280</v>
      </c>
      <c r="N166" s="7">
        <v>-496000</v>
      </c>
      <c r="O166">
        <v>-37530</v>
      </c>
      <c r="P166" s="10" t="s">
        <v>38</v>
      </c>
      <c r="Q166" s="4">
        <v>-37530</v>
      </c>
      <c r="R166" s="5">
        <v>215677.5</v>
      </c>
      <c r="S166" s="5">
        <v>18217.5</v>
      </c>
      <c r="T166" s="5">
        <f t="shared" si="26"/>
        <v>159930</v>
      </c>
      <c r="U166" s="7">
        <v>-524955</v>
      </c>
    </row>
    <row r="167" spans="1:21" x14ac:dyDescent="0.25">
      <c r="A167" s="10" t="s">
        <v>64</v>
      </c>
      <c r="B167" s="5">
        <v>-43640</v>
      </c>
      <c r="C167" s="5">
        <v>135780</v>
      </c>
      <c r="D167" s="7">
        <v>55460</v>
      </c>
      <c r="E167" s="5">
        <f t="shared" si="23"/>
        <v>36680</v>
      </c>
      <c r="F167" s="5">
        <v>-496860</v>
      </c>
      <c r="H167" s="10" t="s">
        <v>38</v>
      </c>
      <c r="I167" s="4">
        <v>-101142</v>
      </c>
      <c r="J167" s="5">
        <v>130500</v>
      </c>
      <c r="K167" s="5"/>
      <c r="L167" s="5">
        <v>-2070</v>
      </c>
      <c r="M167" s="5">
        <f t="shared" si="24"/>
        <v>31428</v>
      </c>
      <c r="N167" s="7">
        <v>-599220</v>
      </c>
      <c r="O167">
        <v>-21470</v>
      </c>
      <c r="P167" s="10" t="s">
        <v>46</v>
      </c>
      <c r="Q167" s="4">
        <v>-21470</v>
      </c>
      <c r="R167" s="5">
        <v>87970</v>
      </c>
      <c r="S167" s="5">
        <v>16363.75</v>
      </c>
      <c r="T167" s="5">
        <f>+Q167+R167-S167</f>
        <v>50136.25</v>
      </c>
      <c r="U167" s="7">
        <v>-450300</v>
      </c>
    </row>
    <row r="168" spans="1:21" x14ac:dyDescent="0.25">
      <c r="A168" s="10" t="s">
        <v>38</v>
      </c>
      <c r="B168" s="4">
        <v>-52687.5</v>
      </c>
      <c r="C168" s="5">
        <v>47325</v>
      </c>
      <c r="D168" s="5">
        <v>24225</v>
      </c>
      <c r="E168" s="5">
        <f t="shared" si="23"/>
        <v>-29587.5</v>
      </c>
      <c r="F168" s="5">
        <v>-478320</v>
      </c>
      <c r="H168" s="10" t="s">
        <v>46</v>
      </c>
      <c r="I168" s="4">
        <v>-81391.25</v>
      </c>
      <c r="J168" s="5">
        <v>28333.750000000015</v>
      </c>
      <c r="K168" s="5"/>
      <c r="L168" s="5">
        <v>19546.25</v>
      </c>
      <c r="M168" s="5">
        <f t="shared" si="24"/>
        <v>-72603.749999999985</v>
      </c>
      <c r="N168" s="7">
        <v>-479061.25</v>
      </c>
      <c r="O168">
        <v>37125</v>
      </c>
      <c r="P168" s="10" t="s">
        <v>15</v>
      </c>
      <c r="Q168" s="4">
        <v>37125</v>
      </c>
      <c r="R168" s="5">
        <v>0</v>
      </c>
      <c r="S168" s="5">
        <v>0</v>
      </c>
      <c r="T168" s="5">
        <f>+Q168+R168-S168</f>
        <v>37125</v>
      </c>
      <c r="U168" s="7">
        <v>-328050</v>
      </c>
    </row>
    <row r="169" spans="1:21" x14ac:dyDescent="0.25">
      <c r="A169" s="10" t="s">
        <v>46</v>
      </c>
      <c r="B169" s="4">
        <v>-18026.25</v>
      </c>
      <c r="C169" s="5">
        <v>91580</v>
      </c>
      <c r="D169" s="5">
        <v>-4963.7499999999964</v>
      </c>
      <c r="E169" s="5">
        <f t="shared" si="23"/>
        <v>78517.5</v>
      </c>
      <c r="F169" s="5">
        <v>-558647.5</v>
      </c>
      <c r="H169" s="3" t="s">
        <v>107</v>
      </c>
      <c r="I169" s="6">
        <f>SUM(I149:I168)</f>
        <v>-443636.25</v>
      </c>
      <c r="J169" s="6">
        <f>SUM(J149:J168)</f>
        <v>1326305</v>
      </c>
      <c r="K169" s="6"/>
      <c r="L169" s="14">
        <f>SUM(L149:L168)</f>
        <v>32381.25</v>
      </c>
      <c r="M169" s="3">
        <f>SUM(M149:M168)</f>
        <v>850287.5</v>
      </c>
      <c r="N169" s="8">
        <f>SUM(N149:N168)</f>
        <v>-8711653.75</v>
      </c>
      <c r="O169">
        <v>-39960</v>
      </c>
      <c r="P169" s="10" t="s">
        <v>83</v>
      </c>
      <c r="Q169" s="4">
        <v>-39960</v>
      </c>
      <c r="R169" s="5">
        <v>0</v>
      </c>
      <c r="S169" s="5">
        <v>0</v>
      </c>
      <c r="T169" s="5">
        <f>+Q169+R169-S169</f>
        <v>-39960</v>
      </c>
      <c r="U169" s="7">
        <v>-188812.5</v>
      </c>
    </row>
    <row r="170" spans="1:21" x14ac:dyDescent="0.25">
      <c r="A170" s="3" t="s">
        <v>107</v>
      </c>
      <c r="B170" s="6">
        <f>SUM(B149:B169)</f>
        <v>-33617.5</v>
      </c>
      <c r="C170" s="6">
        <f>SUM(C149:C169)</f>
        <v>525021.25</v>
      </c>
      <c r="D170" s="14">
        <f>SUM(D149:D169)</f>
        <v>136727.5</v>
      </c>
      <c r="E170" s="3">
        <f>SUM(E149:E169)</f>
        <v>354676.25</v>
      </c>
      <c r="F170" s="8">
        <f>SUM(F149:F169)</f>
        <v>-10939310</v>
      </c>
      <c r="O170">
        <v>-16687</v>
      </c>
      <c r="P170" s="10" t="s">
        <v>69</v>
      </c>
      <c r="Q170" s="5">
        <v>-16687</v>
      </c>
      <c r="R170" s="5">
        <v>0</v>
      </c>
      <c r="S170" s="5">
        <v>0</v>
      </c>
      <c r="T170" s="5">
        <f>+Q170+R170-S170</f>
        <v>-16687</v>
      </c>
      <c r="U170" s="5">
        <v>-223062.5</v>
      </c>
    </row>
    <row r="171" spans="1:21" x14ac:dyDescent="0.25">
      <c r="O171">
        <v>-452344.5</v>
      </c>
      <c r="P171" s="3" t="s">
        <v>107</v>
      </c>
      <c r="Q171" s="6">
        <f>SUM(Q149:Q170)</f>
        <v>-452344.5</v>
      </c>
      <c r="R171" s="6">
        <f>SUM(R149:R170)</f>
        <v>2413455</v>
      </c>
      <c r="S171" s="14">
        <f>SUM(S149:S170)</f>
        <v>361922.5</v>
      </c>
      <c r="T171" s="3">
        <f>SUM(T149:T170)</f>
        <v>1599188</v>
      </c>
      <c r="U171" s="8">
        <f>SUM(U149:U170)</f>
        <v>-6435191.25</v>
      </c>
    </row>
    <row r="172" spans="1:21" x14ac:dyDescent="0.25">
      <c r="A172" s="122">
        <v>44768</v>
      </c>
      <c r="B172" s="123"/>
      <c r="C172" s="123"/>
      <c r="D172" s="123"/>
      <c r="E172" s="123"/>
      <c r="F172" s="123"/>
    </row>
    <row r="173" spans="1:21" x14ac:dyDescent="0.25">
      <c r="A173" s="6" t="s">
        <v>34</v>
      </c>
      <c r="B173" s="6" t="s">
        <v>104</v>
      </c>
      <c r="C173" s="6" t="s">
        <v>105</v>
      </c>
      <c r="D173" s="6" t="s">
        <v>106</v>
      </c>
      <c r="E173" s="3" t="s">
        <v>108</v>
      </c>
      <c r="F173" s="3" t="s">
        <v>28</v>
      </c>
      <c r="H173" s="122">
        <v>44769</v>
      </c>
      <c r="I173" s="123"/>
      <c r="J173" s="123"/>
      <c r="K173" s="123"/>
      <c r="L173" s="123"/>
      <c r="M173" s="123"/>
      <c r="N173" s="123"/>
      <c r="P173" s="122">
        <v>44770</v>
      </c>
      <c r="Q173" s="123"/>
      <c r="R173" s="123"/>
      <c r="S173" s="123"/>
      <c r="T173" s="123"/>
      <c r="U173" s="123"/>
    </row>
    <row r="174" spans="1:21" x14ac:dyDescent="0.25">
      <c r="A174" s="10" t="s">
        <v>53</v>
      </c>
      <c r="B174" s="5">
        <v>-88970</v>
      </c>
      <c r="C174" s="5">
        <v>349137.5</v>
      </c>
      <c r="D174" s="7">
        <v>131750</v>
      </c>
      <c r="E174" s="5">
        <f t="shared" ref="E174:E181" si="27">+B174+C174-D174</f>
        <v>128417.5</v>
      </c>
      <c r="F174" s="7">
        <v>0</v>
      </c>
      <c r="H174" s="6" t="s">
        <v>34</v>
      </c>
      <c r="I174" s="6" t="s">
        <v>104</v>
      </c>
      <c r="J174" s="6" t="s">
        <v>105</v>
      </c>
      <c r="K174" s="6"/>
      <c r="L174" s="6" t="s">
        <v>106</v>
      </c>
      <c r="M174" s="3" t="s">
        <v>108</v>
      </c>
      <c r="N174" s="3" t="s">
        <v>28</v>
      </c>
      <c r="O174" t="s">
        <v>104</v>
      </c>
      <c r="P174" s="6" t="s">
        <v>34</v>
      </c>
      <c r="Q174" s="6" t="s">
        <v>104</v>
      </c>
      <c r="R174" s="6" t="s">
        <v>105</v>
      </c>
      <c r="S174" s="6" t="s">
        <v>106</v>
      </c>
      <c r="T174" s="3" t="s">
        <v>108</v>
      </c>
      <c r="U174" s="3" t="s">
        <v>28</v>
      </c>
    </row>
    <row r="175" spans="1:21" x14ac:dyDescent="0.25">
      <c r="A175" s="10" t="s">
        <v>99</v>
      </c>
      <c r="B175" s="5">
        <v>-4620</v>
      </c>
      <c r="C175" s="5">
        <v>87010.000000000029</v>
      </c>
      <c r="D175" s="7">
        <v>4235</v>
      </c>
      <c r="E175" s="5">
        <f t="shared" si="27"/>
        <v>78155.000000000029</v>
      </c>
      <c r="F175" s="7">
        <v>-415607.5</v>
      </c>
      <c r="H175" s="10" t="s">
        <v>99</v>
      </c>
      <c r="I175" s="5">
        <v>-17710</v>
      </c>
      <c r="J175" s="5">
        <v>198852.5</v>
      </c>
      <c r="K175" s="5"/>
      <c r="L175" s="7">
        <v>61215</v>
      </c>
      <c r="M175" s="5">
        <f t="shared" ref="M175:M179" si="28">+I175+J175-L175</f>
        <v>119927.5</v>
      </c>
      <c r="N175" s="7">
        <v>-147455</v>
      </c>
      <c r="O175">
        <v>-77192.5</v>
      </c>
      <c r="P175" s="10" t="s">
        <v>99</v>
      </c>
      <c r="Q175" s="5">
        <v>-77192.5</v>
      </c>
      <c r="R175" s="5">
        <v>169785</v>
      </c>
      <c r="S175" s="7">
        <v>-7700</v>
      </c>
      <c r="T175" s="5">
        <f t="shared" ref="T175:T178" si="29">+Q175+R175-S175</f>
        <v>100292.5</v>
      </c>
      <c r="U175" s="7">
        <v>0</v>
      </c>
    </row>
    <row r="176" spans="1:21" x14ac:dyDescent="0.25">
      <c r="A176" s="10" t="s">
        <v>45</v>
      </c>
      <c r="B176" s="5">
        <v>44500</v>
      </c>
      <c r="C176" s="5">
        <v>-71499.999999999985</v>
      </c>
      <c r="D176" s="7">
        <v>7500</v>
      </c>
      <c r="E176" s="5">
        <f t="shared" si="27"/>
        <v>-34499.999999999985</v>
      </c>
      <c r="F176" s="7">
        <v>0</v>
      </c>
      <c r="H176" s="10" t="s">
        <v>37</v>
      </c>
      <c r="I176" s="5">
        <v>-5355</v>
      </c>
      <c r="J176" s="5">
        <v>67440</v>
      </c>
      <c r="K176" s="5"/>
      <c r="L176" s="7">
        <v>2715.0000000000018</v>
      </c>
      <c r="M176" s="5">
        <f t="shared" si="28"/>
        <v>59370</v>
      </c>
      <c r="N176" s="7">
        <v>-54675</v>
      </c>
      <c r="O176">
        <v>-34635</v>
      </c>
      <c r="P176" s="10" t="s">
        <v>37</v>
      </c>
      <c r="Q176" s="5">
        <v>-34635</v>
      </c>
      <c r="R176" s="5">
        <v>42795</v>
      </c>
      <c r="S176" s="7">
        <v>-3960</v>
      </c>
      <c r="T176" s="5">
        <f t="shared" si="29"/>
        <v>12120</v>
      </c>
      <c r="U176" s="7">
        <v>0</v>
      </c>
    </row>
    <row r="177" spans="1:21" x14ac:dyDescent="0.25">
      <c r="A177" s="10" t="s">
        <v>35</v>
      </c>
      <c r="B177" s="5">
        <v>80430</v>
      </c>
      <c r="C177" s="5">
        <v>-77280</v>
      </c>
      <c r="D177" s="7">
        <v>24115</v>
      </c>
      <c r="E177" s="5">
        <f t="shared" si="27"/>
        <v>-20965</v>
      </c>
      <c r="F177" s="7">
        <v>0</v>
      </c>
      <c r="H177" s="10" t="s">
        <v>18</v>
      </c>
      <c r="I177" s="5">
        <v>-47960</v>
      </c>
      <c r="J177" s="5">
        <v>30360</v>
      </c>
      <c r="K177" s="5"/>
      <c r="L177" s="7">
        <v>3960</v>
      </c>
      <c r="M177" s="5">
        <f t="shared" si="28"/>
        <v>-21560</v>
      </c>
      <c r="N177" s="7">
        <v>0</v>
      </c>
      <c r="O177">
        <v>-68625</v>
      </c>
      <c r="P177" s="10" t="s">
        <v>43</v>
      </c>
      <c r="Q177" s="5">
        <v>-68625</v>
      </c>
      <c r="R177" s="5">
        <v>25125</v>
      </c>
      <c r="S177" s="7">
        <v>-14875</v>
      </c>
      <c r="T177" s="5">
        <f t="shared" si="29"/>
        <v>-28625</v>
      </c>
      <c r="U177" s="7">
        <v>0</v>
      </c>
    </row>
    <row r="178" spans="1:21" x14ac:dyDescent="0.25">
      <c r="A178" s="10" t="s">
        <v>37</v>
      </c>
      <c r="B178" s="5">
        <v>16815</v>
      </c>
      <c r="C178" s="5">
        <v>42945</v>
      </c>
      <c r="D178" s="7">
        <v>13170</v>
      </c>
      <c r="E178" s="5">
        <f t="shared" si="27"/>
        <v>46590</v>
      </c>
      <c r="F178" s="7">
        <v>-145275</v>
      </c>
      <c r="H178" s="10" t="s">
        <v>43</v>
      </c>
      <c r="I178" s="5">
        <v>-97500</v>
      </c>
      <c r="J178" s="5">
        <v>131687.5</v>
      </c>
      <c r="K178" s="5"/>
      <c r="L178" s="7">
        <v>-6250</v>
      </c>
      <c r="M178" s="5">
        <f t="shared" si="28"/>
        <v>40437.5</v>
      </c>
      <c r="N178" s="7">
        <v>-67937.5</v>
      </c>
      <c r="O178">
        <v>-62700</v>
      </c>
      <c r="P178" s="10" t="s">
        <v>42</v>
      </c>
      <c r="Q178" s="5">
        <v>-62700</v>
      </c>
      <c r="R178" s="5">
        <v>60450</v>
      </c>
      <c r="S178" s="7">
        <v>-20175</v>
      </c>
      <c r="T178" s="5">
        <f t="shared" si="29"/>
        <v>17925</v>
      </c>
      <c r="U178" s="7">
        <v>0</v>
      </c>
    </row>
    <row r="179" spans="1:21" x14ac:dyDescent="0.25">
      <c r="A179" s="10" t="s">
        <v>18</v>
      </c>
      <c r="B179" s="5">
        <v>10505</v>
      </c>
      <c r="C179" s="5">
        <v>6490</v>
      </c>
      <c r="D179" s="7">
        <v>2915</v>
      </c>
      <c r="E179" s="5">
        <f t="shared" si="27"/>
        <v>14080</v>
      </c>
      <c r="F179" s="7">
        <v>-90420</v>
      </c>
      <c r="H179" s="10" t="s">
        <v>42</v>
      </c>
      <c r="I179" s="5">
        <v>-318600</v>
      </c>
      <c r="J179" s="5">
        <v>158850</v>
      </c>
      <c r="K179" s="5"/>
      <c r="L179" s="7">
        <v>-1350</v>
      </c>
      <c r="M179" s="5">
        <f t="shared" si="28"/>
        <v>-158400</v>
      </c>
      <c r="N179" s="7">
        <v>-84900</v>
      </c>
      <c r="O179">
        <v>-345330</v>
      </c>
      <c r="P179" s="10" t="s">
        <v>84</v>
      </c>
      <c r="Q179" s="5">
        <v>-345330</v>
      </c>
      <c r="R179" s="5">
        <v>315315</v>
      </c>
      <c r="S179" s="7">
        <v>62145</v>
      </c>
      <c r="T179" s="5">
        <f t="shared" ref="T179:T180" si="30">+Q179+R179-S179</f>
        <v>-92160</v>
      </c>
      <c r="U179" s="7">
        <v>0</v>
      </c>
    </row>
    <row r="180" spans="1:21" x14ac:dyDescent="0.25">
      <c r="A180" s="10" t="s">
        <v>43</v>
      </c>
      <c r="B180" s="5">
        <v>47562.5</v>
      </c>
      <c r="C180" s="5">
        <v>-29000</v>
      </c>
      <c r="D180" s="7">
        <v>14000</v>
      </c>
      <c r="E180" s="5">
        <f t="shared" si="27"/>
        <v>4562.5</v>
      </c>
      <c r="F180" s="7">
        <v>-182000</v>
      </c>
      <c r="H180" s="10" t="s">
        <v>94</v>
      </c>
      <c r="I180" s="5">
        <v>-61020</v>
      </c>
      <c r="J180" s="5">
        <v>51660</v>
      </c>
      <c r="K180" s="5"/>
      <c r="L180" s="7">
        <v>-22230</v>
      </c>
      <c r="M180" s="5">
        <f>+I180+J180-L180</f>
        <v>12870</v>
      </c>
      <c r="N180" s="7">
        <v>0</v>
      </c>
      <c r="O180">
        <v>272940</v>
      </c>
      <c r="P180" s="10" t="s">
        <v>38</v>
      </c>
      <c r="Q180" s="4">
        <v>272940</v>
      </c>
      <c r="R180" s="5">
        <v>-536287.5</v>
      </c>
      <c r="S180" s="5">
        <v>35512.5</v>
      </c>
      <c r="T180" s="5">
        <f t="shared" si="30"/>
        <v>-298860</v>
      </c>
      <c r="U180" s="7">
        <v>0</v>
      </c>
    </row>
    <row r="181" spans="1:21" x14ac:dyDescent="0.25">
      <c r="A181" s="10" t="s">
        <v>42</v>
      </c>
      <c r="B181" s="5">
        <v>6300</v>
      </c>
      <c r="C181" s="5">
        <v>180900</v>
      </c>
      <c r="D181" s="7">
        <v>-13200</v>
      </c>
      <c r="E181" s="5">
        <f t="shared" si="27"/>
        <v>200400</v>
      </c>
      <c r="F181" s="7">
        <v>-315000</v>
      </c>
      <c r="H181" s="10" t="s">
        <v>63</v>
      </c>
      <c r="I181" s="5">
        <v>37650</v>
      </c>
      <c r="J181" s="5">
        <v>-420</v>
      </c>
      <c r="K181" s="5"/>
      <c r="L181" s="7">
        <v>-7680</v>
      </c>
      <c r="M181" s="5">
        <f t="shared" ref="M181:M184" si="31">+I181+J181-L181</f>
        <v>44910</v>
      </c>
      <c r="N181" s="7">
        <v>0</v>
      </c>
      <c r="O181">
        <v>506160</v>
      </c>
      <c r="P181" s="10" t="s">
        <v>46</v>
      </c>
      <c r="Q181" s="4">
        <v>506160</v>
      </c>
      <c r="R181" s="5">
        <v>-493335</v>
      </c>
      <c r="S181" s="5">
        <v>1496.25</v>
      </c>
      <c r="T181" s="5">
        <f>+Q181+R181-S181</f>
        <v>11328.75</v>
      </c>
      <c r="U181" s="7">
        <v>0</v>
      </c>
    </row>
    <row r="182" spans="1:21" x14ac:dyDescent="0.25">
      <c r="A182" s="10" t="s">
        <v>94</v>
      </c>
      <c r="B182" s="5">
        <v>4770</v>
      </c>
      <c r="C182" s="5">
        <v>32579.999999999971</v>
      </c>
      <c r="D182" s="7">
        <v>15750</v>
      </c>
      <c r="E182" s="5">
        <f>+B182+C182-D182</f>
        <v>21599.999999999971</v>
      </c>
      <c r="F182" s="7">
        <v>-304290</v>
      </c>
      <c r="H182" s="10" t="s">
        <v>84</v>
      </c>
      <c r="I182" s="5">
        <v>180090</v>
      </c>
      <c r="J182" s="5">
        <v>-209880.00000000006</v>
      </c>
      <c r="K182" s="5"/>
      <c r="L182" s="7">
        <v>3510</v>
      </c>
      <c r="M182" s="5">
        <f t="shared" si="31"/>
        <v>-33300.000000000058</v>
      </c>
      <c r="N182" s="7">
        <v>-356490</v>
      </c>
      <c r="O182">
        <v>-355312.5</v>
      </c>
      <c r="P182" s="10" t="s">
        <v>110</v>
      </c>
      <c r="Q182" s="5">
        <f>-345625-9687.5</f>
        <v>-355312.5</v>
      </c>
      <c r="R182" s="5">
        <v>331250</v>
      </c>
      <c r="S182" s="5">
        <v>120749.99999999999</v>
      </c>
      <c r="T182" s="5">
        <f>+Q182+R182-S182</f>
        <v>-144812.5</v>
      </c>
      <c r="U182" s="5">
        <v>0</v>
      </c>
    </row>
    <row r="183" spans="1:21" x14ac:dyDescent="0.25">
      <c r="A183" s="10" t="s">
        <v>41</v>
      </c>
      <c r="B183" s="5">
        <v>289345</v>
      </c>
      <c r="C183" s="5">
        <v>-325071.25</v>
      </c>
      <c r="D183" s="7">
        <v>32751.249999999996</v>
      </c>
      <c r="E183" s="5">
        <f t="shared" ref="E183:E188" si="32">+B183+C183-D183</f>
        <v>-68477.5</v>
      </c>
      <c r="F183" s="7">
        <v>0</v>
      </c>
      <c r="H183" s="10" t="s">
        <v>64</v>
      </c>
      <c r="I183" s="5">
        <v>-94070</v>
      </c>
      <c r="J183" s="5">
        <v>117170</v>
      </c>
      <c r="K183" s="5"/>
      <c r="L183" s="7">
        <v>13490</v>
      </c>
      <c r="M183" s="5">
        <f t="shared" si="31"/>
        <v>9610</v>
      </c>
      <c r="N183" s="7">
        <v>0</v>
      </c>
      <c r="O183">
        <v>-164695</v>
      </c>
      <c r="P183" s="3" t="s">
        <v>107</v>
      </c>
      <c r="Q183" s="6">
        <f>SUM(Q175:Q182)</f>
        <v>-164695</v>
      </c>
      <c r="R183" s="6">
        <f>SUM(R175:R182)</f>
        <v>-84902.5</v>
      </c>
      <c r="S183" s="14">
        <f>SUM(S175:S182)</f>
        <v>173193.75</v>
      </c>
      <c r="T183" s="3">
        <f>SUM(T175:T182)</f>
        <v>-422791.25</v>
      </c>
      <c r="U183" s="8">
        <f>SUM(U175:U182)</f>
        <v>0</v>
      </c>
    </row>
    <row r="184" spans="1:21" x14ac:dyDescent="0.25">
      <c r="A184" s="10" t="s">
        <v>63</v>
      </c>
      <c r="B184" s="5">
        <v>261400</v>
      </c>
      <c r="C184" s="5">
        <v>-333790</v>
      </c>
      <c r="D184" s="7">
        <v>5150.0000000000018</v>
      </c>
      <c r="E184" s="5">
        <f t="shared" si="32"/>
        <v>-77540</v>
      </c>
      <c r="F184" s="7">
        <v>-103500</v>
      </c>
      <c r="H184" s="10" t="s">
        <v>38</v>
      </c>
      <c r="I184" s="4">
        <v>-154162.5</v>
      </c>
      <c r="J184" s="5">
        <v>203872.5</v>
      </c>
      <c r="K184" s="5"/>
      <c r="L184" s="5">
        <v>39892.5</v>
      </c>
      <c r="M184" s="5">
        <f t="shared" si="31"/>
        <v>9817.5</v>
      </c>
      <c r="N184" s="7">
        <v>-204307.5</v>
      </c>
    </row>
    <row r="185" spans="1:21" x14ac:dyDescent="0.25">
      <c r="A185" s="10" t="s">
        <v>67</v>
      </c>
      <c r="B185" s="5">
        <v>128765</v>
      </c>
      <c r="C185" s="5">
        <v>-167440</v>
      </c>
      <c r="D185" s="7">
        <v>9100</v>
      </c>
      <c r="E185" s="5">
        <f t="shared" si="32"/>
        <v>-47775</v>
      </c>
      <c r="F185" s="7">
        <v>0</v>
      </c>
      <c r="H185" s="10" t="s">
        <v>46</v>
      </c>
      <c r="I185" s="4">
        <v>173256.25</v>
      </c>
      <c r="J185" s="5">
        <v>-117728.75</v>
      </c>
      <c r="K185" s="5"/>
      <c r="L185" s="5">
        <v>21018.75</v>
      </c>
      <c r="M185" s="5">
        <f>+I185+J185-L185</f>
        <v>34508.75</v>
      </c>
      <c r="N185" s="7">
        <v>-157700</v>
      </c>
    </row>
    <row r="186" spans="1:21" x14ac:dyDescent="0.25">
      <c r="A186" s="10" t="s">
        <v>84</v>
      </c>
      <c r="B186" s="5">
        <v>48195</v>
      </c>
      <c r="C186" s="5">
        <v>-182700</v>
      </c>
      <c r="D186" s="7">
        <v>-24570</v>
      </c>
      <c r="E186" s="5">
        <f t="shared" si="32"/>
        <v>-109935</v>
      </c>
      <c r="F186" s="7">
        <v>-242730</v>
      </c>
      <c r="H186" s="10" t="s">
        <v>83</v>
      </c>
      <c r="I186" s="4">
        <v>40770</v>
      </c>
      <c r="J186" s="5">
        <v>56430</v>
      </c>
      <c r="K186" s="5"/>
      <c r="L186" s="5">
        <v>23220</v>
      </c>
      <c r="M186" s="5">
        <f>+I186+J186-L186</f>
        <v>73980</v>
      </c>
      <c r="N186" s="7">
        <v>0</v>
      </c>
      <c r="P186">
        <v>-16000</v>
      </c>
    </row>
    <row r="187" spans="1:21" x14ac:dyDescent="0.25">
      <c r="A187" s="10" t="s">
        <v>64</v>
      </c>
      <c r="B187" s="5">
        <v>377390</v>
      </c>
      <c r="C187" s="5">
        <v>-446720</v>
      </c>
      <c r="D187" s="7">
        <v>9560</v>
      </c>
      <c r="E187" s="5">
        <f t="shared" si="32"/>
        <v>-78890</v>
      </c>
      <c r="F187" s="7">
        <v>-144800</v>
      </c>
      <c r="H187" s="10" t="s">
        <v>110</v>
      </c>
      <c r="I187" s="5">
        <v>32875</v>
      </c>
      <c r="J187" s="5">
        <v>160125</v>
      </c>
      <c r="K187" s="5"/>
      <c r="L187" s="5">
        <v>-11500.000000000004</v>
      </c>
      <c r="M187" s="5">
        <f>+I187+J187-L187</f>
        <v>204500</v>
      </c>
      <c r="N187" s="5">
        <v>-165750</v>
      </c>
    </row>
    <row r="188" spans="1:21" x14ac:dyDescent="0.25">
      <c r="A188" s="10" t="s">
        <v>38</v>
      </c>
      <c r="B188" s="4">
        <v>960210</v>
      </c>
      <c r="C188" s="5">
        <v>-1228372.5</v>
      </c>
      <c r="D188" s="5">
        <v>-9037.5</v>
      </c>
      <c r="E188" s="5">
        <f t="shared" si="32"/>
        <v>-259125</v>
      </c>
      <c r="F188" s="7">
        <v>-374730</v>
      </c>
      <c r="H188" s="3" t="s">
        <v>107</v>
      </c>
      <c r="I188" s="6">
        <f>SUM(I175:I187)</f>
        <v>-331736.25</v>
      </c>
      <c r="J188" s="6">
        <f>SUM(J175:J187)</f>
        <v>848418.75</v>
      </c>
      <c r="K188" s="6"/>
      <c r="L188" s="14">
        <f>SUM(L175:L187)</f>
        <v>120011.25</v>
      </c>
      <c r="M188" s="3">
        <f>SUM(M175:M187)</f>
        <v>396671.24999999994</v>
      </c>
      <c r="N188" s="8">
        <f>SUM(N175:N187)</f>
        <v>-1239215</v>
      </c>
    </row>
    <row r="189" spans="1:21" x14ac:dyDescent="0.25">
      <c r="A189" s="10" t="s">
        <v>46</v>
      </c>
      <c r="B189" s="4">
        <v>-11186.25</v>
      </c>
      <c r="C189" s="5">
        <v>44483.75</v>
      </c>
      <c r="D189" s="5">
        <v>-14796.25</v>
      </c>
      <c r="E189" s="5">
        <f>+B189+C189-D189</f>
        <v>48093.75</v>
      </c>
      <c r="F189" s="7">
        <v>-196578.75</v>
      </c>
    </row>
    <row r="190" spans="1:21" x14ac:dyDescent="0.25">
      <c r="A190" s="10" t="s">
        <v>83</v>
      </c>
      <c r="B190" s="4">
        <v>56160</v>
      </c>
      <c r="C190" s="5">
        <v>94770</v>
      </c>
      <c r="D190" s="5">
        <v>-7560</v>
      </c>
      <c r="E190" s="5">
        <f>+B190+C190-D190</f>
        <v>158490</v>
      </c>
      <c r="F190" s="7">
        <v>-230850</v>
      </c>
      <c r="O190">
        <v>-12000</v>
      </c>
      <c r="P190">
        <f>2000+10000</f>
        <v>12000</v>
      </c>
    </row>
    <row r="191" spans="1:21" x14ac:dyDescent="0.25">
      <c r="A191" s="10" t="s">
        <v>69</v>
      </c>
      <c r="B191" s="4">
        <v>12000</v>
      </c>
      <c r="C191" s="5">
        <v>46125</v>
      </c>
      <c r="D191" s="5">
        <v>-4312.5</v>
      </c>
      <c r="E191" s="5">
        <f>+B191+C191-D191</f>
        <v>62437.5</v>
      </c>
      <c r="F191" s="7">
        <v>0</v>
      </c>
      <c r="P191">
        <v>12000</v>
      </c>
    </row>
    <row r="192" spans="1:21" x14ac:dyDescent="0.25">
      <c r="A192" s="10" t="s">
        <v>110</v>
      </c>
      <c r="B192" s="5">
        <v>90750</v>
      </c>
      <c r="C192" s="5">
        <v>-30187.5</v>
      </c>
      <c r="D192" s="5">
        <v>23187.5</v>
      </c>
      <c r="E192" s="5">
        <f>+B192+C192-D192</f>
        <v>37375</v>
      </c>
      <c r="F192" s="5">
        <v>-214125</v>
      </c>
      <c r="P192">
        <v>20000</v>
      </c>
      <c r="S192" t="s">
        <v>107</v>
      </c>
      <c r="T192">
        <f>+T183+M188+E193+T171+M169+E170+T144+M145+E145+T119+M117+E115+T93+M90+E89+T73+M72+E67</f>
        <v>2318310</v>
      </c>
    </row>
    <row r="193" spans="1:28" x14ac:dyDescent="0.25">
      <c r="A193" s="3" t="s">
        <v>107</v>
      </c>
      <c r="B193" s="6">
        <f>SUM(B174:B192)</f>
        <v>2330321.25</v>
      </c>
      <c r="C193" s="6">
        <f>SUM(C174:C192)</f>
        <v>-2007620</v>
      </c>
      <c r="D193" s="14">
        <f>SUM(D174:D192)</f>
        <v>219707.5</v>
      </c>
      <c r="E193" s="3">
        <f>SUM(E174:E192)</f>
        <v>102993.75</v>
      </c>
      <c r="F193" s="8">
        <f>SUM(F174:F192)</f>
        <v>-2959906.25</v>
      </c>
      <c r="P193">
        <v>20000</v>
      </c>
    </row>
    <row r="197" spans="1:28" x14ac:dyDescent="0.25">
      <c r="P197">
        <v>-20000</v>
      </c>
    </row>
    <row r="198" spans="1:28" s="15" customFormat="1" x14ac:dyDescent="0.25"/>
    <row r="200" spans="1:28" x14ac:dyDescent="0.25">
      <c r="A200" s="122">
        <v>44781</v>
      </c>
      <c r="B200" s="123"/>
      <c r="C200" s="123"/>
      <c r="D200" s="123"/>
      <c r="E200" s="123"/>
      <c r="F200" s="123"/>
      <c r="H200" s="122">
        <v>44783</v>
      </c>
      <c r="I200" s="123"/>
      <c r="J200" s="123"/>
      <c r="K200" s="123"/>
      <c r="L200" s="123"/>
      <c r="M200" s="123"/>
      <c r="N200" s="123"/>
      <c r="P200" s="122">
        <v>44784</v>
      </c>
      <c r="Q200" s="123"/>
      <c r="R200" s="123"/>
      <c r="S200" s="123"/>
      <c r="T200" s="123"/>
      <c r="U200" s="123"/>
      <c r="W200" s="122">
        <v>44785</v>
      </c>
      <c r="X200" s="123"/>
      <c r="Y200" s="123"/>
      <c r="Z200" s="123"/>
      <c r="AA200" s="123"/>
      <c r="AB200" s="123"/>
    </row>
    <row r="201" spans="1:28" x14ac:dyDescent="0.25">
      <c r="A201" s="6" t="s">
        <v>34</v>
      </c>
      <c r="B201" s="6" t="s">
        <v>104</v>
      </c>
      <c r="C201" s="6" t="s">
        <v>105</v>
      </c>
      <c r="D201" s="6" t="s">
        <v>106</v>
      </c>
      <c r="E201" s="3" t="s">
        <v>108</v>
      </c>
      <c r="F201" s="3" t="s">
        <v>28</v>
      </c>
      <c r="H201" s="6" t="s">
        <v>34</v>
      </c>
      <c r="I201" s="6" t="s">
        <v>104</v>
      </c>
      <c r="J201" s="6" t="s">
        <v>105</v>
      </c>
      <c r="K201" s="6"/>
      <c r="L201" s="6" t="s">
        <v>106</v>
      </c>
      <c r="M201" s="3" t="s">
        <v>108</v>
      </c>
      <c r="N201" s="3" t="s">
        <v>28</v>
      </c>
      <c r="O201" t="s">
        <v>104</v>
      </c>
      <c r="P201" s="6">
        <v>20000</v>
      </c>
      <c r="Q201" s="6" t="s">
        <v>104</v>
      </c>
      <c r="R201" s="6" t="s">
        <v>105</v>
      </c>
      <c r="S201" s="6" t="s">
        <v>106</v>
      </c>
      <c r="T201" s="3" t="s">
        <v>108</v>
      </c>
      <c r="U201" s="3" t="s">
        <v>28</v>
      </c>
      <c r="W201" s="6" t="s">
        <v>34</v>
      </c>
      <c r="X201" s="6" t="s">
        <v>104</v>
      </c>
      <c r="Y201" s="6" t="s">
        <v>105</v>
      </c>
      <c r="Z201" s="6" t="s">
        <v>106</v>
      </c>
      <c r="AA201" s="3">
        <f>SUM(Z186:Z201)</f>
        <v>0</v>
      </c>
      <c r="AB201" s="3" t="s">
        <v>28</v>
      </c>
    </row>
    <row r="202" spans="1:28" x14ac:dyDescent="0.25">
      <c r="A202" s="10" t="s">
        <v>99</v>
      </c>
      <c r="B202" s="5">
        <v>1925</v>
      </c>
      <c r="C202" s="5">
        <v>0</v>
      </c>
      <c r="D202" s="5">
        <v>0</v>
      </c>
      <c r="E202" s="5">
        <f t="shared" ref="E202:E211" si="33">+B202+C202-D202</f>
        <v>1925</v>
      </c>
      <c r="F202" s="5">
        <v>-305690</v>
      </c>
      <c r="H202" s="10" t="s">
        <v>99</v>
      </c>
      <c r="I202" s="5">
        <v>8085</v>
      </c>
      <c r="J202" s="5">
        <v>11742.5</v>
      </c>
      <c r="K202" s="5"/>
      <c r="L202" s="7">
        <v>4812.5</v>
      </c>
      <c r="M202" s="5">
        <f t="shared" ref="M202:M218" si="34">+I202+J202-L202</f>
        <v>15015</v>
      </c>
      <c r="N202" s="7">
        <v>-424462.5</v>
      </c>
      <c r="O202">
        <v>-770</v>
      </c>
      <c r="P202" s="10" t="s">
        <v>99</v>
      </c>
      <c r="Q202" s="5">
        <v>-770</v>
      </c>
      <c r="R202" s="5">
        <v>25795</v>
      </c>
      <c r="S202" s="7">
        <v>2502.5</v>
      </c>
      <c r="T202" s="5">
        <f t="shared" ref="T202:T209" si="35">+Q202+R202-S202</f>
        <v>22522.5</v>
      </c>
      <c r="U202" s="7">
        <v>-406560</v>
      </c>
      <c r="W202" s="10" t="s">
        <v>99</v>
      </c>
      <c r="X202" s="5">
        <v>82390</v>
      </c>
      <c r="Y202" s="5">
        <v>-97212.5</v>
      </c>
      <c r="Z202" s="7">
        <v>-2502.5</v>
      </c>
      <c r="AA202" s="5">
        <f t="shared" ref="AA202:AA209" si="36">+X202+Y202-Z202</f>
        <v>-12320</v>
      </c>
      <c r="AB202" s="7">
        <v>-624085</v>
      </c>
    </row>
    <row r="203" spans="1:28" x14ac:dyDescent="0.25">
      <c r="A203" s="10" t="s">
        <v>40</v>
      </c>
      <c r="B203" s="5">
        <v>5775</v>
      </c>
      <c r="C203" s="5">
        <v>0</v>
      </c>
      <c r="D203" s="5">
        <v>0</v>
      </c>
      <c r="E203" s="5">
        <f t="shared" si="33"/>
        <v>5775</v>
      </c>
      <c r="F203" s="5">
        <v>-109312.5</v>
      </c>
      <c r="H203" s="10" t="s">
        <v>40</v>
      </c>
      <c r="I203" s="5">
        <v>-17875</v>
      </c>
      <c r="J203" s="5">
        <v>-45375</v>
      </c>
      <c r="K203" s="5"/>
      <c r="L203" s="7">
        <v>-1718.7500000000005</v>
      </c>
      <c r="M203" s="5">
        <f t="shared" si="34"/>
        <v>-61531.25</v>
      </c>
      <c r="N203" s="7">
        <v>-411675</v>
      </c>
      <c r="O203">
        <v>177168</v>
      </c>
      <c r="P203" s="10" t="s">
        <v>40</v>
      </c>
      <c r="Q203" s="5">
        <v>177168</v>
      </c>
      <c r="R203" s="5">
        <v>-452924.99999999994</v>
      </c>
      <c r="S203" s="7">
        <v>-4331.25</v>
      </c>
      <c r="T203" s="5">
        <f t="shared" si="35"/>
        <v>-271425.74999999994</v>
      </c>
      <c r="U203" s="7">
        <v>-492043.75</v>
      </c>
      <c r="W203" s="10" t="s">
        <v>40</v>
      </c>
      <c r="X203" s="5">
        <v>88343</v>
      </c>
      <c r="Y203" s="5">
        <v>-262418.74999999994</v>
      </c>
      <c r="Z203" s="7">
        <v>16293.75</v>
      </c>
      <c r="AA203" s="5">
        <f t="shared" si="36"/>
        <v>-190369.49999999994</v>
      </c>
      <c r="AB203" s="7">
        <v>-637725</v>
      </c>
    </row>
    <row r="204" spans="1:28" x14ac:dyDescent="0.25">
      <c r="A204" s="10" t="s">
        <v>42</v>
      </c>
      <c r="B204" s="5">
        <v>-525</v>
      </c>
      <c r="C204" s="5">
        <v>0</v>
      </c>
      <c r="D204" s="5">
        <v>0</v>
      </c>
      <c r="E204" s="5">
        <f t="shared" si="33"/>
        <v>-525</v>
      </c>
      <c r="F204" s="5">
        <v>-299700</v>
      </c>
      <c r="H204" s="10" t="s">
        <v>42</v>
      </c>
      <c r="I204" s="5">
        <v>-12975</v>
      </c>
      <c r="J204" s="5">
        <v>37950</v>
      </c>
      <c r="K204" s="5"/>
      <c r="L204" s="7">
        <v>8850</v>
      </c>
      <c r="M204" s="5">
        <f t="shared" si="34"/>
        <v>16125</v>
      </c>
      <c r="N204" s="7">
        <v>-409200</v>
      </c>
      <c r="O204">
        <v>-34725</v>
      </c>
      <c r="P204" s="10" t="s">
        <v>42</v>
      </c>
      <c r="Q204" s="5">
        <v>-34725</v>
      </c>
      <c r="R204" s="5">
        <v>26700</v>
      </c>
      <c r="S204" s="7">
        <v>12000</v>
      </c>
      <c r="T204" s="5">
        <f t="shared" si="35"/>
        <v>-20025</v>
      </c>
      <c r="U204" s="7">
        <v>-564300</v>
      </c>
      <c r="W204" s="10" t="s">
        <v>42</v>
      </c>
      <c r="X204" s="5">
        <v>-675</v>
      </c>
      <c r="Y204" s="5">
        <v>93525</v>
      </c>
      <c r="Z204" s="7">
        <v>19800</v>
      </c>
      <c r="AA204" s="5">
        <f t="shared" si="36"/>
        <v>73050</v>
      </c>
      <c r="AB204" s="7">
        <v>-586200</v>
      </c>
    </row>
    <row r="205" spans="1:28" x14ac:dyDescent="0.25">
      <c r="A205" s="10" t="s">
        <v>14</v>
      </c>
      <c r="B205" s="5">
        <v>-3885</v>
      </c>
      <c r="C205" s="5">
        <v>0</v>
      </c>
      <c r="D205" s="5">
        <v>0</v>
      </c>
      <c r="E205" s="5">
        <f t="shared" si="33"/>
        <v>-3885</v>
      </c>
      <c r="F205" s="5">
        <v>-161190</v>
      </c>
      <c r="H205" s="10" t="s">
        <v>14</v>
      </c>
      <c r="I205" s="5">
        <v>-8025</v>
      </c>
      <c r="J205" s="5">
        <v>23130</v>
      </c>
      <c r="K205" s="5"/>
      <c r="L205" s="7">
        <v>-2760.0000000000005</v>
      </c>
      <c r="M205" s="5">
        <f t="shared" si="34"/>
        <v>17865</v>
      </c>
      <c r="N205" s="7">
        <v>-142890</v>
      </c>
      <c r="O205">
        <v>-16305</v>
      </c>
      <c r="P205" s="10">
        <v>-38250</v>
      </c>
      <c r="Q205" s="5">
        <v>-16305</v>
      </c>
      <c r="R205" s="5">
        <v>36960</v>
      </c>
      <c r="S205" s="7">
        <v>2520.0000000000005</v>
      </c>
      <c r="T205" s="5">
        <f t="shared" si="35"/>
        <v>18135</v>
      </c>
      <c r="U205" s="7">
        <v>-246690</v>
      </c>
      <c r="W205" s="10" t="s">
        <v>14</v>
      </c>
      <c r="X205" s="5">
        <v>-9377</v>
      </c>
      <c r="Y205" s="5">
        <v>33750</v>
      </c>
      <c r="Z205" s="7">
        <v>1530</v>
      </c>
      <c r="AA205" s="5">
        <f t="shared" si="36"/>
        <v>22843</v>
      </c>
      <c r="AB205" s="7">
        <v>-253530</v>
      </c>
    </row>
    <row r="206" spans="1:28" x14ac:dyDescent="0.25">
      <c r="A206" s="10" t="s">
        <v>111</v>
      </c>
      <c r="B206" s="5">
        <v>3375</v>
      </c>
      <c r="C206" s="5">
        <v>0</v>
      </c>
      <c r="D206" s="5">
        <v>0</v>
      </c>
      <c r="E206" s="5">
        <f t="shared" si="33"/>
        <v>3375</v>
      </c>
      <c r="F206" s="5">
        <v>-89775</v>
      </c>
      <c r="H206" s="10" t="s">
        <v>111</v>
      </c>
      <c r="I206" s="5">
        <v>-1344.15</v>
      </c>
      <c r="J206" s="5">
        <v>-8550</v>
      </c>
      <c r="K206" s="5"/>
      <c r="L206" s="7">
        <v>-450</v>
      </c>
      <c r="M206" s="5">
        <f t="shared" si="34"/>
        <v>-9444.15</v>
      </c>
      <c r="N206" s="7">
        <v>-388350</v>
      </c>
      <c r="O206">
        <v>-450</v>
      </c>
      <c r="P206" s="10" t="s">
        <v>111</v>
      </c>
      <c r="Q206" s="5">
        <v>-450</v>
      </c>
      <c r="R206" s="5">
        <v>67499.999999999985</v>
      </c>
      <c r="S206" s="7">
        <v>-2025</v>
      </c>
      <c r="T206" s="5">
        <f t="shared" si="35"/>
        <v>69074.999999999985</v>
      </c>
      <c r="U206" s="7">
        <v>-464850</v>
      </c>
      <c r="W206" s="10" t="s">
        <v>111</v>
      </c>
      <c r="X206" s="5">
        <v>2250</v>
      </c>
      <c r="Y206" s="5">
        <v>57150</v>
      </c>
      <c r="Z206" s="7">
        <v>1800</v>
      </c>
      <c r="AA206" s="5">
        <f t="shared" si="36"/>
        <v>57600</v>
      </c>
      <c r="AB206" s="7">
        <v>-392850</v>
      </c>
    </row>
    <row r="207" spans="1:28" x14ac:dyDescent="0.25">
      <c r="A207" s="10" t="s">
        <v>43</v>
      </c>
      <c r="B207" s="5">
        <v>-8500</v>
      </c>
      <c r="C207" s="5">
        <v>0</v>
      </c>
      <c r="D207" s="5">
        <v>0</v>
      </c>
      <c r="E207" s="5">
        <f t="shared" si="33"/>
        <v>-8500</v>
      </c>
      <c r="F207" s="5">
        <v>-298500</v>
      </c>
      <c r="H207" s="10" t="s">
        <v>43</v>
      </c>
      <c r="I207" s="5">
        <v>-5250</v>
      </c>
      <c r="J207" s="5">
        <v>38250</v>
      </c>
      <c r="K207" s="5"/>
      <c r="L207" s="7">
        <v>3000</v>
      </c>
      <c r="M207" s="5">
        <f t="shared" si="34"/>
        <v>30000</v>
      </c>
      <c r="N207" s="7">
        <v>-434000</v>
      </c>
      <c r="O207">
        <v>-134562</v>
      </c>
      <c r="P207" s="10" t="s">
        <v>43</v>
      </c>
      <c r="Q207" s="5">
        <v>-134562</v>
      </c>
      <c r="R207" s="5">
        <v>-65750</v>
      </c>
      <c r="S207" s="7">
        <v>23875</v>
      </c>
      <c r="T207" s="5">
        <f t="shared" si="35"/>
        <v>-224187</v>
      </c>
      <c r="U207" s="7">
        <v>-628875</v>
      </c>
      <c r="W207" s="10" t="s">
        <v>43</v>
      </c>
      <c r="X207" s="5">
        <v>-88812</v>
      </c>
      <c r="Y207" s="5">
        <v>2125</v>
      </c>
      <c r="Z207" s="7">
        <v>-3500</v>
      </c>
      <c r="AA207" s="5">
        <f t="shared" si="36"/>
        <v>-83187</v>
      </c>
      <c r="AB207" s="7">
        <v>-543750</v>
      </c>
    </row>
    <row r="208" spans="1:28" x14ac:dyDescent="0.25">
      <c r="A208" s="10" t="s">
        <v>57</v>
      </c>
      <c r="B208" s="5">
        <v>9262.5</v>
      </c>
      <c r="C208" s="5">
        <v>0</v>
      </c>
      <c r="D208" s="5">
        <v>0</v>
      </c>
      <c r="E208" s="5">
        <f t="shared" si="33"/>
        <v>9262.5</v>
      </c>
      <c r="F208" s="5">
        <v>-291900</v>
      </c>
      <c r="H208" s="10" t="s">
        <v>57</v>
      </c>
      <c r="I208" s="5">
        <v>-9712.5</v>
      </c>
      <c r="J208" s="5">
        <v>10500</v>
      </c>
      <c r="K208" s="5"/>
      <c r="L208" s="7">
        <v>9225</v>
      </c>
      <c r="M208" s="5">
        <f t="shared" si="34"/>
        <v>-8437.5</v>
      </c>
      <c r="N208" s="7">
        <v>-414731.25</v>
      </c>
      <c r="O208">
        <v>52387</v>
      </c>
      <c r="P208" s="10">
        <v>30000</v>
      </c>
      <c r="Q208" s="5">
        <v>52387</v>
      </c>
      <c r="R208" s="5">
        <v>-112537.5</v>
      </c>
      <c r="S208" s="7">
        <v>-2362.5</v>
      </c>
      <c r="T208" s="5">
        <f t="shared" si="35"/>
        <v>-57788</v>
      </c>
      <c r="U208" s="7">
        <v>-519600</v>
      </c>
      <c r="W208" s="10" t="s">
        <v>57</v>
      </c>
      <c r="X208" s="5">
        <v>-64950</v>
      </c>
      <c r="Y208" s="5">
        <v>412.5</v>
      </c>
      <c r="Z208" s="7">
        <v>5156.2500000000009</v>
      </c>
      <c r="AA208" s="5">
        <f t="shared" si="36"/>
        <v>-69693.75</v>
      </c>
      <c r="AB208" s="7">
        <v>-513056.25</v>
      </c>
    </row>
    <row r="209" spans="1:28" x14ac:dyDescent="0.25">
      <c r="A209" s="10" t="s">
        <v>62</v>
      </c>
      <c r="B209" s="5">
        <v>-6468</v>
      </c>
      <c r="C209" s="5">
        <v>0</v>
      </c>
      <c r="D209" s="5">
        <v>0</v>
      </c>
      <c r="E209" s="5">
        <f t="shared" si="33"/>
        <v>-6468</v>
      </c>
      <c r="F209" s="5">
        <v>-226712.5</v>
      </c>
      <c r="H209" s="10" t="s">
        <v>62</v>
      </c>
      <c r="I209" s="5">
        <v>-15356</v>
      </c>
      <c r="J209" s="5">
        <v>23237.499999999996</v>
      </c>
      <c r="K209" s="5"/>
      <c r="L209" s="7">
        <v>-3950</v>
      </c>
      <c r="M209" s="5">
        <f t="shared" si="34"/>
        <v>11831.499999999996</v>
      </c>
      <c r="N209" s="7">
        <v>-299700</v>
      </c>
      <c r="O209">
        <v>41475</v>
      </c>
      <c r="P209" s="10">
        <v>45000</v>
      </c>
      <c r="Q209" s="5">
        <v>41475</v>
      </c>
      <c r="R209" s="5">
        <v>-100500</v>
      </c>
      <c r="S209" s="7">
        <v>-1550.0000000000005</v>
      </c>
      <c r="T209" s="5">
        <f t="shared" si="35"/>
        <v>-57475</v>
      </c>
      <c r="U209" s="7">
        <v>-290800</v>
      </c>
      <c r="W209" s="10" t="s">
        <v>62</v>
      </c>
      <c r="X209" s="5">
        <v>6762</v>
      </c>
      <c r="Y209" s="5">
        <v>91200</v>
      </c>
      <c r="Z209" s="7">
        <v>-3375</v>
      </c>
      <c r="AA209" s="5">
        <f t="shared" si="36"/>
        <v>101337</v>
      </c>
      <c r="AB209" s="7">
        <v>-431925</v>
      </c>
    </row>
    <row r="210" spans="1:28" x14ac:dyDescent="0.25">
      <c r="A210" s="10" t="s">
        <v>56</v>
      </c>
      <c r="B210" s="5">
        <v>6300</v>
      </c>
      <c r="C210" s="5">
        <v>0</v>
      </c>
      <c r="D210" s="5">
        <v>0</v>
      </c>
      <c r="E210" s="5">
        <f t="shared" si="33"/>
        <v>6300</v>
      </c>
      <c r="F210" s="5">
        <v>-291800</v>
      </c>
      <c r="H210" s="10" t="s">
        <v>56</v>
      </c>
      <c r="I210" s="5">
        <v>-4675</v>
      </c>
      <c r="J210" s="5">
        <v>30450</v>
      </c>
      <c r="K210" s="5"/>
      <c r="L210" s="7">
        <v>5100</v>
      </c>
      <c r="M210" s="5">
        <f t="shared" si="34"/>
        <v>20675</v>
      </c>
      <c r="N210" s="7">
        <v>-353450</v>
      </c>
      <c r="O210">
        <v>-11125</v>
      </c>
      <c r="P210" s="10">
        <v>45000</v>
      </c>
      <c r="Q210" s="5">
        <v>-11125</v>
      </c>
      <c r="R210" s="5">
        <v>15775</v>
      </c>
      <c r="S210" s="7">
        <v>1400</v>
      </c>
      <c r="T210" s="5">
        <f>+Q210+R210-S210</f>
        <v>3250</v>
      </c>
      <c r="U210" s="7">
        <v>-422225</v>
      </c>
      <c r="W210" s="10" t="s">
        <v>56</v>
      </c>
      <c r="X210" s="5">
        <v>-22225</v>
      </c>
      <c r="Y210" s="5">
        <v>83225</v>
      </c>
      <c r="Z210" s="7">
        <v>-15200</v>
      </c>
      <c r="AA210" s="5">
        <f>+X210+Y210-Z210</f>
        <v>76200</v>
      </c>
      <c r="AB210" s="7">
        <v>-407800</v>
      </c>
    </row>
    <row r="211" spans="1:28" x14ac:dyDescent="0.25">
      <c r="A211" s="10" t="s">
        <v>53</v>
      </c>
      <c r="B211" s="5">
        <v>-16740</v>
      </c>
      <c r="C211" s="5">
        <v>0</v>
      </c>
      <c r="D211" s="5">
        <v>0</v>
      </c>
      <c r="E211" s="5">
        <f t="shared" si="33"/>
        <v>-16740</v>
      </c>
      <c r="F211" s="5">
        <v>-337590</v>
      </c>
      <c r="H211" s="10" t="s">
        <v>53</v>
      </c>
      <c r="I211" s="5">
        <v>-25420</v>
      </c>
      <c r="J211" s="5">
        <v>24645</v>
      </c>
      <c r="K211" s="5"/>
      <c r="L211" s="7">
        <v>-8370</v>
      </c>
      <c r="M211" s="5">
        <f t="shared" si="34"/>
        <v>7595</v>
      </c>
      <c r="N211" s="7">
        <v>-444850</v>
      </c>
      <c r="O211">
        <v>0</v>
      </c>
      <c r="P211" s="10"/>
      <c r="Q211" s="5">
        <v>0</v>
      </c>
      <c r="R211" s="5">
        <v>30535</v>
      </c>
      <c r="S211" s="7">
        <v>27435</v>
      </c>
      <c r="T211" s="5">
        <f t="shared" ref="T211:T215" si="37">+Q211+R211-S211</f>
        <v>3100</v>
      </c>
      <c r="U211" s="7">
        <v>-416640</v>
      </c>
      <c r="W211" s="10" t="s">
        <v>53</v>
      </c>
      <c r="X211" s="5">
        <v>-3952</v>
      </c>
      <c r="Y211" s="5">
        <v>86180</v>
      </c>
      <c r="Z211" s="7">
        <v>-3875</v>
      </c>
      <c r="AA211" s="5">
        <f t="shared" ref="AA211:AA215" si="38">+X211+Y211-Z211</f>
        <v>86103</v>
      </c>
      <c r="AB211" s="7">
        <v>-561720</v>
      </c>
    </row>
    <row r="212" spans="1:28" x14ac:dyDescent="0.25">
      <c r="A212" s="3" t="s">
        <v>107</v>
      </c>
      <c r="B212" s="6">
        <f>SUM(B202:B211)</f>
        <v>-9480.5</v>
      </c>
      <c r="C212" s="6">
        <f>SUM(C202:C211)</f>
        <v>0</v>
      </c>
      <c r="D212" s="14">
        <f>SUM(D202:D211)</f>
        <v>0</v>
      </c>
      <c r="E212" s="3">
        <f>SUM(E202:E211)</f>
        <v>-9480.5</v>
      </c>
      <c r="F212" s="8">
        <f>SUM(F202:F211)</f>
        <v>-2412170</v>
      </c>
      <c r="H212" s="10" t="s">
        <v>19</v>
      </c>
      <c r="I212" s="5">
        <v>-3962</v>
      </c>
      <c r="J212" s="5">
        <v>0</v>
      </c>
      <c r="K212" s="5"/>
      <c r="L212" s="7">
        <v>0</v>
      </c>
      <c r="M212" s="5">
        <f t="shared" si="34"/>
        <v>-3962</v>
      </c>
      <c r="N212" s="7">
        <v>-245737.5</v>
      </c>
      <c r="O212">
        <v>-7462</v>
      </c>
      <c r="P212" s="10"/>
      <c r="Q212" s="5">
        <v>-7462</v>
      </c>
      <c r="R212" s="5">
        <v>69450</v>
      </c>
      <c r="S212" s="7">
        <v>4625</v>
      </c>
      <c r="T212" s="5">
        <f t="shared" si="37"/>
        <v>57363</v>
      </c>
      <c r="U212" s="7">
        <v>-297950</v>
      </c>
      <c r="W212" s="10" t="s">
        <v>19</v>
      </c>
      <c r="X212" s="5">
        <v>462</v>
      </c>
      <c r="Y212" s="5">
        <v>29812.5</v>
      </c>
      <c r="Z212" s="7">
        <v>7375</v>
      </c>
      <c r="AA212" s="5">
        <f t="shared" si="38"/>
        <v>22899.5</v>
      </c>
      <c r="AB212" s="7">
        <v>-350312.5</v>
      </c>
    </row>
    <row r="213" spans="1:28" x14ac:dyDescent="0.25">
      <c r="H213" s="10" t="s">
        <v>55</v>
      </c>
      <c r="I213" s="5">
        <v>-400</v>
      </c>
      <c r="J213" s="5">
        <v>0</v>
      </c>
      <c r="K213" s="5"/>
      <c r="L213" s="7">
        <v>0</v>
      </c>
      <c r="M213" s="5">
        <f t="shared" si="34"/>
        <v>-400</v>
      </c>
      <c r="N213" s="7">
        <v>-433600</v>
      </c>
      <c r="O213">
        <v>-33300</v>
      </c>
      <c r="P213" s="10" t="s">
        <v>55</v>
      </c>
      <c r="Q213" s="5">
        <v>-33300</v>
      </c>
      <c r="R213" s="5">
        <v>52900</v>
      </c>
      <c r="S213" s="7">
        <v>-8500</v>
      </c>
      <c r="T213" s="5">
        <f t="shared" si="37"/>
        <v>28100</v>
      </c>
      <c r="U213" s="7">
        <v>-484900</v>
      </c>
      <c r="W213" s="10" t="s">
        <v>55</v>
      </c>
      <c r="X213" s="5">
        <v>-1100</v>
      </c>
      <c r="Y213" s="5">
        <v>84400</v>
      </c>
      <c r="Z213" s="7">
        <v>13700</v>
      </c>
      <c r="AA213" s="5">
        <f t="shared" si="38"/>
        <v>69600</v>
      </c>
      <c r="AB213" s="7">
        <v>-480400</v>
      </c>
    </row>
    <row r="214" spans="1:28" x14ac:dyDescent="0.25">
      <c r="H214" s="10" t="s">
        <v>20</v>
      </c>
      <c r="I214" s="5">
        <v>1500</v>
      </c>
      <c r="J214" s="5">
        <v>0</v>
      </c>
      <c r="K214" s="5"/>
      <c r="L214" s="7">
        <v>0</v>
      </c>
      <c r="M214" s="5">
        <f t="shared" si="34"/>
        <v>1500</v>
      </c>
      <c r="N214" s="7">
        <v>-73000</v>
      </c>
      <c r="O214">
        <v>-18250</v>
      </c>
      <c r="P214" s="10" t="s">
        <v>20</v>
      </c>
      <c r="Q214" s="5">
        <v>-18250</v>
      </c>
      <c r="R214" s="5">
        <v>12500</v>
      </c>
      <c r="S214" s="7">
        <v>6750</v>
      </c>
      <c r="T214" s="5">
        <f t="shared" si="37"/>
        <v>-12500</v>
      </c>
      <c r="U214" s="7">
        <v>-195750</v>
      </c>
      <c r="W214" s="10" t="s">
        <v>20</v>
      </c>
      <c r="X214" s="5">
        <v>0</v>
      </c>
      <c r="Y214" s="5">
        <v>44000</v>
      </c>
      <c r="Z214" s="7">
        <v>-2500</v>
      </c>
      <c r="AA214" s="5">
        <f t="shared" si="38"/>
        <v>46500</v>
      </c>
      <c r="AB214" s="7">
        <v>-178250</v>
      </c>
    </row>
    <row r="215" spans="1:28" x14ac:dyDescent="0.25">
      <c r="H215" s="10" t="s">
        <v>52</v>
      </c>
      <c r="I215" s="4">
        <v>-30930.85</v>
      </c>
      <c r="J215" s="5">
        <v>0</v>
      </c>
      <c r="K215" s="5"/>
      <c r="L215" s="5">
        <v>0</v>
      </c>
      <c r="M215" s="5">
        <f t="shared" si="34"/>
        <v>-30930.85</v>
      </c>
      <c r="N215" s="7">
        <v>-216900</v>
      </c>
      <c r="O215">
        <v>75300</v>
      </c>
      <c r="P215" s="10" t="s">
        <v>52</v>
      </c>
      <c r="Q215" s="4">
        <v>75300</v>
      </c>
      <c r="R215" s="5">
        <v>-96930</v>
      </c>
      <c r="S215" s="5">
        <v>5490</v>
      </c>
      <c r="T215" s="5">
        <f t="shared" si="37"/>
        <v>-27120</v>
      </c>
      <c r="U215" s="7">
        <v>-410460</v>
      </c>
      <c r="W215" s="10" t="s">
        <v>52</v>
      </c>
      <c r="X215" s="4">
        <v>-132452</v>
      </c>
      <c r="Y215" s="5">
        <v>32550.000000000007</v>
      </c>
      <c r="Z215" s="5">
        <v>18960</v>
      </c>
      <c r="AA215" s="5">
        <f t="shared" si="38"/>
        <v>-118862</v>
      </c>
      <c r="AB215" s="7">
        <v>-326880</v>
      </c>
    </row>
    <row r="216" spans="1:28" x14ac:dyDescent="0.25">
      <c r="H216" s="10" t="s">
        <v>58</v>
      </c>
      <c r="I216" s="4">
        <v>9600</v>
      </c>
      <c r="J216" s="5">
        <v>0</v>
      </c>
      <c r="K216" s="5"/>
      <c r="L216" s="5">
        <v>0</v>
      </c>
      <c r="M216" s="5">
        <f t="shared" si="34"/>
        <v>9600</v>
      </c>
      <c r="N216" s="7">
        <v>-167800</v>
      </c>
      <c r="O216">
        <v>-3400</v>
      </c>
      <c r="P216" s="10" t="s">
        <v>58</v>
      </c>
      <c r="Q216" s="4">
        <v>-3400</v>
      </c>
      <c r="R216" s="5">
        <v>58200</v>
      </c>
      <c r="S216" s="5">
        <v>14400</v>
      </c>
      <c r="T216" s="5">
        <f>+Q216+R216-S216</f>
        <v>40400</v>
      </c>
      <c r="U216" s="7">
        <v>-295800</v>
      </c>
      <c r="W216" s="10" t="s">
        <v>58</v>
      </c>
      <c r="X216" s="4">
        <v>-4200</v>
      </c>
      <c r="Y216" s="5">
        <v>48200</v>
      </c>
      <c r="Z216" s="5">
        <v>-4200</v>
      </c>
      <c r="AA216" s="5">
        <f>+X216+Y216-Z216</f>
        <v>48200</v>
      </c>
      <c r="AB216" s="7">
        <v>-366200</v>
      </c>
    </row>
    <row r="217" spans="1:28" x14ac:dyDescent="0.25">
      <c r="H217" s="10" t="s">
        <v>41</v>
      </c>
      <c r="I217" s="4">
        <v>-7157</v>
      </c>
      <c r="J217" s="5">
        <v>0</v>
      </c>
      <c r="K217" s="5"/>
      <c r="L217" s="5">
        <v>0</v>
      </c>
      <c r="M217" s="5">
        <f t="shared" si="34"/>
        <v>-7157</v>
      </c>
      <c r="N217" s="7">
        <v>-404915</v>
      </c>
      <c r="O217">
        <v>-24342</v>
      </c>
      <c r="P217" s="10">
        <v>-7500</v>
      </c>
      <c r="Q217" s="4">
        <v>-24342</v>
      </c>
      <c r="R217" s="5">
        <v>31920</v>
      </c>
      <c r="S217" s="5">
        <v>-2371.25</v>
      </c>
      <c r="T217" s="5">
        <f>+Q217+R217-S217</f>
        <v>9949.25</v>
      </c>
      <c r="U217" s="7">
        <v>-481705</v>
      </c>
      <c r="W217" s="10" t="s">
        <v>41</v>
      </c>
      <c r="X217" s="4">
        <v>14621</v>
      </c>
      <c r="Y217" s="5">
        <v>50890</v>
      </c>
      <c r="Z217" s="5">
        <v>-4663.75</v>
      </c>
      <c r="AA217" s="5">
        <f>+X217+Y217-Z217</f>
        <v>70174.75</v>
      </c>
      <c r="AB217" s="7">
        <v>-446740</v>
      </c>
    </row>
    <row r="218" spans="1:28" x14ac:dyDescent="0.25">
      <c r="H218" s="10" t="s">
        <v>38</v>
      </c>
      <c r="I218" s="4">
        <v>-607</v>
      </c>
      <c r="J218" s="5">
        <v>0</v>
      </c>
      <c r="K218" s="5"/>
      <c r="L218" s="5">
        <v>0</v>
      </c>
      <c r="M218" s="5">
        <f t="shared" si="34"/>
        <v>-607</v>
      </c>
      <c r="N218" s="7">
        <v>-302565</v>
      </c>
      <c r="O218">
        <v>-48533</v>
      </c>
      <c r="P218" s="10" t="s">
        <v>38</v>
      </c>
      <c r="Q218" s="4">
        <v>-48533</v>
      </c>
      <c r="R218" s="5">
        <v>-15450</v>
      </c>
      <c r="S218" s="5">
        <v>-3270</v>
      </c>
      <c r="T218" s="5">
        <f>+Q218+R218-S218</f>
        <v>-60713</v>
      </c>
      <c r="U218" s="7">
        <v>-410625</v>
      </c>
      <c r="W218" s="10" t="s">
        <v>38</v>
      </c>
      <c r="X218" s="4">
        <v>-11310</v>
      </c>
      <c r="Y218" s="5">
        <v>17520</v>
      </c>
      <c r="Z218" s="5">
        <v>-15817.5</v>
      </c>
      <c r="AA218" s="5">
        <f>+X218+Y218-Z218</f>
        <v>22027.5</v>
      </c>
      <c r="AB218" s="7">
        <v>-471540</v>
      </c>
    </row>
    <row r="219" spans="1:28" x14ac:dyDescent="0.25">
      <c r="H219" s="3" t="s">
        <v>107</v>
      </c>
      <c r="I219" s="6">
        <f>SUM(I202:I218)</f>
        <v>-124504.5</v>
      </c>
      <c r="J219" s="6">
        <f>SUM(J202:J218)</f>
        <v>145980</v>
      </c>
      <c r="K219" s="6"/>
      <c r="L219" s="14">
        <f>SUM(L202:L218)</f>
        <v>13738.75</v>
      </c>
      <c r="M219" s="3">
        <f>SUM(M202:M218)</f>
        <v>7736.7499999999927</v>
      </c>
      <c r="N219" s="8">
        <f>SUM(N202:N218)</f>
        <v>-5567826.25</v>
      </c>
      <c r="O219">
        <v>6030</v>
      </c>
      <c r="P219" s="10" t="s">
        <v>94</v>
      </c>
      <c r="Q219" s="4">
        <v>6030</v>
      </c>
      <c r="R219" s="5">
        <v>0</v>
      </c>
      <c r="S219" s="5">
        <v>0</v>
      </c>
      <c r="T219" s="5">
        <f t="shared" ref="T219" si="39">+Q219+R219-S219</f>
        <v>6030</v>
      </c>
      <c r="U219" s="7">
        <v>-301860</v>
      </c>
      <c r="W219" s="10" t="s">
        <v>94</v>
      </c>
      <c r="X219" s="4">
        <v>8640</v>
      </c>
      <c r="Y219" s="5">
        <v>54000</v>
      </c>
      <c r="Z219" s="5">
        <v>7020</v>
      </c>
      <c r="AA219" s="5">
        <f t="shared" ref="AA219" si="40">+X219+Y219-Z219</f>
        <v>55620</v>
      </c>
      <c r="AB219" s="7">
        <v>-525150</v>
      </c>
    </row>
    <row r="220" spans="1:28" x14ac:dyDescent="0.25">
      <c r="O220">
        <v>19136</v>
      </c>
      <c r="P220" s="3">
        <v>-15000</v>
      </c>
      <c r="Q220" s="6">
        <f>SUM(Q202:Q219)</f>
        <v>19136</v>
      </c>
      <c r="R220" s="6">
        <f>SUM(R202:R219)</f>
        <v>-415857.5</v>
      </c>
      <c r="S220" s="14">
        <f>SUM(S202:S219)</f>
        <v>76587.5</v>
      </c>
      <c r="T220" s="3">
        <f>SUM(T202:T219)</f>
        <v>-473308.99999999994</v>
      </c>
      <c r="U220" s="8">
        <f>SUM(U202:U219)</f>
        <v>-7331633.75</v>
      </c>
      <c r="W220" s="3" t="s">
        <v>107</v>
      </c>
      <c r="X220" s="6">
        <f>SUM(X202:X219)</f>
        <v>-135585</v>
      </c>
      <c r="Y220" s="6">
        <f>SUM(Y202:Y219)</f>
        <v>449308.75000000006</v>
      </c>
      <c r="Z220" s="14">
        <f>SUM(Z202:Z219)</f>
        <v>36001.25</v>
      </c>
      <c r="AA220" s="3">
        <f>SUM(AA202:AA219)</f>
        <v>277722.50000000006</v>
      </c>
      <c r="AB220" s="8">
        <f>SUM(AB202:AB219)</f>
        <v>-8098113.75</v>
      </c>
    </row>
    <row r="221" spans="1:28" x14ac:dyDescent="0.25">
      <c r="A221" s="122">
        <v>44789</v>
      </c>
      <c r="B221" s="123"/>
      <c r="C221" s="123"/>
      <c r="D221" s="123"/>
      <c r="E221" s="123"/>
      <c r="F221" s="123"/>
      <c r="H221" s="122">
        <v>44790</v>
      </c>
      <c r="I221" s="123"/>
      <c r="J221" s="123"/>
      <c r="K221" s="123"/>
      <c r="L221" s="123"/>
      <c r="M221" s="123"/>
      <c r="N221" s="123"/>
    </row>
    <row r="222" spans="1:28" x14ac:dyDescent="0.25">
      <c r="A222" s="6" t="s">
        <v>34</v>
      </c>
      <c r="B222" s="6" t="s">
        <v>104</v>
      </c>
      <c r="C222" s="6" t="s">
        <v>105</v>
      </c>
      <c r="D222" s="6" t="s">
        <v>106</v>
      </c>
      <c r="E222" s="3" t="s">
        <v>108</v>
      </c>
      <c r="F222" s="3" t="s">
        <v>28</v>
      </c>
      <c r="H222" s="6" t="s">
        <v>34</v>
      </c>
      <c r="I222" s="6" t="s">
        <v>104</v>
      </c>
      <c r="J222" s="6" t="s">
        <v>105</v>
      </c>
      <c r="K222" s="6"/>
      <c r="L222" s="6" t="s">
        <v>106</v>
      </c>
      <c r="M222" s="3" t="s">
        <v>108</v>
      </c>
      <c r="N222" s="3" t="s">
        <v>28</v>
      </c>
      <c r="P222" s="122">
        <v>44791</v>
      </c>
      <c r="Q222" s="123"/>
      <c r="R222" s="123"/>
      <c r="S222" s="123"/>
      <c r="T222" s="123"/>
      <c r="U222" s="123"/>
    </row>
    <row r="223" spans="1:28" x14ac:dyDescent="0.25">
      <c r="A223" s="10" t="s">
        <v>99</v>
      </c>
      <c r="B223" s="5">
        <v>-14245</v>
      </c>
      <c r="C223" s="5">
        <v>170362.5</v>
      </c>
      <c r="D223" s="7">
        <v>15785</v>
      </c>
      <c r="E223" s="5">
        <f t="shared" ref="E223:E230" si="41">+B223+C223-D223</f>
        <v>140332.5</v>
      </c>
      <c r="F223" s="7">
        <v>-681257.5</v>
      </c>
      <c r="H223" s="10" t="s">
        <v>99</v>
      </c>
      <c r="I223" s="5">
        <v>0</v>
      </c>
      <c r="J223" s="5">
        <v>147070</v>
      </c>
      <c r="K223" s="5"/>
      <c r="L223" s="7">
        <v>60830</v>
      </c>
      <c r="M223" s="5">
        <f t="shared" ref="M223:M242" si="42">+I223+J223-L223</f>
        <v>86240</v>
      </c>
      <c r="N223" s="7">
        <v>-585007.5</v>
      </c>
      <c r="O223" t="s">
        <v>104</v>
      </c>
      <c r="P223" s="6" t="s">
        <v>34</v>
      </c>
      <c r="Q223" s="6" t="s">
        <v>104</v>
      </c>
      <c r="R223" s="6" t="s">
        <v>105</v>
      </c>
      <c r="S223" s="6" t="s">
        <v>106</v>
      </c>
      <c r="T223" s="3" t="s">
        <v>108</v>
      </c>
      <c r="U223" s="3" t="s">
        <v>28</v>
      </c>
    </row>
    <row r="224" spans="1:28" x14ac:dyDescent="0.25">
      <c r="A224" s="10" t="s">
        <v>40</v>
      </c>
      <c r="B224" s="5">
        <v>-34375</v>
      </c>
      <c r="C224" s="5">
        <v>158331.25</v>
      </c>
      <c r="D224" s="7">
        <v>8043.75</v>
      </c>
      <c r="E224" s="5">
        <f t="shared" si="41"/>
        <v>115912.5</v>
      </c>
      <c r="F224" s="7">
        <v>-583893.75</v>
      </c>
      <c r="H224" s="10" t="s">
        <v>40</v>
      </c>
      <c r="I224" s="5">
        <v>-28737</v>
      </c>
      <c r="J224" s="5">
        <v>-16912.5</v>
      </c>
      <c r="K224" s="5"/>
      <c r="L224" s="7">
        <v>32931.25</v>
      </c>
      <c r="M224" s="5">
        <f t="shared" si="42"/>
        <v>-78580.75</v>
      </c>
      <c r="N224" s="7">
        <v>-620743.75</v>
      </c>
      <c r="O224">
        <v>-45045</v>
      </c>
      <c r="P224" s="10" t="s">
        <v>99</v>
      </c>
      <c r="Q224" s="5">
        <v>-45045</v>
      </c>
      <c r="R224" s="5">
        <v>-86432.5</v>
      </c>
      <c r="S224" s="7">
        <v>15977.5</v>
      </c>
      <c r="T224" s="5">
        <f t="shared" ref="T224:T231" si="43">+Q224+R224-S224</f>
        <v>-147455</v>
      </c>
      <c r="U224" s="7">
        <v>-826402.5</v>
      </c>
    </row>
    <row r="225" spans="1:21" x14ac:dyDescent="0.25">
      <c r="A225" s="10" t="s">
        <v>42</v>
      </c>
      <c r="B225" s="5">
        <v>-20400</v>
      </c>
      <c r="C225" s="5">
        <v>195300</v>
      </c>
      <c r="D225" s="7">
        <v>86400</v>
      </c>
      <c r="E225" s="5">
        <f t="shared" si="41"/>
        <v>88500</v>
      </c>
      <c r="F225" s="7">
        <v>-582300</v>
      </c>
      <c r="H225" s="10" t="s">
        <v>42</v>
      </c>
      <c r="I225" s="5">
        <f>-5550+75</f>
        <v>-5475</v>
      </c>
      <c r="J225" s="5">
        <v>36900</v>
      </c>
      <c r="K225" s="5"/>
      <c r="L225" s="7">
        <v>-20025</v>
      </c>
      <c r="M225" s="5">
        <f t="shared" si="42"/>
        <v>51450</v>
      </c>
      <c r="N225" s="7">
        <v>-486900</v>
      </c>
      <c r="O225">
        <v>-12718</v>
      </c>
      <c r="P225" s="10">
        <f>-100000-40000-40000-60000</f>
        <v>-240000</v>
      </c>
      <c r="Q225" s="5">
        <v>-12718</v>
      </c>
      <c r="R225" s="5">
        <v>78925</v>
      </c>
      <c r="S225" s="7">
        <v>9968.75</v>
      </c>
      <c r="T225" s="5">
        <f t="shared" si="43"/>
        <v>56238.25</v>
      </c>
      <c r="U225" s="7">
        <v>-637587.5</v>
      </c>
    </row>
    <row r="226" spans="1:21" x14ac:dyDescent="0.25">
      <c r="A226" s="10" t="s">
        <v>14</v>
      </c>
      <c r="B226" s="5">
        <v>7815</v>
      </c>
      <c r="C226" s="5">
        <v>-12270</v>
      </c>
      <c r="D226" s="7">
        <v>-9150</v>
      </c>
      <c r="E226" s="5">
        <f t="shared" si="41"/>
        <v>4695</v>
      </c>
      <c r="F226" s="7">
        <v>-267660</v>
      </c>
      <c r="H226" s="10" t="s">
        <v>14</v>
      </c>
      <c r="I226" s="5">
        <v>-23430</v>
      </c>
      <c r="J226" s="5">
        <v>7260</v>
      </c>
      <c r="K226" s="5"/>
      <c r="L226" s="7">
        <v>-12840</v>
      </c>
      <c r="M226" s="5">
        <f t="shared" si="42"/>
        <v>-3330</v>
      </c>
      <c r="N226" s="7">
        <v>-325020</v>
      </c>
      <c r="O226">
        <v>-7050</v>
      </c>
      <c r="P226" s="10" t="s">
        <v>42</v>
      </c>
      <c r="Q226" s="5">
        <v>-7050</v>
      </c>
      <c r="R226" s="5">
        <v>43050</v>
      </c>
      <c r="S226" s="7">
        <v>2775.0000000000036</v>
      </c>
      <c r="T226" s="5">
        <f t="shared" si="43"/>
        <v>33225</v>
      </c>
      <c r="U226" s="7">
        <v>-597900</v>
      </c>
    </row>
    <row r="227" spans="1:21" x14ac:dyDescent="0.25">
      <c r="A227" s="10" t="s">
        <v>111</v>
      </c>
      <c r="B227" s="5">
        <v>10800</v>
      </c>
      <c r="C227" s="5">
        <v>13275</v>
      </c>
      <c r="D227" s="7">
        <v>5400</v>
      </c>
      <c r="E227" s="5">
        <f t="shared" si="41"/>
        <v>18675</v>
      </c>
      <c r="F227" s="7">
        <v>-509625</v>
      </c>
      <c r="H227" s="10" t="s">
        <v>111</v>
      </c>
      <c r="I227" s="5">
        <f>11475-3600</f>
        <v>7875</v>
      </c>
      <c r="J227" s="5">
        <v>73800</v>
      </c>
      <c r="K227" s="5"/>
      <c r="L227" s="7">
        <v>33975</v>
      </c>
      <c r="M227" s="5">
        <f t="shared" si="42"/>
        <v>47700</v>
      </c>
      <c r="N227" s="7">
        <v>-428625</v>
      </c>
      <c r="O227">
        <v>-7305</v>
      </c>
      <c r="P227" s="10" t="s">
        <v>14</v>
      </c>
      <c r="Q227" s="5">
        <v>-7305</v>
      </c>
      <c r="R227" s="5">
        <v>32400</v>
      </c>
      <c r="S227" s="7">
        <v>1020</v>
      </c>
      <c r="T227" s="5">
        <f t="shared" si="43"/>
        <v>24075</v>
      </c>
      <c r="U227" s="7">
        <v>-363150</v>
      </c>
    </row>
    <row r="228" spans="1:21" x14ac:dyDescent="0.25">
      <c r="A228" s="10" t="s">
        <v>43</v>
      </c>
      <c r="B228" s="5">
        <v>-37062</v>
      </c>
      <c r="C228" s="5">
        <v>48375</v>
      </c>
      <c r="D228" s="7">
        <v>4625</v>
      </c>
      <c r="E228" s="5">
        <f t="shared" si="41"/>
        <v>6688</v>
      </c>
      <c r="F228" s="7">
        <v>-690625</v>
      </c>
      <c r="H228" s="10" t="s">
        <v>43</v>
      </c>
      <c r="I228" s="5">
        <f>-126562+12437</f>
        <v>-114125</v>
      </c>
      <c r="J228" s="5">
        <v>-55375</v>
      </c>
      <c r="K228" s="5"/>
      <c r="L228" s="7">
        <v>-24062.5</v>
      </c>
      <c r="M228" s="5">
        <f t="shared" si="42"/>
        <v>-145437.5</v>
      </c>
      <c r="N228" s="7">
        <v>-790625</v>
      </c>
      <c r="O228">
        <v>-13500</v>
      </c>
      <c r="P228" s="10">
        <v>200000</v>
      </c>
      <c r="Q228" s="5">
        <v>-13500</v>
      </c>
      <c r="R228" s="5">
        <v>42075</v>
      </c>
      <c r="S228" s="7">
        <v>-675</v>
      </c>
      <c r="T228" s="5">
        <f t="shared" si="43"/>
        <v>29250</v>
      </c>
      <c r="U228" s="7">
        <v>-418500</v>
      </c>
    </row>
    <row r="229" spans="1:21" x14ac:dyDescent="0.25">
      <c r="A229" s="10" t="s">
        <v>57</v>
      </c>
      <c r="B229" s="5">
        <v>-43256</v>
      </c>
      <c r="C229" s="5">
        <v>-584831.25</v>
      </c>
      <c r="D229" s="7">
        <v>9937.5</v>
      </c>
      <c r="E229" s="5">
        <f t="shared" si="41"/>
        <v>-638024.75</v>
      </c>
      <c r="F229" s="7">
        <v>-277668.75</v>
      </c>
      <c r="H229" s="10" t="s">
        <v>57</v>
      </c>
      <c r="I229" s="5">
        <f>-17043+10425</f>
        <v>-6618</v>
      </c>
      <c r="J229" s="5">
        <v>48581.25</v>
      </c>
      <c r="K229" s="5"/>
      <c r="L229" s="7">
        <v>3412.5000000000005</v>
      </c>
      <c r="M229" s="5">
        <f t="shared" si="42"/>
        <v>38550.75</v>
      </c>
      <c r="N229" s="7">
        <v>-342768.75</v>
      </c>
      <c r="O229">
        <v>-9500</v>
      </c>
      <c r="P229" s="10">
        <v>200000</v>
      </c>
      <c r="Q229" s="5">
        <v>-9500</v>
      </c>
      <c r="R229" s="5">
        <v>103562.5</v>
      </c>
      <c r="S229" s="7">
        <v>-31500</v>
      </c>
      <c r="T229" s="5">
        <f t="shared" si="43"/>
        <v>125562.5</v>
      </c>
      <c r="U229" s="7">
        <v>-698312.5</v>
      </c>
    </row>
    <row r="230" spans="1:21" x14ac:dyDescent="0.25">
      <c r="A230" s="10" t="s">
        <v>62</v>
      </c>
      <c r="B230" s="5">
        <v>-7275</v>
      </c>
      <c r="C230" s="5">
        <v>152800</v>
      </c>
      <c r="D230" s="7">
        <v>63050</v>
      </c>
      <c r="E230" s="5">
        <f t="shared" si="41"/>
        <v>82475</v>
      </c>
      <c r="F230" s="7">
        <v>-574400</v>
      </c>
      <c r="H230" s="10" t="s">
        <v>62</v>
      </c>
      <c r="I230" s="5">
        <f>-33325-2075</f>
        <v>-35400</v>
      </c>
      <c r="J230" s="5">
        <v>14362.5</v>
      </c>
      <c r="K230" s="5"/>
      <c r="L230" s="7">
        <v>-11812.5</v>
      </c>
      <c r="M230" s="5">
        <f t="shared" si="42"/>
        <v>-9225</v>
      </c>
      <c r="N230" s="7">
        <v>-609406.25</v>
      </c>
      <c r="O230">
        <v>2400</v>
      </c>
      <c r="P230" s="10">
        <v>200000</v>
      </c>
      <c r="Q230" s="5">
        <v>2400</v>
      </c>
      <c r="R230" s="5">
        <v>49500</v>
      </c>
      <c r="S230" s="7">
        <v>3337.5</v>
      </c>
      <c r="T230" s="5">
        <f t="shared" si="43"/>
        <v>48562.5</v>
      </c>
      <c r="U230" s="7">
        <v>-347193.75</v>
      </c>
    </row>
    <row r="231" spans="1:21" x14ac:dyDescent="0.25">
      <c r="A231" s="10" t="s">
        <v>56</v>
      </c>
      <c r="B231" s="5">
        <v>-9325</v>
      </c>
      <c r="C231" s="5">
        <v>104575.00000000001</v>
      </c>
      <c r="D231" s="7">
        <v>12000</v>
      </c>
      <c r="E231" s="5">
        <f>+B231+C231-D231</f>
        <v>83250.000000000015</v>
      </c>
      <c r="F231" s="7">
        <v>-477900</v>
      </c>
      <c r="H231" s="10" t="s">
        <v>56</v>
      </c>
      <c r="I231" s="5">
        <v>-23825</v>
      </c>
      <c r="J231" s="5">
        <v>18225.000000000004</v>
      </c>
      <c r="K231" s="5"/>
      <c r="L231" s="7">
        <v>3250</v>
      </c>
      <c r="M231" s="5">
        <f t="shared" si="42"/>
        <v>-8849.9999999999964</v>
      </c>
      <c r="N231" s="7">
        <v>-421550</v>
      </c>
      <c r="O231">
        <v>-2800</v>
      </c>
      <c r="P231" s="10"/>
      <c r="Q231" s="5">
        <v>-2800</v>
      </c>
      <c r="R231" s="5">
        <v>83000</v>
      </c>
      <c r="S231" s="7">
        <v>1206.2499999999982</v>
      </c>
      <c r="T231" s="5">
        <f t="shared" si="43"/>
        <v>78993.75</v>
      </c>
      <c r="U231" s="7">
        <v>-732012.5</v>
      </c>
    </row>
    <row r="232" spans="1:21" x14ac:dyDescent="0.25">
      <c r="A232" s="10" t="s">
        <v>53</v>
      </c>
      <c r="B232" s="5">
        <v>-197935</v>
      </c>
      <c r="C232" s="5">
        <v>-20150</v>
      </c>
      <c r="D232" s="7">
        <v>29140</v>
      </c>
      <c r="E232" s="5">
        <f t="shared" ref="E232:E236" si="44">+B232+C232-D232</f>
        <v>-247225</v>
      </c>
      <c r="F232" s="7">
        <v>-770040</v>
      </c>
      <c r="H232" s="10" t="s">
        <v>53</v>
      </c>
      <c r="I232" s="5">
        <f>-54327-3952</f>
        <v>-58279</v>
      </c>
      <c r="J232" s="5">
        <v>225060</v>
      </c>
      <c r="K232" s="5"/>
      <c r="L232" s="7">
        <v>85405</v>
      </c>
      <c r="M232" s="5">
        <f t="shared" si="42"/>
        <v>81376</v>
      </c>
      <c r="N232" s="7">
        <v>-671227.5</v>
      </c>
      <c r="O232">
        <v>-13750</v>
      </c>
      <c r="P232" s="10"/>
      <c r="Q232" s="5">
        <f>-16050+2300</f>
        <v>-13750</v>
      </c>
      <c r="R232" s="5">
        <v>38725</v>
      </c>
      <c r="S232" s="7">
        <v>28150</v>
      </c>
      <c r="T232" s="5">
        <f>+Q232+R232-S232</f>
        <v>-3175</v>
      </c>
      <c r="U232" s="7">
        <v>-542350</v>
      </c>
    </row>
    <row r="233" spans="1:21" x14ac:dyDescent="0.25">
      <c r="A233" s="10" t="s">
        <v>19</v>
      </c>
      <c r="B233" s="5">
        <v>23987</v>
      </c>
      <c r="C233" s="5">
        <v>29862.5</v>
      </c>
      <c r="D233" s="7">
        <v>-1437.5</v>
      </c>
      <c r="E233" s="5">
        <f t="shared" si="44"/>
        <v>55287</v>
      </c>
      <c r="F233" s="7">
        <v>-539012.5</v>
      </c>
      <c r="H233" s="10" t="s">
        <v>19</v>
      </c>
      <c r="I233" s="5">
        <v>-13512</v>
      </c>
      <c r="J233" s="5">
        <v>7350</v>
      </c>
      <c r="K233" s="5"/>
      <c r="L233" s="7">
        <v>9350</v>
      </c>
      <c r="M233" s="5">
        <f t="shared" si="42"/>
        <v>-15512</v>
      </c>
      <c r="N233" s="7">
        <v>-393600</v>
      </c>
      <c r="O233">
        <v>3100</v>
      </c>
      <c r="P233" s="10"/>
      <c r="Q233" s="5">
        <v>3100</v>
      </c>
      <c r="R233" s="5">
        <v>111057.5</v>
      </c>
      <c r="S233" s="7">
        <v>32627.5</v>
      </c>
      <c r="T233" s="5">
        <f t="shared" ref="T233:T237" si="45">+Q233+R233-S233</f>
        <v>81530</v>
      </c>
      <c r="U233" s="7">
        <v>-641855</v>
      </c>
    </row>
    <row r="234" spans="1:21" x14ac:dyDescent="0.25">
      <c r="A234" s="10" t="s">
        <v>55</v>
      </c>
      <c r="B234" s="5">
        <v>-1400</v>
      </c>
      <c r="C234" s="5">
        <v>120900</v>
      </c>
      <c r="D234" s="7">
        <v>38200</v>
      </c>
      <c r="E234" s="5">
        <f t="shared" si="44"/>
        <v>81300</v>
      </c>
      <c r="F234" s="7">
        <v>-558200</v>
      </c>
      <c r="H234" s="10" t="s">
        <v>55</v>
      </c>
      <c r="I234" s="5">
        <v>99600</v>
      </c>
      <c r="J234" s="5">
        <v>-129100</v>
      </c>
      <c r="K234" s="5"/>
      <c r="L234" s="7">
        <v>22300.000000000004</v>
      </c>
      <c r="M234" s="5">
        <f t="shared" si="42"/>
        <v>-51800</v>
      </c>
      <c r="N234" s="7">
        <v>-498800</v>
      </c>
      <c r="O234">
        <v>-31000</v>
      </c>
      <c r="P234" s="10"/>
      <c r="Q234" s="5">
        <v>-31000</v>
      </c>
      <c r="R234" s="5">
        <v>16375</v>
      </c>
      <c r="S234" s="7">
        <v>-44750</v>
      </c>
      <c r="T234" s="5">
        <f t="shared" si="45"/>
        <v>30125</v>
      </c>
      <c r="U234" s="7">
        <v>-270225</v>
      </c>
    </row>
    <row r="235" spans="1:21" x14ac:dyDescent="0.25">
      <c r="A235" s="10" t="s">
        <v>20</v>
      </c>
      <c r="B235" s="5">
        <v>3000</v>
      </c>
      <c r="C235" s="5">
        <v>29500</v>
      </c>
      <c r="D235" s="7">
        <v>-4750</v>
      </c>
      <c r="E235" s="5">
        <f t="shared" si="44"/>
        <v>37250</v>
      </c>
      <c r="F235" s="7">
        <v>-191000</v>
      </c>
      <c r="H235" s="10" t="s">
        <v>20</v>
      </c>
      <c r="I235" s="5">
        <v>2000</v>
      </c>
      <c r="J235" s="5">
        <v>-750</v>
      </c>
      <c r="K235" s="5"/>
      <c r="L235" s="7">
        <v>0</v>
      </c>
      <c r="M235" s="5">
        <f t="shared" si="42"/>
        <v>1250</v>
      </c>
      <c r="N235" s="7">
        <v>-160500</v>
      </c>
      <c r="O235">
        <v>-2600</v>
      </c>
      <c r="P235" s="10"/>
      <c r="Q235" s="5">
        <v>-2600</v>
      </c>
      <c r="R235" s="5">
        <v>60300</v>
      </c>
      <c r="S235" s="7">
        <v>25900</v>
      </c>
      <c r="T235" s="5">
        <f t="shared" si="45"/>
        <v>31800</v>
      </c>
      <c r="U235" s="7">
        <v>-511500</v>
      </c>
    </row>
    <row r="236" spans="1:21" x14ac:dyDescent="0.25">
      <c r="A236" s="10" t="s">
        <v>52</v>
      </c>
      <c r="B236" s="4">
        <v>0</v>
      </c>
      <c r="C236" s="5">
        <v>102780</v>
      </c>
      <c r="D236" s="5">
        <v>18360</v>
      </c>
      <c r="E236" s="5">
        <f t="shared" si="44"/>
        <v>84420</v>
      </c>
      <c r="F236" s="7">
        <v>-335160</v>
      </c>
      <c r="H236" s="10" t="s">
        <v>52</v>
      </c>
      <c r="I236" s="4">
        <v>570</v>
      </c>
      <c r="J236" s="5">
        <v>-11699.999999999985</v>
      </c>
      <c r="K236" s="5"/>
      <c r="L236" s="5">
        <v>12960</v>
      </c>
      <c r="M236" s="5">
        <f t="shared" si="42"/>
        <v>-24089.999999999985</v>
      </c>
      <c r="N236" s="7">
        <v>-297960</v>
      </c>
      <c r="O236">
        <v>-1000</v>
      </c>
      <c r="P236" s="10" t="s">
        <v>20</v>
      </c>
      <c r="Q236" s="5">
        <v>-1000</v>
      </c>
      <c r="R236" s="5">
        <v>-14000</v>
      </c>
      <c r="S236" s="7">
        <v>-13750</v>
      </c>
      <c r="T236" s="5">
        <f t="shared" si="45"/>
        <v>-1250</v>
      </c>
      <c r="U236" s="7">
        <v>-173750</v>
      </c>
    </row>
    <row r="237" spans="1:21" x14ac:dyDescent="0.25">
      <c r="A237" s="10" t="s">
        <v>58</v>
      </c>
      <c r="B237" s="4">
        <v>-59400</v>
      </c>
      <c r="C237" s="5">
        <v>-23400</v>
      </c>
      <c r="D237" s="5">
        <v>7200</v>
      </c>
      <c r="E237" s="5">
        <f>+B237+C237-D237</f>
        <v>-90000</v>
      </c>
      <c r="F237" s="7">
        <v>-588400</v>
      </c>
      <c r="H237" s="10" t="s">
        <v>58</v>
      </c>
      <c r="I237" s="4">
        <v>-22600</v>
      </c>
      <c r="J237" s="5">
        <v>83600</v>
      </c>
      <c r="K237" s="5"/>
      <c r="L237" s="5">
        <v>-6200</v>
      </c>
      <c r="M237" s="5">
        <f t="shared" si="42"/>
        <v>67200</v>
      </c>
      <c r="N237" s="7">
        <v>-586200</v>
      </c>
      <c r="O237">
        <v>-6150</v>
      </c>
      <c r="P237" s="10" t="s">
        <v>52</v>
      </c>
      <c r="Q237" s="4">
        <v>-6150</v>
      </c>
      <c r="R237" s="5">
        <v>64680</v>
      </c>
      <c r="S237" s="5">
        <v>-5399.9999999999982</v>
      </c>
      <c r="T237" s="5">
        <f t="shared" si="45"/>
        <v>63930</v>
      </c>
      <c r="U237" s="7">
        <v>-270480</v>
      </c>
    </row>
    <row r="238" spans="1:21" x14ac:dyDescent="0.25">
      <c r="A238" s="10" t="s">
        <v>41</v>
      </c>
      <c r="B238" s="4">
        <v>-7560</v>
      </c>
      <c r="C238" s="5">
        <v>112350</v>
      </c>
      <c r="D238" s="5">
        <v>41833.75</v>
      </c>
      <c r="E238" s="5">
        <f>+B238+C238-D238</f>
        <v>62956.25</v>
      </c>
      <c r="F238" s="7">
        <v>-412746.25</v>
      </c>
      <c r="H238" s="10" t="s">
        <v>41</v>
      </c>
      <c r="I238" s="4">
        <v>-20230</v>
      </c>
      <c r="J238" s="5">
        <v>-36426.25</v>
      </c>
      <c r="K238" s="5"/>
      <c r="L238" s="5">
        <v>-8023.75</v>
      </c>
      <c r="M238" s="5">
        <f t="shared" si="42"/>
        <v>-48632.5</v>
      </c>
      <c r="N238" s="7">
        <v>-481748.75</v>
      </c>
      <c r="O238">
        <v>-8200</v>
      </c>
      <c r="P238" s="10" t="s">
        <v>58</v>
      </c>
      <c r="Q238" s="4">
        <v>-8200</v>
      </c>
      <c r="R238" s="5">
        <v>127200</v>
      </c>
      <c r="S238" s="5">
        <v>-13200</v>
      </c>
      <c r="T238" s="5">
        <f>+Q238+R238-S238</f>
        <v>132200</v>
      </c>
      <c r="U238" s="7">
        <v>-663800</v>
      </c>
    </row>
    <row r="239" spans="1:21" x14ac:dyDescent="0.25">
      <c r="A239" s="10" t="s">
        <v>38</v>
      </c>
      <c r="B239" s="4">
        <v>-3450</v>
      </c>
      <c r="C239" s="5">
        <v>93060</v>
      </c>
      <c r="D239" s="5">
        <v>-41685</v>
      </c>
      <c r="E239" s="5">
        <f>+B239+C239-D239</f>
        <v>131295</v>
      </c>
      <c r="F239" s="7">
        <v>-365850</v>
      </c>
      <c r="H239" s="10" t="s">
        <v>38</v>
      </c>
      <c r="I239" s="4">
        <v>-31155</v>
      </c>
      <c r="J239" s="5">
        <v>-17475</v>
      </c>
      <c r="K239" s="5"/>
      <c r="L239" s="5">
        <v>-5220</v>
      </c>
      <c r="M239" s="5">
        <f t="shared" si="42"/>
        <v>-43410</v>
      </c>
      <c r="N239" s="7">
        <v>-276750</v>
      </c>
      <c r="O239">
        <v>-19775</v>
      </c>
      <c r="P239" s="10" t="s">
        <v>41</v>
      </c>
      <c r="Q239" s="4">
        <v>-19775</v>
      </c>
      <c r="R239" s="5">
        <v>48046.25</v>
      </c>
      <c r="S239" s="5">
        <v>51546.25</v>
      </c>
      <c r="T239" s="5">
        <f>+Q239+R239-S239</f>
        <v>-23275</v>
      </c>
      <c r="U239" s="7">
        <v>-581402.5</v>
      </c>
    </row>
    <row r="240" spans="1:21" x14ac:dyDescent="0.25">
      <c r="A240" s="10" t="s">
        <v>94</v>
      </c>
      <c r="B240" s="4">
        <v>20340</v>
      </c>
      <c r="C240" s="5">
        <v>11070</v>
      </c>
      <c r="D240" s="5">
        <v>14130</v>
      </c>
      <c r="E240" s="5">
        <f t="shared" ref="E240:E242" si="46">+B240+C240-D240</f>
        <v>17280</v>
      </c>
      <c r="F240" s="7">
        <v>-528660</v>
      </c>
      <c r="H240" s="10" t="s">
        <v>94</v>
      </c>
      <c r="I240" s="4">
        <f>1260-36900</f>
        <v>-35640</v>
      </c>
      <c r="J240" s="5">
        <v>87660</v>
      </c>
      <c r="K240" s="5"/>
      <c r="L240" s="5">
        <v>-14940</v>
      </c>
      <c r="M240" s="5">
        <f t="shared" si="42"/>
        <v>66960</v>
      </c>
      <c r="N240" s="7">
        <v>-737730</v>
      </c>
      <c r="O240">
        <v>-10125</v>
      </c>
      <c r="P240" s="10" t="s">
        <v>38</v>
      </c>
      <c r="Q240" s="4">
        <v>-10125</v>
      </c>
      <c r="R240" s="5">
        <v>-32550</v>
      </c>
      <c r="S240" s="5">
        <v>-9825</v>
      </c>
      <c r="T240" s="5">
        <f>+Q240+R240-S240</f>
        <v>-32850</v>
      </c>
      <c r="U240" s="7">
        <v>-262200</v>
      </c>
    </row>
    <row r="241" spans="1:28" x14ac:dyDescent="0.25">
      <c r="A241" s="10" t="s">
        <v>46</v>
      </c>
      <c r="B241" s="4">
        <v>-28096</v>
      </c>
      <c r="C241" s="5">
        <v>0</v>
      </c>
      <c r="D241" s="5">
        <v>0</v>
      </c>
      <c r="E241" s="5">
        <f t="shared" si="46"/>
        <v>-28096</v>
      </c>
      <c r="F241" s="7">
        <v>-485640</v>
      </c>
      <c r="H241" s="10" t="s">
        <v>46</v>
      </c>
      <c r="I241" s="4">
        <v>-16411</v>
      </c>
      <c r="J241" s="5">
        <v>44412.5</v>
      </c>
      <c r="K241" s="5"/>
      <c r="L241" s="5">
        <v>18335</v>
      </c>
      <c r="M241" s="5">
        <f t="shared" si="42"/>
        <v>9666.5</v>
      </c>
      <c r="N241" s="7">
        <v>-528437.5</v>
      </c>
      <c r="O241">
        <v>-35730</v>
      </c>
      <c r="P241" s="10">
        <v>60000</v>
      </c>
      <c r="Q241" s="4">
        <v>-35730</v>
      </c>
      <c r="R241" s="5">
        <v>95220.000000000015</v>
      </c>
      <c r="S241" s="5">
        <v>-90</v>
      </c>
      <c r="T241" s="5">
        <f t="shared" ref="T241:T248" si="47">+Q241+R241-S241</f>
        <v>59580.000000000015</v>
      </c>
      <c r="U241" s="7">
        <v>-796050</v>
      </c>
    </row>
    <row r="242" spans="1:28" x14ac:dyDescent="0.25">
      <c r="A242" s="10" t="s">
        <v>15</v>
      </c>
      <c r="B242" s="4">
        <v>-18312</v>
      </c>
      <c r="C242" s="5">
        <v>0</v>
      </c>
      <c r="D242" s="5">
        <v>0</v>
      </c>
      <c r="E242" s="5">
        <f t="shared" si="46"/>
        <v>-18312</v>
      </c>
      <c r="F242" s="7">
        <v>-460125</v>
      </c>
      <c r="H242" s="10" t="s">
        <v>15</v>
      </c>
      <c r="I242" s="4">
        <v>96812</v>
      </c>
      <c r="J242" s="5">
        <v>-206875</v>
      </c>
      <c r="K242" s="5"/>
      <c r="L242" s="5">
        <v>-3562.5</v>
      </c>
      <c r="M242" s="5">
        <f t="shared" si="42"/>
        <v>-106500.5</v>
      </c>
      <c r="N242" s="7">
        <v>-732625</v>
      </c>
      <c r="O242">
        <v>-26813</v>
      </c>
      <c r="P242" s="10" t="s">
        <v>46</v>
      </c>
      <c r="Q242" s="4">
        <v>-26813</v>
      </c>
      <c r="R242" s="5">
        <v>81367.5</v>
      </c>
      <c r="S242" s="5">
        <v>-22800</v>
      </c>
      <c r="T242" s="5">
        <f t="shared" si="47"/>
        <v>77354.5</v>
      </c>
      <c r="U242" s="7">
        <v>-715730</v>
      </c>
    </row>
    <row r="243" spans="1:28" x14ac:dyDescent="0.25">
      <c r="A243" s="3" t="s">
        <v>107</v>
      </c>
      <c r="B243" s="6">
        <f>SUM(B223:B242)</f>
        <v>-416149</v>
      </c>
      <c r="C243" s="6">
        <f>SUM(C223:C242)</f>
        <v>701890</v>
      </c>
      <c r="D243" s="14">
        <f>SUM(D223:D242)</f>
        <v>297082.5</v>
      </c>
      <c r="E243" s="3">
        <f>SUM(E223:E242)</f>
        <v>-11341.5</v>
      </c>
      <c r="F243" s="8">
        <f>SUM(F223:F242)</f>
        <v>-9880163.75</v>
      </c>
      <c r="H243" s="3" t="s">
        <v>107</v>
      </c>
      <c r="I243" s="6">
        <f>SUM(I223:I242)</f>
        <v>-228580</v>
      </c>
      <c r="J243" s="6">
        <f>SUM(J223:J242)</f>
        <v>319667.5</v>
      </c>
      <c r="K243" s="6"/>
      <c r="L243" s="14">
        <f>SUM(L223:L242)</f>
        <v>176062.5</v>
      </c>
      <c r="M243" s="3">
        <f>SUM(M223:M242)</f>
        <v>-84974.999999999985</v>
      </c>
      <c r="N243" s="8">
        <f>SUM(N223:N242)</f>
        <v>-9976225</v>
      </c>
      <c r="O243">
        <v>-65625</v>
      </c>
      <c r="P243" s="10" t="s">
        <v>15</v>
      </c>
      <c r="Q243" s="4">
        <v>-65625</v>
      </c>
      <c r="R243" s="5">
        <v>12375</v>
      </c>
      <c r="S243" s="5">
        <v>13687.5</v>
      </c>
      <c r="T243" s="5">
        <f t="shared" si="47"/>
        <v>-66937.5</v>
      </c>
      <c r="U243" s="7">
        <v>-833750</v>
      </c>
    </row>
    <row r="244" spans="1:28" x14ac:dyDescent="0.25">
      <c r="O244">
        <v>-18917</v>
      </c>
      <c r="P244" s="10">
        <v>-100000</v>
      </c>
      <c r="Q244" s="4">
        <v>-18917</v>
      </c>
      <c r="R244" s="5">
        <v>0</v>
      </c>
      <c r="S244" s="5">
        <v>0</v>
      </c>
      <c r="T244" s="5">
        <f t="shared" si="47"/>
        <v>-18917</v>
      </c>
      <c r="U244" s="7">
        <v>-299000</v>
      </c>
    </row>
    <row r="245" spans="1:28" x14ac:dyDescent="0.25">
      <c r="O245">
        <v>17110</v>
      </c>
      <c r="P245" s="10" t="s">
        <v>89</v>
      </c>
      <c r="Q245" s="4">
        <v>17110</v>
      </c>
      <c r="R245" s="5">
        <v>0</v>
      </c>
      <c r="S245" s="5">
        <v>0</v>
      </c>
      <c r="T245" s="5">
        <f t="shared" si="47"/>
        <v>17110</v>
      </c>
      <c r="U245" s="7">
        <v>-289130</v>
      </c>
    </row>
    <row r="246" spans="1:28" x14ac:dyDescent="0.25">
      <c r="O246">
        <v>-18480</v>
      </c>
      <c r="P246" s="10" t="s">
        <v>49</v>
      </c>
      <c r="Q246" s="4">
        <v>-18480</v>
      </c>
      <c r="R246" s="5">
        <v>0</v>
      </c>
      <c r="S246" s="5">
        <v>0</v>
      </c>
      <c r="T246" s="5">
        <f t="shared" si="47"/>
        <v>-18480</v>
      </c>
      <c r="U246" s="7">
        <v>-344040</v>
      </c>
    </row>
    <row r="247" spans="1:28" x14ac:dyDescent="0.25">
      <c r="O247">
        <v>-5670</v>
      </c>
      <c r="P247" s="10" t="s">
        <v>101</v>
      </c>
      <c r="Q247" s="4">
        <v>-5670</v>
      </c>
      <c r="R247" s="5">
        <v>0</v>
      </c>
      <c r="S247" s="5">
        <v>0</v>
      </c>
      <c r="T247" s="5">
        <f t="shared" si="47"/>
        <v>-5670</v>
      </c>
      <c r="U247" s="7">
        <v>-313290</v>
      </c>
    </row>
    <row r="248" spans="1:28" x14ac:dyDescent="0.25">
      <c r="O248">
        <v>30196</v>
      </c>
      <c r="P248" s="10">
        <v>-52000</v>
      </c>
      <c r="Q248" s="4">
        <v>30196</v>
      </c>
      <c r="R248" s="5">
        <v>0</v>
      </c>
      <c r="S248" s="5">
        <v>0</v>
      </c>
      <c r="T248" s="5">
        <f t="shared" si="47"/>
        <v>30196</v>
      </c>
      <c r="U248" s="7">
        <v>-282315</v>
      </c>
    </row>
    <row r="249" spans="1:28" x14ac:dyDescent="0.25">
      <c r="O249">
        <v>-308947</v>
      </c>
      <c r="P249" s="3"/>
      <c r="Q249" s="6">
        <f>SUM(Q224:Q248)</f>
        <v>-308947</v>
      </c>
      <c r="R249" s="6">
        <f>SUM(R224:R248)</f>
        <v>954876.25</v>
      </c>
      <c r="S249" s="14">
        <f>SUM(S224:S248)</f>
        <v>44206.25</v>
      </c>
      <c r="T249" s="3">
        <f>SUM(T224:T248)</f>
        <v>601723</v>
      </c>
      <c r="U249" s="8">
        <f>SUM(U224:U248)</f>
        <v>-12411926.25</v>
      </c>
    </row>
    <row r="251" spans="1:28" x14ac:dyDescent="0.25">
      <c r="A251" s="122">
        <v>44792</v>
      </c>
      <c r="B251" s="123"/>
      <c r="C251" s="123"/>
      <c r="D251" s="123"/>
      <c r="E251" s="123"/>
      <c r="F251" s="123"/>
      <c r="P251">
        <v>65000</v>
      </c>
    </row>
    <row r="252" spans="1:28" x14ac:dyDescent="0.25">
      <c r="A252" s="6" t="s">
        <v>34</v>
      </c>
      <c r="B252" s="6" t="s">
        <v>104</v>
      </c>
      <c r="C252" s="6" t="s">
        <v>105</v>
      </c>
      <c r="D252" s="6" t="s">
        <v>106</v>
      </c>
      <c r="E252" s="3" t="s">
        <v>108</v>
      </c>
      <c r="F252" s="3" t="s">
        <v>28</v>
      </c>
      <c r="H252" s="122">
        <v>44795</v>
      </c>
      <c r="I252" s="123"/>
      <c r="J252" s="123"/>
      <c r="K252" s="123"/>
      <c r="L252" s="123"/>
      <c r="M252" s="123"/>
      <c r="N252" s="123"/>
      <c r="P252">
        <v>78000</v>
      </c>
    </row>
    <row r="253" spans="1:28" x14ac:dyDescent="0.25">
      <c r="A253" s="10" t="s">
        <v>99</v>
      </c>
      <c r="B253" s="5">
        <v>5582</v>
      </c>
      <c r="C253" s="5">
        <v>176907.5</v>
      </c>
      <c r="D253" s="7">
        <v>27335</v>
      </c>
      <c r="E253" s="5">
        <f t="shared" ref="E253:E260" si="48">+B253+C253-D253</f>
        <v>155154.5</v>
      </c>
      <c r="F253" s="7">
        <v>-826402.5</v>
      </c>
      <c r="H253" s="6" t="s">
        <v>34</v>
      </c>
      <c r="I253" s="6" t="s">
        <v>104</v>
      </c>
      <c r="J253" s="6" t="s">
        <v>105</v>
      </c>
      <c r="K253" s="6" t="s">
        <v>112</v>
      </c>
      <c r="L253" s="6" t="s">
        <v>106</v>
      </c>
      <c r="M253" s="3" t="s">
        <v>108</v>
      </c>
      <c r="N253" s="3" t="s">
        <v>28</v>
      </c>
    </row>
    <row r="254" spans="1:28" x14ac:dyDescent="0.25">
      <c r="A254" s="10" t="s">
        <v>40</v>
      </c>
      <c r="B254" s="5">
        <v>67581</v>
      </c>
      <c r="C254" s="5">
        <v>-72600</v>
      </c>
      <c r="D254" s="7">
        <v>19868.75</v>
      </c>
      <c r="E254" s="5">
        <f t="shared" si="48"/>
        <v>-24887.75</v>
      </c>
      <c r="F254" s="7">
        <v>-637587.5</v>
      </c>
      <c r="H254" s="10" t="s">
        <v>99</v>
      </c>
      <c r="I254" s="5">
        <v>-2887</v>
      </c>
      <c r="J254" s="5">
        <v>250634.99999999997</v>
      </c>
      <c r="K254" s="5">
        <f t="shared" ref="K254:K277" si="49">+I254+J254</f>
        <v>247747.99999999997</v>
      </c>
      <c r="L254" s="7">
        <v>56595</v>
      </c>
      <c r="M254" s="5">
        <f t="shared" ref="M254:M277" si="50">+I254+J254-L254</f>
        <v>191152.99999999997</v>
      </c>
      <c r="N254" s="7">
        <v>-409640</v>
      </c>
      <c r="P254" s="122">
        <v>0</v>
      </c>
      <c r="Q254" s="123"/>
      <c r="R254" s="123"/>
      <c r="S254" s="123"/>
      <c r="T254" s="123"/>
      <c r="U254" s="123"/>
      <c r="W254" s="122">
        <v>44796</v>
      </c>
      <c r="X254" s="123"/>
      <c r="Y254" s="123"/>
      <c r="Z254" s="123"/>
      <c r="AA254" s="123"/>
      <c r="AB254" s="123"/>
    </row>
    <row r="255" spans="1:28" x14ac:dyDescent="0.25">
      <c r="A255" s="10" t="s">
        <v>42</v>
      </c>
      <c r="B255" s="5">
        <v>-51975</v>
      </c>
      <c r="C255" s="5">
        <v>109200</v>
      </c>
      <c r="D255" s="7">
        <v>-9975</v>
      </c>
      <c r="E255" s="5">
        <f t="shared" si="48"/>
        <v>67200</v>
      </c>
      <c r="F255" s="7">
        <v>-597900</v>
      </c>
      <c r="H255" s="10" t="s">
        <v>94</v>
      </c>
      <c r="I255" s="4">
        <v>-59850</v>
      </c>
      <c r="J255" s="5">
        <v>231930</v>
      </c>
      <c r="K255" s="5">
        <f t="shared" si="49"/>
        <v>172080</v>
      </c>
      <c r="L255" s="5">
        <v>66420</v>
      </c>
      <c r="M255" s="5">
        <f t="shared" si="50"/>
        <v>105660</v>
      </c>
      <c r="N255" s="7">
        <v>-522990</v>
      </c>
      <c r="O255" t="s">
        <v>104</v>
      </c>
      <c r="P255" s="6"/>
      <c r="Q255" s="6" t="s">
        <v>104</v>
      </c>
      <c r="R255" s="6" t="s">
        <v>105</v>
      </c>
      <c r="S255" s="6" t="s">
        <v>106</v>
      </c>
      <c r="T255" s="3" t="s">
        <v>108</v>
      </c>
      <c r="U255" s="3" t="s">
        <v>28</v>
      </c>
      <c r="W255" s="6" t="s">
        <v>34</v>
      </c>
      <c r="X255" s="6" t="s">
        <v>104</v>
      </c>
      <c r="Y255" s="6" t="s">
        <v>105</v>
      </c>
      <c r="Z255" s="6" t="s">
        <v>106</v>
      </c>
      <c r="AA255" s="3" t="s">
        <v>108</v>
      </c>
      <c r="AB255" s="3" t="s">
        <v>28</v>
      </c>
    </row>
    <row r="256" spans="1:28" x14ac:dyDescent="0.25">
      <c r="A256" s="10" t="s">
        <v>14</v>
      </c>
      <c r="B256" s="5">
        <v>48705</v>
      </c>
      <c r="C256" s="5">
        <v>20804.999999999993</v>
      </c>
      <c r="D256" s="7">
        <v>-6615</v>
      </c>
      <c r="E256" s="5">
        <f t="shared" si="48"/>
        <v>76125</v>
      </c>
      <c r="F256" s="7">
        <v>-363150</v>
      </c>
      <c r="H256" s="10" t="s">
        <v>49</v>
      </c>
      <c r="I256" s="4">
        <f>29280-3400</f>
        <v>25880</v>
      </c>
      <c r="J256" s="5">
        <v>80720.000000000029</v>
      </c>
      <c r="K256" s="5">
        <f t="shared" si="49"/>
        <v>106600.00000000003</v>
      </c>
      <c r="L256" s="5">
        <v>21760</v>
      </c>
      <c r="M256" s="5">
        <f t="shared" si="50"/>
        <v>84840.000000000029</v>
      </c>
      <c r="N256" s="7">
        <v>-91480</v>
      </c>
      <c r="O256">
        <v>-58905</v>
      </c>
      <c r="P256" s="10" t="s">
        <v>99</v>
      </c>
      <c r="Q256" s="5">
        <v>-58905</v>
      </c>
      <c r="R256" s="5">
        <v>251405.00000000003</v>
      </c>
      <c r="S256" s="7">
        <v>15785</v>
      </c>
      <c r="T256" s="5">
        <f t="shared" ref="T256:T263" si="51">+Q256+R256-S256</f>
        <v>176715.00000000003</v>
      </c>
      <c r="U256" s="7">
        <v>-353430</v>
      </c>
      <c r="W256" s="10" t="s">
        <v>99</v>
      </c>
      <c r="X256" s="5">
        <v>-89127</v>
      </c>
      <c r="Y256" s="5">
        <v>190575.00000000003</v>
      </c>
      <c r="Z256" s="7">
        <v>15785</v>
      </c>
      <c r="AA256" s="5">
        <f t="shared" ref="AA256:AA261" si="52">+X256+Y256-Z256</f>
        <v>85663.000000000029</v>
      </c>
      <c r="AB256" s="7">
        <v>-353430</v>
      </c>
    </row>
    <row r="257" spans="1:28" x14ac:dyDescent="0.25">
      <c r="A257" s="10" t="s">
        <v>111</v>
      </c>
      <c r="B257" s="5">
        <v>97875</v>
      </c>
      <c r="C257" s="5">
        <v>-83250</v>
      </c>
      <c r="D257" s="7">
        <v>-2475</v>
      </c>
      <c r="E257" s="5">
        <f t="shared" si="48"/>
        <v>17100</v>
      </c>
      <c r="F257" s="7">
        <v>-418500</v>
      </c>
      <c r="H257" s="10" t="s">
        <v>111</v>
      </c>
      <c r="I257" s="5">
        <v>30600</v>
      </c>
      <c r="J257" s="5">
        <v>55350</v>
      </c>
      <c r="K257" s="5">
        <f t="shared" si="49"/>
        <v>85950</v>
      </c>
      <c r="L257" s="7">
        <v>41850</v>
      </c>
      <c r="M257" s="5">
        <f t="shared" si="50"/>
        <v>44100</v>
      </c>
      <c r="N257" s="7">
        <v>-134550</v>
      </c>
      <c r="O257">
        <v>-25300</v>
      </c>
      <c r="P257" s="10" t="s">
        <v>40</v>
      </c>
      <c r="Q257" s="5">
        <v>-25300</v>
      </c>
      <c r="R257" s="5">
        <v>73768.75</v>
      </c>
      <c r="S257" s="7">
        <v>3575</v>
      </c>
      <c r="T257" s="5">
        <f t="shared" si="51"/>
        <v>44893.75</v>
      </c>
      <c r="U257" s="7">
        <v>-176550</v>
      </c>
      <c r="W257" s="10" t="s">
        <v>40</v>
      </c>
      <c r="X257" s="5">
        <v>37056</v>
      </c>
      <c r="Y257" s="5">
        <v>-14368.75</v>
      </c>
      <c r="Z257" s="7">
        <v>-1650</v>
      </c>
      <c r="AA257" s="5">
        <f t="shared" si="52"/>
        <v>24337.25</v>
      </c>
      <c r="AB257" s="7">
        <v>-176550</v>
      </c>
    </row>
    <row r="258" spans="1:28" x14ac:dyDescent="0.25">
      <c r="A258" s="10" t="s">
        <v>43</v>
      </c>
      <c r="B258" s="5">
        <v>23625</v>
      </c>
      <c r="C258" s="5">
        <v>7437.5</v>
      </c>
      <c r="D258" s="7">
        <v>3625</v>
      </c>
      <c r="E258" s="5">
        <f t="shared" si="48"/>
        <v>27437.5</v>
      </c>
      <c r="F258" s="7">
        <v>-698312.5</v>
      </c>
      <c r="H258" s="10" t="s">
        <v>55</v>
      </c>
      <c r="I258" s="5">
        <v>30200</v>
      </c>
      <c r="J258" s="5">
        <v>49600</v>
      </c>
      <c r="K258" s="5">
        <f t="shared" si="49"/>
        <v>79800</v>
      </c>
      <c r="L258" s="7">
        <v>9400</v>
      </c>
      <c r="M258" s="5">
        <f t="shared" si="50"/>
        <v>70400</v>
      </c>
      <c r="N258" s="7">
        <v>-66100</v>
      </c>
      <c r="O258">
        <v>375</v>
      </c>
      <c r="P258" s="10" t="s">
        <v>42</v>
      </c>
      <c r="Q258" s="5">
        <v>375</v>
      </c>
      <c r="R258" s="5">
        <v>144000</v>
      </c>
      <c r="S258" s="7">
        <v>19800</v>
      </c>
      <c r="T258" s="5">
        <f t="shared" si="51"/>
        <v>124575</v>
      </c>
      <c r="U258" s="7">
        <v>-277500</v>
      </c>
      <c r="W258" s="10" t="s">
        <v>42</v>
      </c>
      <c r="X258" s="5">
        <v>-6600</v>
      </c>
      <c r="Y258" s="5">
        <v>230625</v>
      </c>
      <c r="Z258" s="7">
        <v>63750</v>
      </c>
      <c r="AA258" s="5">
        <f t="shared" si="52"/>
        <v>160275</v>
      </c>
      <c r="AB258" s="7">
        <v>-277500</v>
      </c>
    </row>
    <row r="259" spans="1:28" x14ac:dyDescent="0.25">
      <c r="A259" s="10" t="s">
        <v>57</v>
      </c>
      <c r="B259" s="5">
        <v>7950</v>
      </c>
      <c r="C259" s="5">
        <v>-12993.75</v>
      </c>
      <c r="D259" s="7">
        <v>-2775</v>
      </c>
      <c r="E259" s="5">
        <f t="shared" si="48"/>
        <v>-2268.75</v>
      </c>
      <c r="F259" s="7">
        <v>-347193.75</v>
      </c>
      <c r="H259" s="10" t="s">
        <v>101</v>
      </c>
      <c r="I259" s="4">
        <v>49860</v>
      </c>
      <c r="J259" s="5">
        <v>25080</v>
      </c>
      <c r="K259" s="5">
        <f t="shared" si="49"/>
        <v>74940</v>
      </c>
      <c r="L259" s="5">
        <v>-5280</v>
      </c>
      <c r="M259" s="5">
        <f t="shared" si="50"/>
        <v>80220</v>
      </c>
      <c r="N259" s="7">
        <v>-275190</v>
      </c>
      <c r="O259">
        <v>-31815</v>
      </c>
      <c r="P259" s="10"/>
      <c r="Q259" s="5">
        <v>-31815</v>
      </c>
      <c r="R259" s="5">
        <v>62610</v>
      </c>
      <c r="S259" s="7">
        <v>7290</v>
      </c>
      <c r="T259" s="5">
        <f t="shared" si="51"/>
        <v>23505</v>
      </c>
      <c r="U259" s="7">
        <v>0</v>
      </c>
      <c r="W259" s="10" t="s">
        <v>43</v>
      </c>
      <c r="X259" s="5">
        <v>13125</v>
      </c>
      <c r="Y259" s="5">
        <v>-3500</v>
      </c>
      <c r="Z259" s="7">
        <v>20750</v>
      </c>
      <c r="AA259" s="5">
        <f t="shared" si="52"/>
        <v>-11125</v>
      </c>
      <c r="AB259" s="7">
        <v>-441375</v>
      </c>
    </row>
    <row r="260" spans="1:28" x14ac:dyDescent="0.25">
      <c r="A260" s="10" t="s">
        <v>62</v>
      </c>
      <c r="B260" s="5">
        <v>-48112.5</v>
      </c>
      <c r="C260" s="5">
        <v>176175</v>
      </c>
      <c r="D260" s="7">
        <v>16293.75</v>
      </c>
      <c r="E260" s="5">
        <f t="shared" si="48"/>
        <v>111768.75</v>
      </c>
      <c r="F260" s="7">
        <v>-732012.5</v>
      </c>
      <c r="H260" s="10" t="s">
        <v>19</v>
      </c>
      <c r="I260" s="5">
        <v>1325</v>
      </c>
      <c r="J260" s="5">
        <v>59475</v>
      </c>
      <c r="K260" s="5">
        <f t="shared" si="49"/>
        <v>60800</v>
      </c>
      <c r="L260" s="7">
        <v>6000</v>
      </c>
      <c r="M260" s="5">
        <f t="shared" si="50"/>
        <v>54800</v>
      </c>
      <c r="N260" s="7">
        <v>-92850</v>
      </c>
      <c r="O260">
        <v>-80775</v>
      </c>
      <c r="P260" s="10" t="s">
        <v>111</v>
      </c>
      <c r="Q260" s="5">
        <v>-80775</v>
      </c>
      <c r="R260" s="5">
        <v>44550</v>
      </c>
      <c r="S260" s="7">
        <v>-2700</v>
      </c>
      <c r="T260" s="5">
        <f t="shared" si="51"/>
        <v>-33525</v>
      </c>
      <c r="U260" s="7">
        <v>0</v>
      </c>
      <c r="W260" s="10" t="s">
        <v>57</v>
      </c>
      <c r="X260" s="5">
        <v>-28631</v>
      </c>
      <c r="Y260" s="5">
        <v>68662.5</v>
      </c>
      <c r="Z260" s="7">
        <v>3168.75</v>
      </c>
      <c r="AA260" s="5">
        <f t="shared" si="52"/>
        <v>36862.75</v>
      </c>
      <c r="AB260" s="7">
        <v>-126468.75</v>
      </c>
    </row>
    <row r="261" spans="1:28" x14ac:dyDescent="0.25">
      <c r="A261" s="10" t="s">
        <v>56</v>
      </c>
      <c r="B261" s="5">
        <v>-122025</v>
      </c>
      <c r="C261" s="5">
        <v>-100775</v>
      </c>
      <c r="D261" s="7">
        <v>-10250</v>
      </c>
      <c r="E261" s="5">
        <f>+B261+C261-D261</f>
        <v>-212550</v>
      </c>
      <c r="F261" s="7">
        <v>-542350</v>
      </c>
      <c r="H261" s="10" t="s">
        <v>40</v>
      </c>
      <c r="I261" s="5">
        <v>106975</v>
      </c>
      <c r="J261" s="5">
        <v>-60156.25</v>
      </c>
      <c r="K261" s="5">
        <f t="shared" si="49"/>
        <v>46818.75</v>
      </c>
      <c r="L261" s="7">
        <v>-14781.25</v>
      </c>
      <c r="M261" s="5">
        <f t="shared" si="50"/>
        <v>61600</v>
      </c>
      <c r="N261" s="7">
        <v>-171737.5</v>
      </c>
      <c r="O261">
        <v>-35937</v>
      </c>
      <c r="P261" s="10" t="s">
        <v>43</v>
      </c>
      <c r="Q261" s="5">
        <v>-35937</v>
      </c>
      <c r="R261" s="5">
        <v>319312.5</v>
      </c>
      <c r="S261" s="7">
        <v>117062.5</v>
      </c>
      <c r="T261" s="5">
        <f t="shared" si="51"/>
        <v>166313</v>
      </c>
      <c r="U261" s="7">
        <v>-441375</v>
      </c>
      <c r="W261" s="10" t="s">
        <v>62</v>
      </c>
      <c r="X261" s="5">
        <f>212425+27243</f>
        <v>239668</v>
      </c>
      <c r="Y261" s="5">
        <v>-125962.5</v>
      </c>
      <c r="Z261" s="7">
        <v>23112.499999999996</v>
      </c>
      <c r="AA261" s="5">
        <f t="shared" si="52"/>
        <v>90593</v>
      </c>
      <c r="AB261" s="7">
        <v>-350550</v>
      </c>
    </row>
    <row r="262" spans="1:28" x14ac:dyDescent="0.25">
      <c r="A262" s="10" t="s">
        <v>53</v>
      </c>
      <c r="B262" s="5">
        <v>232</v>
      </c>
      <c r="C262" s="5">
        <v>63085.000000000029</v>
      </c>
      <c r="D262" s="7">
        <v>1085</v>
      </c>
      <c r="E262" s="5">
        <f t="shared" ref="E262:E266" si="53">+B262+C262-D262</f>
        <v>62232.000000000029</v>
      </c>
      <c r="F262" s="7">
        <v>-641855</v>
      </c>
      <c r="H262" s="10" t="s">
        <v>57</v>
      </c>
      <c r="I262" s="5">
        <v>5231</v>
      </c>
      <c r="J262" s="5">
        <v>23156.25</v>
      </c>
      <c r="K262" s="5">
        <f t="shared" si="49"/>
        <v>28387.25</v>
      </c>
      <c r="L262" s="7">
        <v>2831.25</v>
      </c>
      <c r="M262" s="5">
        <f t="shared" si="50"/>
        <v>25556</v>
      </c>
      <c r="N262" s="7">
        <v>-153412.5</v>
      </c>
      <c r="O262">
        <v>-59756</v>
      </c>
      <c r="P262" s="10" t="s">
        <v>57</v>
      </c>
      <c r="Q262" s="5">
        <v>-59756</v>
      </c>
      <c r="R262" s="5">
        <v>21525</v>
      </c>
      <c r="S262" s="7">
        <v>-9356.25</v>
      </c>
      <c r="T262" s="5">
        <f t="shared" si="51"/>
        <v>-28874.75</v>
      </c>
      <c r="U262" s="7">
        <v>-126468.75</v>
      </c>
      <c r="W262" s="10" t="s">
        <v>56</v>
      </c>
      <c r="X262" s="5">
        <v>-46825</v>
      </c>
      <c r="Y262" s="5">
        <v>286225</v>
      </c>
      <c r="Z262" s="7">
        <v>-22900</v>
      </c>
      <c r="AA262" s="5">
        <f>+X262+Y262-Z262</f>
        <v>262300</v>
      </c>
      <c r="AB262" s="7">
        <v>-496425</v>
      </c>
    </row>
    <row r="263" spans="1:28" x14ac:dyDescent="0.25">
      <c r="A263" s="10" t="s">
        <v>19</v>
      </c>
      <c r="B263" s="5">
        <v>-32725</v>
      </c>
      <c r="C263" s="5">
        <v>47700</v>
      </c>
      <c r="D263" s="7">
        <v>5500</v>
      </c>
      <c r="E263" s="5">
        <f t="shared" si="53"/>
        <v>9475</v>
      </c>
      <c r="F263" s="7">
        <v>-270225</v>
      </c>
      <c r="H263" s="10" t="s">
        <v>38</v>
      </c>
      <c r="I263" s="4">
        <v>-7237</v>
      </c>
      <c r="J263" s="5">
        <v>30705</v>
      </c>
      <c r="K263" s="5">
        <f t="shared" si="49"/>
        <v>23468</v>
      </c>
      <c r="L263" s="5">
        <v>5865</v>
      </c>
      <c r="M263" s="5">
        <f t="shared" si="50"/>
        <v>17603</v>
      </c>
      <c r="N263" s="7">
        <v>-15750</v>
      </c>
      <c r="O263">
        <v>-482780</v>
      </c>
      <c r="P263" s="10">
        <v>-39000</v>
      </c>
      <c r="Q263" s="5">
        <v>-482780</v>
      </c>
      <c r="R263" s="5">
        <v>297662.5</v>
      </c>
      <c r="S263" s="7">
        <v>-5662.5</v>
      </c>
      <c r="T263" s="5">
        <f t="shared" si="51"/>
        <v>-179455</v>
      </c>
      <c r="U263" s="7">
        <v>-350550</v>
      </c>
      <c r="W263" s="10" t="s">
        <v>53</v>
      </c>
      <c r="X263" s="5">
        <v>-102067</v>
      </c>
      <c r="Y263" s="5">
        <v>298840</v>
      </c>
      <c r="Z263" s="7">
        <v>30225</v>
      </c>
      <c r="AA263" s="5">
        <f t="shared" ref="AA263:AA265" si="54">+X263+Y263-Z263</f>
        <v>166548</v>
      </c>
      <c r="AB263" s="7">
        <v>-463450</v>
      </c>
    </row>
    <row r="264" spans="1:28" x14ac:dyDescent="0.25">
      <c r="A264" s="10" t="s">
        <v>55</v>
      </c>
      <c r="B264" s="5">
        <v>227600</v>
      </c>
      <c r="C264" s="5">
        <v>-189700</v>
      </c>
      <c r="D264" s="7">
        <v>23300</v>
      </c>
      <c r="E264" s="5">
        <f t="shared" si="53"/>
        <v>14600</v>
      </c>
      <c r="F264" s="7">
        <v>-511500</v>
      </c>
      <c r="H264" s="10" t="s">
        <v>52</v>
      </c>
      <c r="I264" s="4">
        <v>10050</v>
      </c>
      <c r="J264" s="5">
        <v>10800</v>
      </c>
      <c r="K264" s="5">
        <f t="shared" si="49"/>
        <v>20850</v>
      </c>
      <c r="L264" s="5">
        <v>29340</v>
      </c>
      <c r="M264" s="5">
        <f t="shared" si="50"/>
        <v>-8490</v>
      </c>
      <c r="N264" s="7">
        <v>0</v>
      </c>
      <c r="O264">
        <v>-75</v>
      </c>
      <c r="P264" s="10" t="s">
        <v>56</v>
      </c>
      <c r="Q264" s="5">
        <v>-75</v>
      </c>
      <c r="R264" s="5">
        <v>329375</v>
      </c>
      <c r="S264" s="7">
        <v>11575</v>
      </c>
      <c r="T264" s="5">
        <f>+Q264+R264-S264</f>
        <v>317725</v>
      </c>
      <c r="U264" s="7">
        <v>-496425</v>
      </c>
      <c r="W264" s="10" t="s">
        <v>19</v>
      </c>
      <c r="X264" s="5">
        <v>280187</v>
      </c>
      <c r="Y264" s="5">
        <v>-252337.5</v>
      </c>
      <c r="Z264" s="7">
        <v>-5062.5</v>
      </c>
      <c r="AA264" s="5">
        <f t="shared" si="54"/>
        <v>32912</v>
      </c>
      <c r="AB264" s="7">
        <v>-60375</v>
      </c>
    </row>
    <row r="265" spans="1:28" x14ac:dyDescent="0.25">
      <c r="A265" s="10" t="s">
        <v>20</v>
      </c>
      <c r="B265" s="5">
        <v>-67000</v>
      </c>
      <c r="C265" s="5">
        <v>-9750</v>
      </c>
      <c r="D265" s="7">
        <v>-9750</v>
      </c>
      <c r="E265" s="5">
        <f t="shared" si="53"/>
        <v>-67000</v>
      </c>
      <c r="F265" s="7">
        <v>-173750</v>
      </c>
      <c r="H265" s="10" t="s">
        <v>14</v>
      </c>
      <c r="I265" s="5">
        <v>-2235</v>
      </c>
      <c r="J265" s="5">
        <v>22980</v>
      </c>
      <c r="K265" s="5">
        <f t="shared" si="49"/>
        <v>20745</v>
      </c>
      <c r="L265" s="7">
        <v>23115</v>
      </c>
      <c r="M265" s="5">
        <f t="shared" si="50"/>
        <v>-2370</v>
      </c>
      <c r="N265" s="7">
        <v>-53369.999999999993</v>
      </c>
      <c r="O265">
        <v>-32007</v>
      </c>
      <c r="P265" s="10" t="s">
        <v>53</v>
      </c>
      <c r="Q265" s="5">
        <v>-32007</v>
      </c>
      <c r="R265" s="5">
        <v>209715</v>
      </c>
      <c r="S265" s="7">
        <v>8137.5</v>
      </c>
      <c r="T265" s="5">
        <f t="shared" ref="T265:T269" si="55">+Q265+R265-S265</f>
        <v>169570.5</v>
      </c>
      <c r="U265" s="7">
        <v>-463450</v>
      </c>
      <c r="W265" s="10" t="s">
        <v>58</v>
      </c>
      <c r="X265" s="5">
        <v>-90400</v>
      </c>
      <c r="Y265" s="5">
        <v>151000</v>
      </c>
      <c r="Z265" s="7">
        <v>27400</v>
      </c>
      <c r="AA265" s="5">
        <f t="shared" si="54"/>
        <v>33200</v>
      </c>
      <c r="AB265" s="7">
        <v>-420000</v>
      </c>
    </row>
    <row r="266" spans="1:28" x14ac:dyDescent="0.25">
      <c r="A266" s="10" t="s">
        <v>52</v>
      </c>
      <c r="B266" s="4">
        <v>5850</v>
      </c>
      <c r="C266" s="5">
        <v>-2219.9999999999927</v>
      </c>
      <c r="D266" s="5">
        <v>17160</v>
      </c>
      <c r="E266" s="5">
        <f t="shared" si="53"/>
        <v>-13529.999999999993</v>
      </c>
      <c r="F266" s="7">
        <v>-270480</v>
      </c>
      <c r="H266" s="10" t="s">
        <v>89</v>
      </c>
      <c r="I266" s="4">
        <v>-15225</v>
      </c>
      <c r="J266" s="5">
        <v>31755</v>
      </c>
      <c r="K266" s="5">
        <f t="shared" si="49"/>
        <v>16530</v>
      </c>
      <c r="L266" s="5">
        <v>-7395</v>
      </c>
      <c r="M266" s="5">
        <f t="shared" si="50"/>
        <v>23925</v>
      </c>
      <c r="N266" s="7">
        <v>-265060</v>
      </c>
      <c r="O266">
        <v>-5537</v>
      </c>
      <c r="P266" s="10">
        <v>-28275</v>
      </c>
      <c r="Q266" s="5">
        <v>-5537</v>
      </c>
      <c r="R266" s="5">
        <v>20600</v>
      </c>
      <c r="S266" s="7">
        <v>17200</v>
      </c>
      <c r="T266" s="5">
        <f t="shared" si="55"/>
        <v>-2137</v>
      </c>
      <c r="U266" s="7">
        <v>-60375</v>
      </c>
      <c r="W266" s="10" t="s">
        <v>94</v>
      </c>
      <c r="X266" s="4">
        <v>560250</v>
      </c>
      <c r="Y266" s="5">
        <v>-758070.00000000012</v>
      </c>
      <c r="Z266" s="5">
        <v>75690</v>
      </c>
      <c r="AA266" s="5">
        <f>+X266+Y266-Z266</f>
        <v>-273510.00000000012</v>
      </c>
      <c r="AB266" s="7">
        <v>-451800</v>
      </c>
    </row>
    <row r="267" spans="1:28" x14ac:dyDescent="0.25">
      <c r="A267" s="10" t="s">
        <v>58</v>
      </c>
      <c r="B267" s="4">
        <v>30000</v>
      </c>
      <c r="C267" s="5">
        <v>-16199.999999999944</v>
      </c>
      <c r="D267" s="5">
        <v>8400</v>
      </c>
      <c r="E267" s="5">
        <f>+B267+C267-D267</f>
        <v>5400.0000000000564</v>
      </c>
      <c r="F267" s="7">
        <v>-663800</v>
      </c>
      <c r="H267" s="10" t="s">
        <v>43</v>
      </c>
      <c r="I267" s="5">
        <v>-299187</v>
      </c>
      <c r="J267" s="5">
        <v>305875</v>
      </c>
      <c r="K267" s="5">
        <f t="shared" si="49"/>
        <v>6688</v>
      </c>
      <c r="L267" s="7">
        <v>2375</v>
      </c>
      <c r="M267" s="5">
        <f t="shared" si="50"/>
        <v>4313</v>
      </c>
      <c r="N267" s="7">
        <v>-433625</v>
      </c>
      <c r="O267">
        <v>-22400</v>
      </c>
      <c r="P267" s="10" t="s">
        <v>55</v>
      </c>
      <c r="Q267" s="5">
        <v>-22400</v>
      </c>
      <c r="R267" s="5">
        <v>25800</v>
      </c>
      <c r="S267" s="7">
        <v>-7200</v>
      </c>
      <c r="T267" s="5">
        <f t="shared" si="55"/>
        <v>10600</v>
      </c>
      <c r="U267" s="7">
        <v>0</v>
      </c>
      <c r="W267" s="10" t="s">
        <v>46</v>
      </c>
      <c r="X267" s="4">
        <v>-57071</v>
      </c>
      <c r="Y267" s="5">
        <v>178885</v>
      </c>
      <c r="Z267" s="5">
        <v>36385</v>
      </c>
      <c r="AA267" s="5">
        <f>+X267+Y267-Z267</f>
        <v>85429</v>
      </c>
      <c r="AB267" s="7">
        <v>-626715</v>
      </c>
    </row>
    <row r="268" spans="1:28" x14ac:dyDescent="0.25">
      <c r="A268" s="10" t="s">
        <v>41</v>
      </c>
      <c r="B268" s="4">
        <v>-22671</v>
      </c>
      <c r="C268" s="5">
        <v>108071.25</v>
      </c>
      <c r="D268" s="5">
        <v>-13982.500000000004</v>
      </c>
      <c r="E268" s="5">
        <f>+B268+C268-D268</f>
        <v>99382.75</v>
      </c>
      <c r="F268" s="7">
        <v>-581402.5</v>
      </c>
      <c r="H268" s="10" t="s">
        <v>58</v>
      </c>
      <c r="I268" s="4">
        <v>-1800</v>
      </c>
      <c r="J268" s="5">
        <v>-3200</v>
      </c>
      <c r="K268" s="5">
        <f t="shared" si="49"/>
        <v>-5000</v>
      </c>
      <c r="L268" s="5">
        <v>-4000</v>
      </c>
      <c r="M268" s="5">
        <f t="shared" si="50"/>
        <v>-1000</v>
      </c>
      <c r="N268" s="7">
        <v>-404400</v>
      </c>
      <c r="O268">
        <v>-16800</v>
      </c>
      <c r="P268" s="10" t="s">
        <v>58</v>
      </c>
      <c r="Q268" s="5">
        <v>-16800</v>
      </c>
      <c r="R268" s="5">
        <v>209200</v>
      </c>
      <c r="S268" s="7">
        <v>27400</v>
      </c>
      <c r="T268" s="5">
        <f t="shared" si="55"/>
        <v>165000</v>
      </c>
      <c r="U268" s="7">
        <v>-420000</v>
      </c>
      <c r="W268" s="10" t="s">
        <v>15</v>
      </c>
      <c r="X268" s="4">
        <v>-103812</v>
      </c>
      <c r="Y268" s="5">
        <v>176250</v>
      </c>
      <c r="Z268" s="5">
        <v>13312.5</v>
      </c>
      <c r="AA268" s="5">
        <f t="shared" ref="AA268:AA271" si="56">+X268+Y268-Z268</f>
        <v>59125.5</v>
      </c>
      <c r="AB268" s="7">
        <v>-390000</v>
      </c>
    </row>
    <row r="269" spans="1:28" x14ac:dyDescent="0.25">
      <c r="A269" s="10" t="s">
        <v>38</v>
      </c>
      <c r="B269" s="4">
        <v>25627</v>
      </c>
      <c r="C269" s="5">
        <v>35640</v>
      </c>
      <c r="D269" s="5">
        <v>-8130</v>
      </c>
      <c r="E269" s="5">
        <f>+B269+C269-D269</f>
        <v>69397</v>
      </c>
      <c r="F269" s="7">
        <v>-262200</v>
      </c>
      <c r="H269" s="10" t="s">
        <v>53</v>
      </c>
      <c r="I269" s="5">
        <v>-46655</v>
      </c>
      <c r="J269" s="5">
        <v>40222.5</v>
      </c>
      <c r="K269" s="5">
        <f t="shared" si="49"/>
        <v>-6432.5</v>
      </c>
      <c r="L269" s="7">
        <v>85482.5</v>
      </c>
      <c r="M269" s="5">
        <f t="shared" si="50"/>
        <v>-91915</v>
      </c>
      <c r="N269" s="7">
        <v>-444540</v>
      </c>
      <c r="O269">
        <v>-22487</v>
      </c>
      <c r="P269" s="10">
        <v>46800</v>
      </c>
      <c r="Q269" s="4">
        <v>-22487</v>
      </c>
      <c r="R269" s="5">
        <v>13886.25</v>
      </c>
      <c r="S269" s="5">
        <v>-15093.75</v>
      </c>
      <c r="T269" s="5">
        <f t="shared" si="55"/>
        <v>6493</v>
      </c>
      <c r="U269" s="7">
        <v>0</v>
      </c>
      <c r="W269" s="10" t="s">
        <v>89</v>
      </c>
      <c r="X269" s="4">
        <v>-16820</v>
      </c>
      <c r="Y269" s="5">
        <v>104980</v>
      </c>
      <c r="Z269" s="5">
        <v>22185</v>
      </c>
      <c r="AA269" s="5">
        <f t="shared" si="56"/>
        <v>65975</v>
      </c>
      <c r="AB269" s="7">
        <v>-293625</v>
      </c>
    </row>
    <row r="270" spans="1:28" x14ac:dyDescent="0.25">
      <c r="A270" s="10" t="s">
        <v>94</v>
      </c>
      <c r="B270" s="4">
        <v>82890</v>
      </c>
      <c r="C270" s="5">
        <v>-29880</v>
      </c>
      <c r="D270" s="5">
        <v>180</v>
      </c>
      <c r="E270" s="5">
        <f t="shared" ref="E270:E277" si="57">+B270+C270-D270</f>
        <v>52830</v>
      </c>
      <c r="F270" s="7">
        <v>-796050</v>
      </c>
      <c r="H270" s="10" t="s">
        <v>41</v>
      </c>
      <c r="I270" s="4">
        <v>35052</v>
      </c>
      <c r="J270" s="5">
        <v>-42647.5</v>
      </c>
      <c r="K270" s="5">
        <f t="shared" si="49"/>
        <v>-7595.5</v>
      </c>
      <c r="L270" s="5">
        <v>20781.25</v>
      </c>
      <c r="M270" s="5">
        <f t="shared" si="50"/>
        <v>-28376.75</v>
      </c>
      <c r="N270" s="7">
        <v>-116550</v>
      </c>
      <c r="O270">
        <v>-9915</v>
      </c>
      <c r="P270" s="10">
        <v>58500</v>
      </c>
      <c r="Q270" s="4">
        <v>-9915</v>
      </c>
      <c r="R270" s="5">
        <v>3937.5</v>
      </c>
      <c r="S270" s="5">
        <v>2295</v>
      </c>
      <c r="T270" s="5">
        <f>+Q270+R270-S270</f>
        <v>-8272.5</v>
      </c>
      <c r="U270" s="7">
        <v>0</v>
      </c>
      <c r="W270" s="10" t="s">
        <v>101</v>
      </c>
      <c r="X270" s="4">
        <v>-2160</v>
      </c>
      <c r="Y270" s="5">
        <v>122490</v>
      </c>
      <c r="Z270" s="5">
        <v>4110</v>
      </c>
      <c r="AA270" s="5">
        <f t="shared" si="56"/>
        <v>116220</v>
      </c>
      <c r="AB270" s="7">
        <v>-264540</v>
      </c>
    </row>
    <row r="271" spans="1:28" x14ac:dyDescent="0.25">
      <c r="A271" s="10" t="s">
        <v>46</v>
      </c>
      <c r="B271" s="4">
        <v>92672</v>
      </c>
      <c r="C271" s="5">
        <v>-142215</v>
      </c>
      <c r="D271" s="5">
        <v>20092.5</v>
      </c>
      <c r="E271" s="5">
        <f t="shared" si="57"/>
        <v>-69635.5</v>
      </c>
      <c r="F271" s="7">
        <v>-715730</v>
      </c>
      <c r="H271" s="10" t="s">
        <v>15</v>
      </c>
      <c r="I271" s="4">
        <v>209625</v>
      </c>
      <c r="J271" s="5">
        <v>-227562.5</v>
      </c>
      <c r="K271" s="5">
        <f t="shared" si="49"/>
        <v>-17937.5</v>
      </c>
      <c r="L271" s="5">
        <v>57999.999999999985</v>
      </c>
      <c r="M271" s="5">
        <f t="shared" si="50"/>
        <v>-75937.499999999985</v>
      </c>
      <c r="N271" s="7">
        <v>-463687.5</v>
      </c>
      <c r="O271">
        <v>-104220</v>
      </c>
      <c r="P271" s="10">
        <v>61425</v>
      </c>
      <c r="Q271" s="4">
        <v>-104220</v>
      </c>
      <c r="R271" s="5">
        <v>285120</v>
      </c>
      <c r="S271" s="5">
        <v>40950</v>
      </c>
      <c r="T271" s="5">
        <f>+Q271+R271-S271</f>
        <v>139950</v>
      </c>
      <c r="U271" s="7">
        <v>-451800</v>
      </c>
      <c r="W271" s="10" t="s">
        <v>44</v>
      </c>
      <c r="X271" s="4">
        <v>-101427</v>
      </c>
      <c r="Y271" s="5">
        <v>123721.25</v>
      </c>
      <c r="Z271" s="5">
        <v>2573.75</v>
      </c>
      <c r="AA271" s="5">
        <f t="shared" si="56"/>
        <v>19720.5</v>
      </c>
      <c r="AB271" s="7">
        <v>-332521.25</v>
      </c>
    </row>
    <row r="272" spans="1:28" x14ac:dyDescent="0.25">
      <c r="A272" s="10" t="s">
        <v>15</v>
      </c>
      <c r="B272" s="4">
        <v>214562</v>
      </c>
      <c r="C272" s="5">
        <v>-324062.5</v>
      </c>
      <c r="D272" s="5">
        <v>-10375</v>
      </c>
      <c r="E272" s="5">
        <f t="shared" si="57"/>
        <v>-99125.5</v>
      </c>
      <c r="F272" s="7">
        <v>-833750</v>
      </c>
      <c r="H272" s="10" t="s">
        <v>27</v>
      </c>
      <c r="I272" s="4">
        <v>46345</v>
      </c>
      <c r="J272" s="5">
        <v>-66182.5</v>
      </c>
      <c r="K272" s="5">
        <f t="shared" si="49"/>
        <v>-19837.5</v>
      </c>
      <c r="L272" s="5">
        <v>12305</v>
      </c>
      <c r="M272" s="5">
        <f t="shared" si="50"/>
        <v>-32142.5</v>
      </c>
      <c r="N272" s="7">
        <v>0</v>
      </c>
      <c r="O272">
        <v>-120103</v>
      </c>
      <c r="P272" s="10"/>
      <c r="Q272" s="4">
        <v>-120103</v>
      </c>
      <c r="R272" s="5">
        <v>249493.75</v>
      </c>
      <c r="S272" s="5">
        <v>-69777.5</v>
      </c>
      <c r="T272" s="5">
        <f>+Q272+R272-S272</f>
        <v>199168.25</v>
      </c>
      <c r="U272" s="7">
        <v>-626715</v>
      </c>
      <c r="W272" s="3" t="s">
        <v>107</v>
      </c>
      <c r="X272" s="6">
        <f>SUM(X256:X271)+10635+120-180</f>
        <v>495921</v>
      </c>
      <c r="Y272" s="6">
        <f>SUM(Y256:Y271)</f>
        <v>778014.99999999988</v>
      </c>
      <c r="Z272" s="14">
        <f>SUM(Z256:Z271)</f>
        <v>308835</v>
      </c>
      <c r="AA272" s="3">
        <f>SUM(AA256:AA271)</f>
        <v>954525.99999999988</v>
      </c>
      <c r="AB272" s="8">
        <f>SUM(AB256:AB271)</f>
        <v>-5525325</v>
      </c>
    </row>
    <row r="273" spans="1:21" x14ac:dyDescent="0.25">
      <c r="A273" s="10" t="s">
        <v>27</v>
      </c>
      <c r="B273" s="4">
        <v>55602</v>
      </c>
      <c r="C273" s="5">
        <v>-29842.499999999993</v>
      </c>
      <c r="D273" s="5">
        <v>-32947.5</v>
      </c>
      <c r="E273" s="5">
        <f t="shared" si="57"/>
        <v>58707.000000000007</v>
      </c>
      <c r="F273" s="7">
        <v>-299000</v>
      </c>
      <c r="H273" s="10" t="s">
        <v>44</v>
      </c>
      <c r="I273" s="4">
        <v>131478</v>
      </c>
      <c r="J273" s="5">
        <v>-162581.25</v>
      </c>
      <c r="K273" s="5">
        <f t="shared" si="49"/>
        <v>-31103.25</v>
      </c>
      <c r="L273" s="5">
        <v>24142.5</v>
      </c>
      <c r="M273" s="5">
        <f t="shared" si="50"/>
        <v>-55245.75</v>
      </c>
      <c r="N273" s="7">
        <v>-313018.75</v>
      </c>
      <c r="O273">
        <v>49000</v>
      </c>
      <c r="P273" s="10" t="s">
        <v>15</v>
      </c>
      <c r="Q273" s="4">
        <v>49000</v>
      </c>
      <c r="R273" s="5">
        <v>150437.49999999994</v>
      </c>
      <c r="S273" s="5">
        <v>42437.5</v>
      </c>
      <c r="T273" s="5">
        <f t="shared" ref="T273:T277" si="58">+Q273+R273-S273</f>
        <v>156999.99999999994</v>
      </c>
      <c r="U273" s="7">
        <v>-390000</v>
      </c>
    </row>
    <row r="274" spans="1:21" x14ac:dyDescent="0.25">
      <c r="A274" s="10" t="s">
        <v>89</v>
      </c>
      <c r="B274" s="4">
        <v>-24940</v>
      </c>
      <c r="C274" s="5">
        <v>38135</v>
      </c>
      <c r="D274" s="5">
        <v>18415</v>
      </c>
      <c r="E274" s="5">
        <f t="shared" si="57"/>
        <v>-5220</v>
      </c>
      <c r="F274" s="7">
        <v>-289130</v>
      </c>
      <c r="H274" s="10" t="s">
        <v>42</v>
      </c>
      <c r="I274" s="5">
        <v>111075</v>
      </c>
      <c r="J274" s="5">
        <v>-157500</v>
      </c>
      <c r="K274" s="5">
        <f t="shared" si="49"/>
        <v>-46425</v>
      </c>
      <c r="L274" s="7">
        <v>19350</v>
      </c>
      <c r="M274" s="5">
        <f t="shared" si="50"/>
        <v>-65775</v>
      </c>
      <c r="N274" s="7">
        <v>-404850</v>
      </c>
      <c r="O274">
        <v>-82215</v>
      </c>
      <c r="P274" s="10" t="s">
        <v>89</v>
      </c>
      <c r="Q274" s="4">
        <v>-82215</v>
      </c>
      <c r="R274" s="5">
        <v>134850</v>
      </c>
      <c r="S274" s="5">
        <v>4060</v>
      </c>
      <c r="T274" s="5">
        <f t="shared" si="58"/>
        <v>48575</v>
      </c>
      <c r="U274" s="7">
        <v>-293625</v>
      </c>
    </row>
    <row r="275" spans="1:21" x14ac:dyDescent="0.25">
      <c r="A275" s="10" t="s">
        <v>49</v>
      </c>
      <c r="B275" s="4">
        <v>84480</v>
      </c>
      <c r="C275" s="5">
        <v>-69400</v>
      </c>
      <c r="D275" s="5">
        <v>-19000</v>
      </c>
      <c r="E275" s="5">
        <f t="shared" si="57"/>
        <v>34080</v>
      </c>
      <c r="F275" s="7">
        <v>-344040</v>
      </c>
      <c r="H275" s="10" t="s">
        <v>46</v>
      </c>
      <c r="I275" s="4">
        <v>-287327</v>
      </c>
      <c r="J275" s="5">
        <v>93860</v>
      </c>
      <c r="K275" s="5">
        <f t="shared" si="49"/>
        <v>-193467</v>
      </c>
      <c r="L275" s="5">
        <v>45053.75</v>
      </c>
      <c r="M275" s="5">
        <f t="shared" si="50"/>
        <v>-238520.75</v>
      </c>
      <c r="N275" s="7">
        <v>-521312.5</v>
      </c>
      <c r="O275">
        <v>-61880</v>
      </c>
      <c r="P275" s="10" t="s">
        <v>49</v>
      </c>
      <c r="Q275" s="4">
        <v>-61880</v>
      </c>
      <c r="R275" s="5">
        <v>53240</v>
      </c>
      <c r="S275" s="5">
        <v>3600</v>
      </c>
      <c r="T275" s="5">
        <f t="shared" si="58"/>
        <v>-12240</v>
      </c>
      <c r="U275" s="7">
        <v>0</v>
      </c>
    </row>
    <row r="276" spans="1:21" x14ac:dyDescent="0.25">
      <c r="A276" s="10" t="s">
        <v>101</v>
      </c>
      <c r="B276" s="4">
        <v>-26400</v>
      </c>
      <c r="C276" s="5">
        <v>35639.999999999993</v>
      </c>
      <c r="D276" s="5">
        <v>-3750</v>
      </c>
      <c r="E276" s="5">
        <f t="shared" si="57"/>
        <v>12989.999999999993</v>
      </c>
      <c r="F276" s="7">
        <v>-313290</v>
      </c>
      <c r="H276" s="10" t="s">
        <v>56</v>
      </c>
      <c r="I276" s="5">
        <v>-293350</v>
      </c>
      <c r="J276" s="5">
        <v>30925</v>
      </c>
      <c r="K276" s="5">
        <f t="shared" si="49"/>
        <v>-262425</v>
      </c>
      <c r="L276" s="7">
        <v>56500</v>
      </c>
      <c r="M276" s="5">
        <f t="shared" si="50"/>
        <v>-318925</v>
      </c>
      <c r="N276" s="7">
        <v>-503825</v>
      </c>
      <c r="O276">
        <v>-131100</v>
      </c>
      <c r="P276" s="10" t="s">
        <v>101</v>
      </c>
      <c r="Q276" s="4">
        <v>-131100</v>
      </c>
      <c r="R276" s="5">
        <v>108480</v>
      </c>
      <c r="S276" s="5">
        <v>5430</v>
      </c>
      <c r="T276" s="5">
        <f t="shared" si="58"/>
        <v>-28050</v>
      </c>
      <c r="U276" s="7">
        <v>-264540</v>
      </c>
    </row>
    <row r="277" spans="1:21" x14ac:dyDescent="0.25">
      <c r="A277" s="10" t="s">
        <v>44</v>
      </c>
      <c r="B277" s="4">
        <v>47016</v>
      </c>
      <c r="C277" s="5">
        <v>-84498.75</v>
      </c>
      <c r="D277" s="5">
        <v>22475</v>
      </c>
      <c r="E277" s="5">
        <f t="shared" si="57"/>
        <v>-59957.75</v>
      </c>
      <c r="F277" s="7">
        <v>-282315</v>
      </c>
      <c r="H277" s="10" t="s">
        <v>62</v>
      </c>
      <c r="I277" s="5">
        <v>161325</v>
      </c>
      <c r="J277" s="5">
        <v>-436168.75</v>
      </c>
      <c r="K277" s="5">
        <f t="shared" si="49"/>
        <v>-274843.75</v>
      </c>
      <c r="L277" s="7">
        <v>64881.25</v>
      </c>
      <c r="M277" s="5">
        <f t="shared" si="50"/>
        <v>-339725</v>
      </c>
      <c r="N277" s="7">
        <v>-549562.5</v>
      </c>
      <c r="O277">
        <v>24251</v>
      </c>
      <c r="P277" s="10">
        <v>-62400</v>
      </c>
      <c r="Q277" s="4">
        <v>24251</v>
      </c>
      <c r="R277" s="5">
        <v>39367.500000000029</v>
      </c>
      <c r="S277" s="5">
        <v>-9642.5</v>
      </c>
      <c r="T277" s="5">
        <f t="shared" si="58"/>
        <v>73261.000000000029</v>
      </c>
      <c r="U277" s="7">
        <v>-332521.25</v>
      </c>
    </row>
    <row r="278" spans="1:21" x14ac:dyDescent="0.25">
      <c r="A278" s="3" t="s">
        <v>107</v>
      </c>
      <c r="B278" s="6">
        <f>SUM(B253:B277)</f>
        <v>722000.5</v>
      </c>
      <c r="C278" s="6">
        <f>SUM(C253:C277)</f>
        <v>-348591.24999999994</v>
      </c>
      <c r="D278" s="14">
        <f>SUM(D253:D277)</f>
        <v>53705</v>
      </c>
      <c r="E278" s="3">
        <f>SUM(E253:E277)</f>
        <v>319704.25000000006</v>
      </c>
      <c r="F278" s="8">
        <f>SUM(F253:F277)</f>
        <v>-12411926.25</v>
      </c>
      <c r="H278" s="3" t="s">
        <v>107</v>
      </c>
      <c r="I278" s="6">
        <f t="shared" ref="I278:N278" si="59">SUM(I254:I277)</f>
        <v>-60732</v>
      </c>
      <c r="J278" s="6">
        <f t="shared" si="59"/>
        <v>187070</v>
      </c>
      <c r="K278" s="5">
        <f t="shared" si="59"/>
        <v>126338</v>
      </c>
      <c r="L278" s="14">
        <f t="shared" si="59"/>
        <v>620591.25</v>
      </c>
      <c r="M278" s="3">
        <f t="shared" si="59"/>
        <v>-494253.25</v>
      </c>
      <c r="N278" s="8">
        <f t="shared" si="59"/>
        <v>-6407501.25</v>
      </c>
      <c r="O278">
        <v>-1310381</v>
      </c>
      <c r="P278" s="3" t="s">
        <v>107</v>
      </c>
      <c r="Q278" s="6">
        <f>SUM(Q256:Q277)</f>
        <v>-1310381</v>
      </c>
      <c r="R278" s="6">
        <f>SUM(R256:R277)</f>
        <v>3048336.25</v>
      </c>
      <c r="S278" s="14">
        <f>SUM(S256:S277)</f>
        <v>207165</v>
      </c>
      <c r="T278" s="3">
        <f>SUM(T256:T277)</f>
        <v>1530790.25</v>
      </c>
      <c r="U278" s="8">
        <f>SUM(U256:U277)</f>
        <v>-5525325</v>
      </c>
    </row>
    <row r="279" spans="1:21" x14ac:dyDescent="0.25">
      <c r="P279">
        <v>46800</v>
      </c>
    </row>
    <row r="281" spans="1:21" x14ac:dyDescent="0.25">
      <c r="A281" s="122">
        <v>44798</v>
      </c>
      <c r="B281" s="123"/>
      <c r="C281" s="123"/>
      <c r="D281" s="123"/>
      <c r="E281" s="123"/>
      <c r="F281" s="123"/>
      <c r="G281" s="123"/>
    </row>
    <row r="282" spans="1:21" x14ac:dyDescent="0.25">
      <c r="A282" s="6" t="s">
        <v>34</v>
      </c>
      <c r="B282" s="6" t="s">
        <v>104</v>
      </c>
      <c r="C282" s="6" t="s">
        <v>105</v>
      </c>
      <c r="D282" s="6" t="s">
        <v>112</v>
      </c>
      <c r="E282" s="6" t="s">
        <v>106</v>
      </c>
      <c r="F282" s="3" t="s">
        <v>108</v>
      </c>
      <c r="G282" s="3" t="s">
        <v>28</v>
      </c>
    </row>
    <row r="283" spans="1:21" x14ac:dyDescent="0.25">
      <c r="A283" s="10" t="s">
        <v>42</v>
      </c>
      <c r="B283" s="5">
        <v>-73800</v>
      </c>
      <c r="C283" s="5">
        <v>28500</v>
      </c>
      <c r="D283" s="5">
        <f t="shared" ref="D283:D291" si="60">+B283+C283</f>
        <v>-45300</v>
      </c>
      <c r="E283" s="5">
        <v>-2175</v>
      </c>
      <c r="F283" s="5">
        <f t="shared" ref="F283:F291" si="61">+B283+C283-E283</f>
        <v>-43125</v>
      </c>
      <c r="G283" s="5">
        <v>0</v>
      </c>
      <c r="P283">
        <v>-70000</v>
      </c>
    </row>
    <row r="284" spans="1:21" x14ac:dyDescent="0.25">
      <c r="A284" s="10" t="s">
        <v>62</v>
      </c>
      <c r="B284" s="5">
        <v>-29125</v>
      </c>
      <c r="C284" s="5">
        <v>104281.25</v>
      </c>
      <c r="D284" s="5">
        <f t="shared" si="60"/>
        <v>75156.25</v>
      </c>
      <c r="E284" s="5">
        <v>11062.5</v>
      </c>
      <c r="F284" s="5">
        <f t="shared" si="61"/>
        <v>64093.75</v>
      </c>
      <c r="G284" s="5">
        <v>0</v>
      </c>
    </row>
    <row r="285" spans="1:21" x14ac:dyDescent="0.25">
      <c r="A285" s="10" t="s">
        <v>53</v>
      </c>
      <c r="B285" s="5">
        <v>-54947</v>
      </c>
      <c r="C285" s="5">
        <v>114157.50000000001</v>
      </c>
      <c r="D285" s="5">
        <f t="shared" si="60"/>
        <v>59210.500000000015</v>
      </c>
      <c r="E285" s="5">
        <v>17437.5</v>
      </c>
      <c r="F285" s="5">
        <f t="shared" si="61"/>
        <v>41773.000000000015</v>
      </c>
      <c r="G285" s="5">
        <v>0</v>
      </c>
    </row>
    <row r="286" spans="1:21" x14ac:dyDescent="0.25">
      <c r="A286" s="10" t="s">
        <v>58</v>
      </c>
      <c r="B286" s="5">
        <v>-456400</v>
      </c>
      <c r="C286" s="5">
        <v>413000</v>
      </c>
      <c r="D286" s="5">
        <f t="shared" si="60"/>
        <v>-43400</v>
      </c>
      <c r="E286" s="5">
        <v>82400</v>
      </c>
      <c r="F286" s="5">
        <f t="shared" si="61"/>
        <v>-125800</v>
      </c>
      <c r="G286" s="5">
        <v>0</v>
      </c>
      <c r="P286">
        <v>40000</v>
      </c>
    </row>
    <row r="287" spans="1:21" x14ac:dyDescent="0.25">
      <c r="A287" s="10" t="s">
        <v>94</v>
      </c>
      <c r="B287" s="5">
        <v>-76860</v>
      </c>
      <c r="C287" s="5">
        <v>330660</v>
      </c>
      <c r="D287" s="5">
        <f t="shared" si="60"/>
        <v>253800</v>
      </c>
      <c r="E287" s="5">
        <v>40410</v>
      </c>
      <c r="F287" s="5">
        <f t="shared" si="61"/>
        <v>213390</v>
      </c>
      <c r="G287" s="5">
        <v>0</v>
      </c>
      <c r="P287">
        <v>100000</v>
      </c>
    </row>
    <row r="288" spans="1:21" x14ac:dyDescent="0.25">
      <c r="A288" s="10" t="s">
        <v>15</v>
      </c>
      <c r="B288" s="5">
        <f>-82125+5250</f>
        <v>-76875</v>
      </c>
      <c r="C288" s="5">
        <v>55875</v>
      </c>
      <c r="D288" s="5">
        <f t="shared" si="60"/>
        <v>-21000</v>
      </c>
      <c r="E288" s="5">
        <v>21375</v>
      </c>
      <c r="F288" s="5">
        <f t="shared" si="61"/>
        <v>-42375</v>
      </c>
      <c r="G288" s="5">
        <v>0</v>
      </c>
      <c r="P288">
        <v>100000</v>
      </c>
    </row>
    <row r="289" spans="1:26" x14ac:dyDescent="0.25">
      <c r="A289" s="10" t="s">
        <v>89</v>
      </c>
      <c r="B289" s="5">
        <v>-106285</v>
      </c>
      <c r="C289" s="5">
        <v>84825</v>
      </c>
      <c r="D289" s="5">
        <f t="shared" si="60"/>
        <v>-21460</v>
      </c>
      <c r="E289" s="5">
        <v>-2755</v>
      </c>
      <c r="F289" s="5">
        <f t="shared" si="61"/>
        <v>-18705</v>
      </c>
      <c r="G289" s="5">
        <v>0</v>
      </c>
    </row>
    <row r="290" spans="1:26" x14ac:dyDescent="0.25">
      <c r="A290" s="10" t="s">
        <v>101</v>
      </c>
      <c r="B290" s="5">
        <v>-63270</v>
      </c>
      <c r="C290" s="5">
        <v>58740</v>
      </c>
      <c r="D290" s="5">
        <f t="shared" si="60"/>
        <v>-4530</v>
      </c>
      <c r="E290" s="5">
        <v>8940</v>
      </c>
      <c r="F290" s="5">
        <f t="shared" si="61"/>
        <v>-13470</v>
      </c>
      <c r="G290" s="5">
        <v>0</v>
      </c>
    </row>
    <row r="291" spans="1:26" x14ac:dyDescent="0.25">
      <c r="A291" s="10" t="s">
        <v>44</v>
      </c>
      <c r="B291" s="5">
        <v>-137133</v>
      </c>
      <c r="C291" s="5">
        <v>120313.75</v>
      </c>
      <c r="D291" s="5">
        <f t="shared" si="60"/>
        <v>-16819.25</v>
      </c>
      <c r="E291" s="5">
        <v>-4821.25</v>
      </c>
      <c r="F291" s="5">
        <f t="shared" si="61"/>
        <v>-11998</v>
      </c>
      <c r="G291" s="5">
        <v>0</v>
      </c>
    </row>
    <row r="292" spans="1:26" x14ac:dyDescent="0.25">
      <c r="A292" s="3" t="s">
        <v>107</v>
      </c>
      <c r="B292" s="6">
        <f t="shared" ref="B292:G292" si="62">SUM(B283:B291)</f>
        <v>-1074695</v>
      </c>
      <c r="C292" s="6">
        <f t="shared" si="62"/>
        <v>1310352.5</v>
      </c>
      <c r="D292" s="5">
        <f t="shared" si="62"/>
        <v>235657.5</v>
      </c>
      <c r="E292" s="14">
        <f t="shared" si="62"/>
        <v>171873.75</v>
      </c>
      <c r="F292" s="3">
        <f t="shared" si="62"/>
        <v>63783.75</v>
      </c>
      <c r="G292" s="8">
        <f t="shared" si="62"/>
        <v>0</v>
      </c>
    </row>
    <row r="293" spans="1:26" x14ac:dyDescent="0.25">
      <c r="A293" s="12"/>
      <c r="B293" s="12"/>
      <c r="C293" s="12"/>
      <c r="D293" s="12"/>
      <c r="E293" s="12"/>
      <c r="F293" s="12"/>
    </row>
    <row r="294" spans="1:26" x14ac:dyDescent="0.25">
      <c r="A294" s="12"/>
      <c r="B294" s="12"/>
      <c r="C294" s="12"/>
      <c r="D294" s="12"/>
      <c r="E294" s="12"/>
      <c r="F294" s="12"/>
      <c r="K294">
        <f>+F292+T278+M278+E278+AA272+T249+M243+E243+E212+M219+T220+AA220</f>
        <v>2682627.25</v>
      </c>
      <c r="P294">
        <v>-40000</v>
      </c>
    </row>
    <row r="295" spans="1:26" x14ac:dyDescent="0.25">
      <c r="A295" s="12"/>
      <c r="B295" s="12"/>
      <c r="C295" s="12"/>
      <c r="D295" s="12"/>
      <c r="E295" s="12"/>
      <c r="F295" s="12"/>
    </row>
    <row r="296" spans="1:26" x14ac:dyDescent="0.25">
      <c r="A296" s="12"/>
      <c r="B296" s="12"/>
      <c r="C296" s="12"/>
      <c r="D296" s="12"/>
      <c r="E296" s="12"/>
      <c r="F296" s="12"/>
    </row>
    <row r="297" spans="1:26" x14ac:dyDescent="0.25">
      <c r="A297" s="12"/>
      <c r="B297" s="12"/>
      <c r="C297" s="12"/>
      <c r="D297" s="12"/>
      <c r="E297" s="12"/>
      <c r="F297" s="12"/>
    </row>
    <row r="298" spans="1:26" x14ac:dyDescent="0.25">
      <c r="A298" s="12"/>
      <c r="B298" s="12"/>
      <c r="C298" s="12"/>
      <c r="D298" s="12"/>
      <c r="E298" s="12"/>
      <c r="F298" s="12"/>
    </row>
    <row r="299" spans="1:26" x14ac:dyDescent="0.25">
      <c r="A299" s="12"/>
      <c r="B299" s="12"/>
      <c r="C299" s="12"/>
      <c r="D299" s="12"/>
      <c r="E299" s="12"/>
      <c r="F299" s="12"/>
    </row>
    <row r="300" spans="1:26" x14ac:dyDescent="0.25">
      <c r="A300" s="12"/>
      <c r="B300" s="12"/>
      <c r="C300" s="12"/>
      <c r="D300" s="12"/>
      <c r="E300" s="12"/>
      <c r="F300" s="12"/>
    </row>
    <row r="301" spans="1:26" x14ac:dyDescent="0.25">
      <c r="A301" s="12"/>
      <c r="B301" s="12"/>
      <c r="C301" s="12"/>
      <c r="D301" s="12"/>
      <c r="E301" s="12"/>
      <c r="F301" s="12"/>
    </row>
    <row r="302" spans="1:26" x14ac:dyDescent="0.25">
      <c r="A302" s="12" t="e">
        <f>RTD("nest.scriprtd",,"nse_fo|NIFTY26OCT2319450PE","Symbol")</f>
        <v>#N/A</v>
      </c>
      <c r="B302" s="12" t="e">
        <f>RTD("nest.scriprtd",,"nse_fo|NIFTY26OCT2319450PE","Series/Expiry")</f>
        <v>#N/A</v>
      </c>
      <c r="C302" s="12" t="e">
        <f>RTD("nest.scriprtd",,"nse_fo|NIFTY26OCT2319450PE","Bid Qty")</f>
        <v>#N/A</v>
      </c>
      <c r="D302" s="12" t="e">
        <f>RTD("nest.scriprtd",,"nse_fo|NIFTY26OCT2319450PE","Bid Rate")</f>
        <v>#N/A</v>
      </c>
      <c r="E302" s="12" t="e">
        <f>RTD("nest.scriprtd",,"nse_fo|NIFTY26OCT2319450PE","Ask Rate")</f>
        <v>#N/A</v>
      </c>
      <c r="F302" s="12" t="e">
        <f>RTD("nest.scriprtd",,"nse_fo|NIFTY26OCT2319450PE","Ask Qty")</f>
        <v>#N/A</v>
      </c>
      <c r="G302" t="e">
        <f>RTD("nest.scriprtd",,"nse_fo|NIFTY26OCT2319450PE","LTP")</f>
        <v>#N/A</v>
      </c>
      <c r="H302" t="e">
        <f>RTD("nest.scriprtd",,"nse_fo|NIFTY26OCT2319450PE","ATP")</f>
        <v>#N/A</v>
      </c>
      <c r="I302" t="e">
        <f>RTD("nest.scriprtd",,"nse_fo|NIFTY26OCT2319450PE","Volume Traded Today")</f>
        <v>#N/A</v>
      </c>
      <c r="J302" t="e">
        <f>RTD("nest.scriprtd",,"nse_fo|NIFTY26OCT2319450PE","% Change")</f>
        <v>#N/A</v>
      </c>
      <c r="K302" t="e">
        <f>RTD("nest.scriprtd",,"nse_fo|NIFTY26OCT2319450PE","Net Change")</f>
        <v>#N/A</v>
      </c>
      <c r="L302" t="e">
        <f>RTD("nest.scriprtd",,"nse_fo|NIFTY26OCT2319450PE","Strike Price")</f>
        <v>#N/A</v>
      </c>
      <c r="M302" t="e">
        <f>RTD("nest.scriprtd",,"nse_fo|NIFTY26OCT2319450PE","Option Type")</f>
        <v>#N/A</v>
      </c>
      <c r="O302">
        <v>6000</v>
      </c>
    </row>
    <row r="303" spans="1:26" x14ac:dyDescent="0.25">
      <c r="A303" s="12" t="e">
        <f>RTD("nest.scriprtd",,"nse_fo|NIFTY26OCT2319500PE","Symbol")</f>
        <v>#N/A</v>
      </c>
      <c r="B303" s="12" t="e">
        <f>RTD("nest.scriprtd",,"nse_fo|NIFTY26OCT2319500PE","Series/Expiry")</f>
        <v>#N/A</v>
      </c>
      <c r="C303" s="12" t="e">
        <f>RTD("nest.scriprtd",,"nse_fo|NIFTY26OCT2319500PE","Bid Qty")</f>
        <v>#N/A</v>
      </c>
      <c r="D303" s="12" t="e">
        <f>RTD("nest.scriprtd",,"nse_fo|NIFTY26OCT2319500PE","Bid Rate")</f>
        <v>#N/A</v>
      </c>
      <c r="E303" s="12" t="e">
        <f>RTD("nest.scriprtd",,"nse_fo|NIFTY26OCT2319500PE","Ask Rate")</f>
        <v>#N/A</v>
      </c>
      <c r="F303" s="12" t="e">
        <f>RTD("nest.scriprtd",,"nse_fo|NIFTY26OCT2319500PE","Ask Qty")</f>
        <v>#N/A</v>
      </c>
      <c r="G303" t="e">
        <f>RTD("nest.scriprtd",,"nse_fo|NIFTY26OCT2319500PE","LTP")</f>
        <v>#N/A</v>
      </c>
      <c r="H303" t="e">
        <f>RTD("nest.scriprtd",,"nse_fo|NIFTY26OCT2319500PE","ATP")</f>
        <v>#N/A</v>
      </c>
      <c r="I303" t="e">
        <f>RTD("nest.scriprtd",,"nse_fo|NIFTY26OCT2319500PE","Volume Traded Today")</f>
        <v>#N/A</v>
      </c>
      <c r="J303" t="e">
        <f>RTD("nest.scriprtd",,"nse_fo|NIFTY26OCT2319500PE","% Change")</f>
        <v>#N/A</v>
      </c>
      <c r="K303" t="e">
        <f>RTD("nest.scriprtd",,"nse_fo|NIFTY26OCT2319500PE","Net Change")</f>
        <v>#N/A</v>
      </c>
      <c r="L303" t="e">
        <f>RTD("nest.scriprtd",,"nse_fo|NIFTY26OCT2319500PE","Strike Price")</f>
        <v>#N/A</v>
      </c>
      <c r="M303" t="e">
        <f>RTD("nest.scriprtd",,"nse_fo|NIFTY26OCT2319500PE","Option Type")</f>
        <v>#N/A</v>
      </c>
      <c r="O303">
        <v>-3000</v>
      </c>
    </row>
    <row r="304" spans="1:26" x14ac:dyDescent="0.25">
      <c r="A304" s="12"/>
      <c r="B304" s="12"/>
      <c r="C304" s="12"/>
      <c r="D304" s="12"/>
      <c r="E304" s="12"/>
      <c r="F304" s="12"/>
      <c r="Z304">
        <f>SUM(Z301:Z303)</f>
        <v>0</v>
      </c>
    </row>
    <row r="305" spans="1:25" x14ac:dyDescent="0.25">
      <c r="A305" s="12"/>
      <c r="B305" s="12"/>
      <c r="C305" s="12"/>
      <c r="D305" s="12"/>
      <c r="E305" s="12"/>
      <c r="F305" s="12"/>
    </row>
    <row r="306" spans="1:25" x14ac:dyDescent="0.25">
      <c r="A306" s="12"/>
      <c r="B306" s="12"/>
      <c r="C306" s="12"/>
      <c r="D306" s="12"/>
      <c r="E306" s="12"/>
      <c r="F306" s="12"/>
      <c r="G306" s="12"/>
    </row>
    <row r="307" spans="1:25" x14ac:dyDescent="0.25">
      <c r="A307" s="122">
        <v>44811</v>
      </c>
      <c r="B307" s="123"/>
      <c r="C307" s="123"/>
      <c r="D307" s="123"/>
      <c r="E307" s="123"/>
      <c r="F307" s="123"/>
      <c r="G307" s="123"/>
      <c r="J307" s="122">
        <v>44812</v>
      </c>
      <c r="K307" s="123"/>
      <c r="L307" s="123"/>
      <c r="M307" s="123"/>
      <c r="N307" s="123"/>
      <c r="O307" s="123"/>
      <c r="P307" s="123"/>
      <c r="S307" s="124">
        <v>44813</v>
      </c>
      <c r="T307" s="124"/>
      <c r="U307" s="124"/>
      <c r="V307" s="124"/>
      <c r="W307" s="124"/>
      <c r="X307" s="124"/>
      <c r="Y307" s="124"/>
    </row>
    <row r="308" spans="1:25" x14ac:dyDescent="0.25">
      <c r="A308" s="6" t="s">
        <v>34</v>
      </c>
      <c r="B308" s="6" t="s">
        <v>104</v>
      </c>
      <c r="C308" s="6" t="s">
        <v>105</v>
      </c>
      <c r="D308" s="6" t="s">
        <v>112</v>
      </c>
      <c r="E308" s="6" t="s">
        <v>106</v>
      </c>
      <c r="F308" s="3" t="s">
        <v>108</v>
      </c>
      <c r="G308" s="3" t="s">
        <v>28</v>
      </c>
      <c r="J308" s="6" t="s">
        <v>34</v>
      </c>
      <c r="K308" s="6" t="s">
        <v>104</v>
      </c>
      <c r="L308" s="6" t="s">
        <v>105</v>
      </c>
      <c r="M308" s="6" t="s">
        <v>112</v>
      </c>
      <c r="N308" s="6" t="s">
        <v>106</v>
      </c>
      <c r="O308" s="3" t="s">
        <v>108</v>
      </c>
      <c r="P308" s="3" t="s">
        <v>28</v>
      </c>
      <c r="S308" s="6" t="s">
        <v>34</v>
      </c>
      <c r="T308" s="6" t="s">
        <v>104</v>
      </c>
      <c r="U308" s="6" t="s">
        <v>105</v>
      </c>
      <c r="V308" s="6" t="s">
        <v>112</v>
      </c>
      <c r="W308" s="6" t="s">
        <v>106</v>
      </c>
      <c r="X308" s="3" t="s">
        <v>108</v>
      </c>
      <c r="Y308" s="3" t="s">
        <v>28</v>
      </c>
    </row>
    <row r="309" spans="1:25" ht="15.75" x14ac:dyDescent="0.25">
      <c r="A309" s="10" t="s">
        <v>103</v>
      </c>
      <c r="B309" s="5">
        <v>-3982</v>
      </c>
      <c r="C309" s="5">
        <v>0</v>
      </c>
      <c r="D309" s="5">
        <f t="shared" ref="D309:D314" si="63">+B309+C309</f>
        <v>-3982</v>
      </c>
      <c r="E309" s="5">
        <v>0</v>
      </c>
      <c r="F309" s="5">
        <f t="shared" ref="F309:F314" si="64">+B309+C309-E309</f>
        <v>-3982</v>
      </c>
      <c r="G309" s="20">
        <v>-58680</v>
      </c>
      <c r="J309" s="10" t="s">
        <v>103</v>
      </c>
      <c r="K309" s="5">
        <v>-10134</v>
      </c>
      <c r="L309" s="5">
        <v>-6930</v>
      </c>
      <c r="M309" s="5">
        <f t="shared" ref="M309:M310" si="65">+K309+L309</f>
        <v>-17064</v>
      </c>
      <c r="N309" s="5">
        <v>450</v>
      </c>
      <c r="O309" s="5">
        <f t="shared" ref="O309:O310" si="66">+K309+L309-N309</f>
        <v>-17514</v>
      </c>
      <c r="P309" s="20">
        <v>-185040</v>
      </c>
      <c r="S309" s="10" t="s">
        <v>103</v>
      </c>
      <c r="T309" s="5">
        <v>-34557</v>
      </c>
      <c r="U309" s="5">
        <v>-3509.9999999999927</v>
      </c>
      <c r="V309" s="5">
        <f t="shared" ref="V309:V317" si="67">+T309+U309</f>
        <v>-38066.999999999993</v>
      </c>
      <c r="W309" s="5">
        <f>1080-2160</f>
        <v>-1080</v>
      </c>
      <c r="X309" s="5">
        <f t="shared" ref="X309:X317" si="68">+T309+U309-W309</f>
        <v>-36986.999999999993</v>
      </c>
      <c r="Y309" s="5">
        <v>-172620</v>
      </c>
    </row>
    <row r="310" spans="1:25" ht="15.75" x14ac:dyDescent="0.25">
      <c r="A310" s="10" t="s">
        <v>94</v>
      </c>
      <c r="B310" s="5">
        <v>-2767</v>
      </c>
      <c r="C310" s="5">
        <v>0</v>
      </c>
      <c r="D310" s="5">
        <f t="shared" si="63"/>
        <v>-2767</v>
      </c>
      <c r="E310" s="5">
        <v>0</v>
      </c>
      <c r="F310" s="5">
        <f t="shared" si="64"/>
        <v>-2767</v>
      </c>
      <c r="G310" s="20">
        <v>-55170</v>
      </c>
      <c r="J310" s="10" t="s">
        <v>94</v>
      </c>
      <c r="K310" s="5">
        <v>1608</v>
      </c>
      <c r="L310" s="5">
        <v>2430</v>
      </c>
      <c r="M310" s="5">
        <f t="shared" si="65"/>
        <v>4038</v>
      </c>
      <c r="N310" s="5">
        <v>-1080</v>
      </c>
      <c r="O310" s="5">
        <f t="shared" si="66"/>
        <v>5118</v>
      </c>
      <c r="P310" s="20">
        <v>-137610</v>
      </c>
      <c r="S310" s="10" t="s">
        <v>94</v>
      </c>
      <c r="T310" s="5">
        <v>-3365</v>
      </c>
      <c r="U310" s="5">
        <v>10530</v>
      </c>
      <c r="V310" s="5">
        <f t="shared" si="67"/>
        <v>7165</v>
      </c>
      <c r="W310" s="5">
        <v>5040</v>
      </c>
      <c r="X310" s="5">
        <f t="shared" si="68"/>
        <v>2125</v>
      </c>
      <c r="Y310" s="5">
        <v>-198090</v>
      </c>
    </row>
    <row r="311" spans="1:25" ht="15.75" x14ac:dyDescent="0.25">
      <c r="A311" s="10" t="s">
        <v>42</v>
      </c>
      <c r="B311" s="5">
        <v>2773</v>
      </c>
      <c r="C311" s="5">
        <v>0</v>
      </c>
      <c r="D311" s="5">
        <f t="shared" si="63"/>
        <v>2773</v>
      </c>
      <c r="E311" s="5">
        <v>0</v>
      </c>
      <c r="F311" s="5">
        <f t="shared" si="64"/>
        <v>2773</v>
      </c>
      <c r="G311" s="20">
        <v>-41250</v>
      </c>
      <c r="J311" s="10" t="s">
        <v>42</v>
      </c>
      <c r="K311" s="5">
        <v>-1150</v>
      </c>
      <c r="L311" s="5">
        <v>1500</v>
      </c>
      <c r="M311" s="5"/>
      <c r="N311" s="5"/>
      <c r="O311" s="5"/>
      <c r="P311" s="20"/>
      <c r="S311" s="10" t="s">
        <v>42</v>
      </c>
      <c r="T311" s="5">
        <v>2637</v>
      </c>
      <c r="U311" s="5">
        <v>13050</v>
      </c>
      <c r="V311" s="5">
        <f t="shared" si="67"/>
        <v>15687</v>
      </c>
      <c r="W311" s="5">
        <v>750</v>
      </c>
      <c r="X311" s="5">
        <f t="shared" si="68"/>
        <v>14937</v>
      </c>
      <c r="Y311" s="5">
        <v>-196050</v>
      </c>
    </row>
    <row r="312" spans="1:25" ht="15.75" x14ac:dyDescent="0.25">
      <c r="A312" s="10" t="s">
        <v>98</v>
      </c>
      <c r="B312" s="5">
        <v>-1615</v>
      </c>
      <c r="C312" s="5">
        <v>0</v>
      </c>
      <c r="D312" s="5">
        <f t="shared" si="63"/>
        <v>-1615</v>
      </c>
      <c r="E312" s="5">
        <v>0</v>
      </c>
      <c r="F312" s="5">
        <f t="shared" si="64"/>
        <v>-1615</v>
      </c>
      <c r="G312" s="20">
        <v>-61490</v>
      </c>
      <c r="J312" s="10" t="s">
        <v>98</v>
      </c>
      <c r="K312" s="5">
        <v>2653</v>
      </c>
      <c r="L312" s="5">
        <v>9890</v>
      </c>
      <c r="M312" s="5"/>
      <c r="N312" s="5"/>
      <c r="O312" s="5"/>
      <c r="P312" s="20"/>
      <c r="S312" s="10" t="s">
        <v>98</v>
      </c>
      <c r="T312" s="5">
        <v>-4530</v>
      </c>
      <c r="U312" s="5">
        <v>3440</v>
      </c>
      <c r="V312" s="5">
        <f t="shared" si="67"/>
        <v>-1090</v>
      </c>
      <c r="W312" s="5">
        <v>2150</v>
      </c>
      <c r="X312" s="5">
        <f t="shared" si="68"/>
        <v>-3240</v>
      </c>
      <c r="Y312" s="5">
        <v>-193500</v>
      </c>
    </row>
    <row r="313" spans="1:25" ht="15.75" x14ac:dyDescent="0.25">
      <c r="A313" s="10" t="s">
        <v>58</v>
      </c>
      <c r="B313" s="5">
        <v>-2464</v>
      </c>
      <c r="C313" s="5">
        <v>0</v>
      </c>
      <c r="D313" s="5">
        <f t="shared" si="63"/>
        <v>-2464</v>
      </c>
      <c r="E313" s="5">
        <v>0</v>
      </c>
      <c r="F313" s="5">
        <f t="shared" si="64"/>
        <v>-2464</v>
      </c>
      <c r="G313" s="20">
        <v>-54000</v>
      </c>
      <c r="J313" s="10" t="s">
        <v>58</v>
      </c>
      <c r="K313" s="5">
        <v>-2771</v>
      </c>
      <c r="L313" s="5">
        <v>800</v>
      </c>
      <c r="S313" s="10" t="s">
        <v>58</v>
      </c>
      <c r="T313" s="5">
        <v>-15980</v>
      </c>
      <c r="U313" s="5">
        <v>-6400</v>
      </c>
      <c r="V313" s="5">
        <f t="shared" si="67"/>
        <v>-22380</v>
      </c>
      <c r="W313" s="5">
        <v>-600</v>
      </c>
      <c r="X313" s="5">
        <f t="shared" si="68"/>
        <v>-21780</v>
      </c>
      <c r="Y313" s="5">
        <v>-210400</v>
      </c>
    </row>
    <row r="314" spans="1:25" ht="15.75" x14ac:dyDescent="0.25">
      <c r="A314" s="10" t="s">
        <v>66</v>
      </c>
      <c r="B314" s="5">
        <v>-534</v>
      </c>
      <c r="C314" s="5">
        <v>0</v>
      </c>
      <c r="D314" s="5">
        <f t="shared" si="63"/>
        <v>-534</v>
      </c>
      <c r="E314" s="5">
        <v>0</v>
      </c>
      <c r="F314" s="5">
        <f t="shared" si="64"/>
        <v>-534</v>
      </c>
      <c r="G314" s="20">
        <v>-53400</v>
      </c>
      <c r="J314" s="10" t="s">
        <v>66</v>
      </c>
      <c r="K314" s="5">
        <v>-2740</v>
      </c>
      <c r="L314" s="5">
        <v>-600</v>
      </c>
      <c r="S314" s="10" t="s">
        <v>66</v>
      </c>
      <c r="T314" s="5">
        <v>-1200</v>
      </c>
      <c r="U314" s="5">
        <v>2700</v>
      </c>
      <c r="V314" s="5">
        <f t="shared" si="67"/>
        <v>1500</v>
      </c>
      <c r="W314" s="5">
        <v>-3000</v>
      </c>
      <c r="X314" s="5">
        <f t="shared" si="68"/>
        <v>4500</v>
      </c>
      <c r="Y314" s="5">
        <v>-164400</v>
      </c>
    </row>
    <row r="315" spans="1:25" s="19" customFormat="1" ht="15.75" x14ac:dyDescent="0.25">
      <c r="A315" s="21" t="s">
        <v>107</v>
      </c>
      <c r="B315" s="22">
        <f t="shared" ref="B315:G315" si="69">SUM(B309:B314)</f>
        <v>-8589</v>
      </c>
      <c r="C315" s="22">
        <f t="shared" si="69"/>
        <v>0</v>
      </c>
      <c r="D315" s="23">
        <f t="shared" si="69"/>
        <v>-8589</v>
      </c>
      <c r="E315" s="18">
        <f t="shared" si="69"/>
        <v>0</v>
      </c>
      <c r="F315" s="21">
        <f t="shared" si="69"/>
        <v>-8589</v>
      </c>
      <c r="G315" s="17">
        <f t="shared" si="69"/>
        <v>-323990</v>
      </c>
      <c r="J315" s="21" t="s">
        <v>107</v>
      </c>
      <c r="K315" s="22">
        <f t="shared" ref="K315:L315" si="70">SUM(K309:K314)</f>
        <v>-12534</v>
      </c>
      <c r="L315" s="22">
        <f t="shared" si="70"/>
        <v>7090</v>
      </c>
      <c r="M315"/>
      <c r="N315"/>
      <c r="O315"/>
      <c r="P315"/>
      <c r="S315" s="10" t="s">
        <v>86</v>
      </c>
      <c r="T315" s="5">
        <v>2405</v>
      </c>
      <c r="U315" s="5">
        <v>0</v>
      </c>
      <c r="V315" s="5">
        <f t="shared" si="67"/>
        <v>2405</v>
      </c>
      <c r="W315" s="5">
        <v>0</v>
      </c>
      <c r="X315" s="5">
        <f t="shared" si="68"/>
        <v>2405</v>
      </c>
      <c r="Y315" s="5">
        <v>-145990</v>
      </c>
    </row>
    <row r="316" spans="1:25" x14ac:dyDescent="0.25">
      <c r="A316" s="12"/>
      <c r="B316" s="12"/>
      <c r="C316" s="12"/>
      <c r="D316" s="16"/>
      <c r="E316" s="12"/>
      <c r="F316" s="16"/>
      <c r="G316" s="12"/>
      <c r="S316" s="10" t="s">
        <v>62</v>
      </c>
      <c r="T316" s="5">
        <v>-531</v>
      </c>
      <c r="U316" s="5">
        <v>0</v>
      </c>
      <c r="V316" s="5">
        <f t="shared" si="67"/>
        <v>-531</v>
      </c>
      <c r="W316" s="5">
        <v>0</v>
      </c>
      <c r="X316" s="5">
        <f t="shared" si="68"/>
        <v>-531</v>
      </c>
      <c r="Y316" s="5">
        <v>-198375</v>
      </c>
    </row>
    <row r="317" spans="1:25" x14ac:dyDescent="0.25">
      <c r="A317" s="12"/>
      <c r="B317" s="12"/>
      <c r="C317" s="12"/>
      <c r="D317" s="16"/>
      <c r="E317" s="12"/>
      <c r="F317" s="16"/>
      <c r="G317" s="12"/>
      <c r="S317" s="10" t="s">
        <v>53</v>
      </c>
      <c r="T317" s="5">
        <v>-3410</v>
      </c>
      <c r="U317" s="5">
        <v>0</v>
      </c>
      <c r="V317" s="5">
        <f t="shared" si="67"/>
        <v>-3410</v>
      </c>
      <c r="W317" s="5">
        <v>0</v>
      </c>
      <c r="X317" s="5">
        <f t="shared" si="68"/>
        <v>-3410</v>
      </c>
      <c r="Y317" s="5">
        <v>-183287.5</v>
      </c>
    </row>
    <row r="318" spans="1:25" x14ac:dyDescent="0.25">
      <c r="A318" s="12"/>
      <c r="B318" s="12"/>
      <c r="C318" s="12"/>
      <c r="D318" s="16"/>
      <c r="E318" s="12"/>
      <c r="F318" s="16"/>
      <c r="G318" s="12"/>
      <c r="S318" s="3" t="s">
        <v>107</v>
      </c>
      <c r="T318" s="6">
        <f t="shared" ref="T318:Y318" si="71">SUM(T309:T317)</f>
        <v>-58531</v>
      </c>
      <c r="U318" s="6">
        <f t="shared" si="71"/>
        <v>19810.000000000007</v>
      </c>
      <c r="V318" s="5">
        <f t="shared" si="71"/>
        <v>-38720.999999999993</v>
      </c>
      <c r="W318" s="14">
        <f t="shared" si="71"/>
        <v>3260</v>
      </c>
      <c r="X318" s="3">
        <f t="shared" si="71"/>
        <v>-41980.999999999993</v>
      </c>
      <c r="Y318" s="8">
        <f t="shared" si="71"/>
        <v>-1662712.5</v>
      </c>
    </row>
    <row r="319" spans="1:25" x14ac:dyDescent="0.25">
      <c r="A319" s="12"/>
      <c r="B319" s="12"/>
      <c r="C319" s="12"/>
      <c r="D319" s="16"/>
      <c r="E319" s="12"/>
      <c r="F319" s="16"/>
      <c r="G319" s="12"/>
    </row>
    <row r="320" spans="1:25" x14ac:dyDescent="0.25">
      <c r="A320" s="12"/>
      <c r="B320" s="12"/>
      <c r="C320" s="12"/>
      <c r="D320" s="12"/>
      <c r="E320" s="12"/>
      <c r="F320" s="12"/>
      <c r="G320" s="12"/>
    </row>
    <row r="321" spans="1:25" x14ac:dyDescent="0.25">
      <c r="B321" t="s">
        <v>113</v>
      </c>
    </row>
    <row r="323" spans="1:25" x14ac:dyDescent="0.25">
      <c r="A323" s="122">
        <v>44811</v>
      </c>
      <c r="B323" s="123"/>
      <c r="C323" s="123"/>
      <c r="D323" s="123"/>
      <c r="E323" s="123"/>
      <c r="F323" s="123"/>
      <c r="G323" s="123"/>
      <c r="J323" s="122">
        <v>44817</v>
      </c>
      <c r="K323" s="123"/>
      <c r="L323" s="123"/>
      <c r="M323" s="123"/>
      <c r="N323" s="123"/>
      <c r="O323" s="123"/>
      <c r="P323" s="123"/>
      <c r="S323" s="122">
        <v>44818</v>
      </c>
      <c r="T323" s="123"/>
      <c r="U323" s="123"/>
      <c r="V323" s="123"/>
      <c r="W323" s="123"/>
      <c r="X323" s="123"/>
      <c r="Y323" s="123"/>
    </row>
    <row r="324" spans="1:25" x14ac:dyDescent="0.25">
      <c r="A324" s="6" t="s">
        <v>34</v>
      </c>
      <c r="B324" s="6" t="s">
        <v>104</v>
      </c>
      <c r="C324" s="6" t="s">
        <v>105</v>
      </c>
      <c r="D324" s="6" t="s">
        <v>112</v>
      </c>
      <c r="E324" s="6" t="s">
        <v>106</v>
      </c>
      <c r="F324" s="3" t="s">
        <v>108</v>
      </c>
      <c r="G324" s="3" t="s">
        <v>28</v>
      </c>
      <c r="J324" s="6" t="s">
        <v>34</v>
      </c>
      <c r="K324" s="6" t="s">
        <v>104</v>
      </c>
      <c r="L324" s="6" t="s">
        <v>105</v>
      </c>
      <c r="M324" s="6" t="s">
        <v>112</v>
      </c>
      <c r="N324" s="6" t="s">
        <v>106</v>
      </c>
      <c r="O324" s="3" t="s">
        <v>108</v>
      </c>
      <c r="P324" s="3" t="s">
        <v>28</v>
      </c>
      <c r="S324" s="6" t="s">
        <v>34</v>
      </c>
      <c r="T324" s="6" t="s">
        <v>104</v>
      </c>
      <c r="U324" s="6" t="s">
        <v>105</v>
      </c>
      <c r="V324" s="6" t="s">
        <v>112</v>
      </c>
      <c r="W324" s="6" t="s">
        <v>106</v>
      </c>
      <c r="X324" s="3" t="s">
        <v>108</v>
      </c>
      <c r="Y324" s="3" t="s">
        <v>28</v>
      </c>
    </row>
    <row r="325" spans="1:25" ht="15.75" x14ac:dyDescent="0.25">
      <c r="A325" s="10" t="s">
        <v>111</v>
      </c>
      <c r="B325" s="5">
        <v>1800</v>
      </c>
      <c r="C325" s="5">
        <v>0</v>
      </c>
      <c r="D325" s="5">
        <f t="shared" ref="D325:D329" si="72">+B325+C325</f>
        <v>1800</v>
      </c>
      <c r="E325" s="5">
        <v>0</v>
      </c>
      <c r="F325" s="5">
        <f t="shared" ref="F325:F329" si="73">+B325+C325-E325</f>
        <v>1800</v>
      </c>
      <c r="G325" s="20">
        <v>-153900</v>
      </c>
      <c r="J325" s="10" t="s">
        <v>111</v>
      </c>
      <c r="K325" s="5">
        <v>-1592</v>
      </c>
      <c r="L325" s="5">
        <v>-2925</v>
      </c>
      <c r="M325" s="5">
        <f t="shared" ref="M325:M329" si="74">+K325+L325</f>
        <v>-4517</v>
      </c>
      <c r="N325" s="5">
        <v>1350</v>
      </c>
      <c r="O325" s="5">
        <f t="shared" ref="O325:O329" si="75">+K325+L325-N325</f>
        <v>-5867</v>
      </c>
      <c r="P325" s="20">
        <v>-265275</v>
      </c>
      <c r="S325" s="10" t="s">
        <v>111</v>
      </c>
      <c r="T325" s="5">
        <v>-4345</v>
      </c>
      <c r="U325" s="5">
        <v>6300</v>
      </c>
      <c r="V325" s="5">
        <f t="shared" ref="V325:V330" si="76">+T325+U325</f>
        <v>1955</v>
      </c>
      <c r="W325" s="5">
        <v>3150</v>
      </c>
      <c r="X325" s="5">
        <f t="shared" ref="X325:X330" si="77">+T325+U325-W325</f>
        <v>-1195</v>
      </c>
      <c r="Y325" s="20">
        <v>-276075</v>
      </c>
    </row>
    <row r="326" spans="1:25" ht="15.75" x14ac:dyDescent="0.25">
      <c r="A326" s="10" t="s">
        <v>63</v>
      </c>
      <c r="B326" s="5">
        <v>190</v>
      </c>
      <c r="C326" s="5">
        <v>0</v>
      </c>
      <c r="D326" s="5">
        <f t="shared" si="72"/>
        <v>190</v>
      </c>
      <c r="E326" s="5">
        <v>0</v>
      </c>
      <c r="F326" s="5">
        <f t="shared" si="73"/>
        <v>190</v>
      </c>
      <c r="G326" s="20">
        <v>-140920</v>
      </c>
      <c r="J326" s="10" t="s">
        <v>63</v>
      </c>
      <c r="K326" s="5">
        <v>-7907</v>
      </c>
      <c r="L326" s="5">
        <v>-220</v>
      </c>
      <c r="M326" s="5">
        <f t="shared" si="74"/>
        <v>-8127</v>
      </c>
      <c r="N326" s="5">
        <v>-1260</v>
      </c>
      <c r="O326" s="5">
        <f t="shared" si="75"/>
        <v>-6867</v>
      </c>
      <c r="P326" s="20">
        <v>-274520</v>
      </c>
      <c r="S326" s="10" t="s">
        <v>63</v>
      </c>
      <c r="T326" s="5">
        <v>-8680</v>
      </c>
      <c r="U326" s="5">
        <v>-41430</v>
      </c>
      <c r="V326" s="5">
        <f t="shared" si="76"/>
        <v>-50110</v>
      </c>
      <c r="W326" s="5">
        <v>-10520</v>
      </c>
      <c r="X326" s="5">
        <f t="shared" si="77"/>
        <v>-39590</v>
      </c>
      <c r="Y326" s="20">
        <v>-259300</v>
      </c>
    </row>
    <row r="327" spans="1:25" ht="15.75" x14ac:dyDescent="0.25">
      <c r="A327" s="10" t="s">
        <v>15</v>
      </c>
      <c r="B327" s="5">
        <v>-43973</v>
      </c>
      <c r="C327" s="5">
        <v>0</v>
      </c>
      <c r="D327" s="5">
        <f t="shared" si="72"/>
        <v>-43973</v>
      </c>
      <c r="E327" s="5">
        <v>0</v>
      </c>
      <c r="F327" s="5">
        <f t="shared" si="73"/>
        <v>-43973</v>
      </c>
      <c r="G327" s="20">
        <v>-227625</v>
      </c>
      <c r="J327" s="10" t="s">
        <v>15</v>
      </c>
      <c r="K327" s="5">
        <v>-2092</v>
      </c>
      <c r="L327" s="5">
        <v>16375</v>
      </c>
      <c r="M327" s="5">
        <f t="shared" si="74"/>
        <v>14283</v>
      </c>
      <c r="N327" s="5">
        <v>4687.5</v>
      </c>
      <c r="O327" s="5">
        <f t="shared" si="75"/>
        <v>9595.5</v>
      </c>
      <c r="P327" s="20">
        <v>-268625</v>
      </c>
      <c r="S327" s="10" t="s">
        <v>15</v>
      </c>
      <c r="T327" s="5">
        <v>3182</v>
      </c>
      <c r="U327" s="5">
        <v>-16562.5</v>
      </c>
      <c r="V327" s="5">
        <f t="shared" si="76"/>
        <v>-13380.5</v>
      </c>
      <c r="W327" s="5">
        <v>11313</v>
      </c>
      <c r="X327" s="5">
        <f t="shared" si="77"/>
        <v>-24693.5</v>
      </c>
      <c r="Y327" s="20">
        <v>-380125</v>
      </c>
    </row>
    <row r="328" spans="1:25" ht="15.75" x14ac:dyDescent="0.25">
      <c r="A328" s="10" t="s">
        <v>55</v>
      </c>
      <c r="B328" s="5">
        <v>-4300</v>
      </c>
      <c r="C328" s="5">
        <v>0</v>
      </c>
      <c r="D328" s="5">
        <f t="shared" si="72"/>
        <v>-4300</v>
      </c>
      <c r="E328" s="5">
        <v>0</v>
      </c>
      <c r="F328" s="5">
        <f t="shared" si="73"/>
        <v>-4300</v>
      </c>
      <c r="G328" s="20">
        <v>-158400</v>
      </c>
      <c r="J328" s="10" t="s">
        <v>55</v>
      </c>
      <c r="K328" s="5">
        <v>-4000</v>
      </c>
      <c r="L328" s="5">
        <v>14600</v>
      </c>
      <c r="M328" s="5">
        <f t="shared" si="74"/>
        <v>10600</v>
      </c>
      <c r="N328" s="5">
        <v>4000</v>
      </c>
      <c r="O328" s="5">
        <f t="shared" si="75"/>
        <v>6600</v>
      </c>
      <c r="P328" s="20">
        <v>-243300</v>
      </c>
      <c r="S328" s="10" t="s">
        <v>55</v>
      </c>
      <c r="T328" s="5">
        <v>-3764</v>
      </c>
      <c r="U328" s="5">
        <v>13900</v>
      </c>
      <c r="V328" s="5">
        <f t="shared" si="76"/>
        <v>10136</v>
      </c>
      <c r="W328" s="5">
        <v>-700</v>
      </c>
      <c r="X328" s="5">
        <f t="shared" si="77"/>
        <v>10836</v>
      </c>
      <c r="Y328" s="20">
        <v>-260000</v>
      </c>
    </row>
    <row r="329" spans="1:25" ht="15.75" x14ac:dyDescent="0.25">
      <c r="A329" s="10" t="s">
        <v>95</v>
      </c>
      <c r="B329" s="5">
        <v>3459</v>
      </c>
      <c r="C329" s="5">
        <v>0</v>
      </c>
      <c r="D329" s="5">
        <f t="shared" si="72"/>
        <v>3459</v>
      </c>
      <c r="E329" s="5">
        <v>0</v>
      </c>
      <c r="F329" s="5">
        <f t="shared" si="73"/>
        <v>3459</v>
      </c>
      <c r="G329" s="20">
        <v>-149775.99999999997</v>
      </c>
      <c r="J329" s="10" t="s">
        <v>95</v>
      </c>
      <c r="K329" s="5">
        <v>-238</v>
      </c>
      <c r="L329" s="5">
        <v>26658.5</v>
      </c>
      <c r="M329" s="5">
        <f t="shared" si="74"/>
        <v>26420.5</v>
      </c>
      <c r="N329" s="5">
        <v>1831.5</v>
      </c>
      <c r="O329" s="5">
        <f t="shared" si="75"/>
        <v>24589</v>
      </c>
      <c r="P329" s="20">
        <v>-230097.45</v>
      </c>
      <c r="S329" s="10" t="s">
        <v>95</v>
      </c>
      <c r="T329" s="5">
        <v>-41325</v>
      </c>
      <c r="U329" s="5">
        <v>-30219.75</v>
      </c>
      <c r="V329" s="5">
        <f t="shared" si="76"/>
        <v>-71544.75</v>
      </c>
      <c r="W329" s="5">
        <v>2197.8000000000002</v>
      </c>
      <c r="X329" s="5">
        <f t="shared" si="77"/>
        <v>-73742.55</v>
      </c>
      <c r="Y329" s="20">
        <v>-245665.2</v>
      </c>
    </row>
    <row r="330" spans="1:25" ht="15.75" x14ac:dyDescent="0.25">
      <c r="A330" s="21" t="s">
        <v>107</v>
      </c>
      <c r="B330" s="22">
        <f t="shared" ref="B330:G330" si="78">SUM(B325:B329)</f>
        <v>-42824</v>
      </c>
      <c r="C330" s="22">
        <f t="shared" si="78"/>
        <v>0</v>
      </c>
      <c r="D330" s="23">
        <f t="shared" si="78"/>
        <v>-42824</v>
      </c>
      <c r="E330" s="18">
        <f t="shared" si="78"/>
        <v>0</v>
      </c>
      <c r="F330" s="21">
        <f t="shared" si="78"/>
        <v>-42824</v>
      </c>
      <c r="G330" s="17">
        <f t="shared" si="78"/>
        <v>-830621</v>
      </c>
      <c r="J330" s="10" t="s">
        <v>87</v>
      </c>
      <c r="K330" s="5">
        <v>-4556</v>
      </c>
      <c r="L330" s="5">
        <v>0</v>
      </c>
      <c r="M330" s="5">
        <f t="shared" ref="M330" si="79">+K330+L330</f>
        <v>-4556</v>
      </c>
      <c r="N330" s="5">
        <v>0</v>
      </c>
      <c r="O330" s="5">
        <f t="shared" ref="O330" si="80">+K330+L330-N330</f>
        <v>-4556</v>
      </c>
      <c r="P330" s="20">
        <v>-151537.5</v>
      </c>
      <c r="S330" s="10" t="s">
        <v>87</v>
      </c>
      <c r="T330" s="5">
        <v>-7306</v>
      </c>
      <c r="U330" s="5">
        <v>-5400</v>
      </c>
      <c r="V330" s="5">
        <f t="shared" si="76"/>
        <v>-12706</v>
      </c>
      <c r="W330" s="5">
        <v>506.25</v>
      </c>
      <c r="X330" s="5">
        <f t="shared" si="77"/>
        <v>-13212.25</v>
      </c>
      <c r="Y330" s="20">
        <v>-205537.5</v>
      </c>
    </row>
    <row r="331" spans="1:25" ht="15.75" x14ac:dyDescent="0.25">
      <c r="J331" s="21" t="s">
        <v>107</v>
      </c>
      <c r="K331" s="22">
        <f t="shared" ref="K331:P331" si="81">SUM(K325:K330)</f>
        <v>-20385</v>
      </c>
      <c r="L331" s="22">
        <f t="shared" si="81"/>
        <v>54488.5</v>
      </c>
      <c r="M331" s="22">
        <f t="shared" si="81"/>
        <v>34103.5</v>
      </c>
      <c r="N331" s="18">
        <f t="shared" si="81"/>
        <v>10609</v>
      </c>
      <c r="O331" s="21">
        <f t="shared" si="81"/>
        <v>23494.5</v>
      </c>
      <c r="P331" s="17">
        <f t="shared" si="81"/>
        <v>-1433354.95</v>
      </c>
      <c r="S331" s="21" t="s">
        <v>107</v>
      </c>
      <c r="T331" s="22">
        <f t="shared" ref="T331" si="82">SUM(T325:T330)</f>
        <v>-62238</v>
      </c>
      <c r="U331" s="22">
        <f t="shared" ref="U331" si="83">SUM(U325:U330)</f>
        <v>-73412.25</v>
      </c>
      <c r="V331" s="22">
        <f t="shared" ref="V331" si="84">SUM(V325:V330)</f>
        <v>-135650.25</v>
      </c>
      <c r="W331" s="18">
        <f t="shared" ref="W331" si="85">SUM(W325:W330)</f>
        <v>5947.05</v>
      </c>
      <c r="X331" s="21">
        <f t="shared" ref="X331" si="86">SUM(X325:X330)</f>
        <v>-141597.29999999999</v>
      </c>
      <c r="Y331" s="17">
        <f t="shared" ref="Y331" si="87">SUM(Y325:Y330)</f>
        <v>-1626702.7</v>
      </c>
    </row>
    <row r="337" spans="1:25" x14ac:dyDescent="0.25">
      <c r="A337" s="122">
        <v>44819</v>
      </c>
      <c r="B337" s="123"/>
      <c r="C337" s="123"/>
      <c r="D337" s="123"/>
      <c r="E337" s="123"/>
      <c r="F337" s="123"/>
      <c r="G337" s="123"/>
      <c r="J337" s="122">
        <v>44820</v>
      </c>
      <c r="K337" s="123"/>
      <c r="L337" s="123"/>
      <c r="M337" s="123"/>
      <c r="N337" s="123"/>
      <c r="O337" s="123"/>
      <c r="P337" s="123"/>
      <c r="S337" s="122">
        <v>44823</v>
      </c>
      <c r="T337" s="123"/>
      <c r="U337" s="123"/>
      <c r="V337" s="123"/>
      <c r="W337" s="123"/>
      <c r="X337" s="123"/>
      <c r="Y337" s="123"/>
    </row>
    <row r="338" spans="1:25" x14ac:dyDescent="0.25">
      <c r="A338" s="6" t="s">
        <v>34</v>
      </c>
      <c r="B338" s="6" t="s">
        <v>104</v>
      </c>
      <c r="C338" s="6" t="s">
        <v>105</v>
      </c>
      <c r="D338" s="6" t="s">
        <v>112</v>
      </c>
      <c r="E338" s="6" t="s">
        <v>106</v>
      </c>
      <c r="F338" s="3" t="s">
        <v>108</v>
      </c>
      <c r="G338" s="3" t="s">
        <v>28</v>
      </c>
      <c r="J338" s="6" t="s">
        <v>34</v>
      </c>
      <c r="K338" s="6" t="s">
        <v>104</v>
      </c>
      <c r="L338" s="6" t="s">
        <v>105</v>
      </c>
      <c r="M338" s="6" t="s">
        <v>112</v>
      </c>
      <c r="N338" s="6" t="s">
        <v>106</v>
      </c>
      <c r="O338" s="3" t="s">
        <v>108</v>
      </c>
      <c r="P338" s="3" t="s">
        <v>28</v>
      </c>
      <c r="S338" s="6" t="s">
        <v>34</v>
      </c>
      <c r="T338" s="6" t="s">
        <v>104</v>
      </c>
      <c r="U338" s="6" t="s">
        <v>105</v>
      </c>
      <c r="V338" s="6" t="s">
        <v>112</v>
      </c>
      <c r="W338" s="6" t="s">
        <v>106</v>
      </c>
      <c r="X338" s="3" t="s">
        <v>108</v>
      </c>
      <c r="Y338" s="3" t="s">
        <v>28</v>
      </c>
    </row>
    <row r="339" spans="1:25" ht="15.75" x14ac:dyDescent="0.25">
      <c r="A339" s="10" t="s">
        <v>111</v>
      </c>
      <c r="B339" s="5">
        <v>-44550</v>
      </c>
      <c r="C339" s="5">
        <v>-44775</v>
      </c>
      <c r="D339" s="5">
        <f t="shared" ref="D339:D344" si="88">+B339+C339</f>
        <v>-89325</v>
      </c>
      <c r="E339" s="5">
        <v>-11025</v>
      </c>
      <c r="F339" s="5">
        <f t="shared" ref="F339:F344" si="89">+B339+C339-E339</f>
        <v>-78300</v>
      </c>
      <c r="G339" s="20">
        <v>-438075</v>
      </c>
      <c r="J339" s="10" t="s">
        <v>111</v>
      </c>
      <c r="K339" s="5">
        <v>28125</v>
      </c>
      <c r="L339" s="5">
        <v>-27675</v>
      </c>
      <c r="M339" s="5">
        <f t="shared" ref="M339:M344" si="90">+K339+L339</f>
        <v>450</v>
      </c>
      <c r="N339" s="5">
        <v>12600</v>
      </c>
      <c r="O339" s="5">
        <f t="shared" ref="O339:O344" si="91">+K339+L339-N339</f>
        <v>-12150</v>
      </c>
      <c r="P339" s="20">
        <v>-481275</v>
      </c>
      <c r="S339" s="10" t="s">
        <v>111</v>
      </c>
      <c r="T339" s="5">
        <v>-5850</v>
      </c>
      <c r="U339" s="5">
        <v>119700</v>
      </c>
      <c r="V339" s="5">
        <f t="shared" ref="V339:V344" si="92">+T339+U339</f>
        <v>113850</v>
      </c>
      <c r="W339" s="5">
        <v>9000</v>
      </c>
      <c r="X339" s="5">
        <f t="shared" ref="X339:X344" si="93">+T339+U339-W339</f>
        <v>104850</v>
      </c>
      <c r="Y339" s="20">
        <v>-335700</v>
      </c>
    </row>
    <row r="340" spans="1:25" ht="15.75" x14ac:dyDescent="0.25">
      <c r="A340" s="10" t="s">
        <v>63</v>
      </c>
      <c r="B340" s="5">
        <v>1960</v>
      </c>
      <c r="C340" s="5">
        <v>24160</v>
      </c>
      <c r="D340" s="5">
        <f t="shared" si="88"/>
        <v>26120</v>
      </c>
      <c r="E340" s="5">
        <v>12940</v>
      </c>
      <c r="F340" s="5">
        <f t="shared" si="89"/>
        <v>13180</v>
      </c>
      <c r="G340" s="20">
        <v>-320940</v>
      </c>
      <c r="J340" s="10" t="s">
        <v>63</v>
      </c>
      <c r="K340" s="5">
        <v>19820</v>
      </c>
      <c r="L340" s="5">
        <v>-127290</v>
      </c>
      <c r="M340" s="5">
        <f t="shared" si="90"/>
        <v>-107470</v>
      </c>
      <c r="N340" s="5">
        <v>-4710</v>
      </c>
      <c r="O340" s="5">
        <f t="shared" si="91"/>
        <v>-102760</v>
      </c>
      <c r="P340" s="20">
        <v>-530920</v>
      </c>
      <c r="S340" s="10" t="s">
        <v>63</v>
      </c>
      <c r="T340" s="5">
        <v>-19440</v>
      </c>
      <c r="U340" s="5">
        <v>178370</v>
      </c>
      <c r="V340" s="5">
        <f t="shared" si="92"/>
        <v>158930</v>
      </c>
      <c r="W340" s="5">
        <v>-16500</v>
      </c>
      <c r="X340" s="5">
        <f t="shared" si="93"/>
        <v>175430</v>
      </c>
      <c r="Y340" s="20">
        <v>-520820</v>
      </c>
    </row>
    <row r="341" spans="1:25" ht="15.75" x14ac:dyDescent="0.25">
      <c r="A341" s="10" t="s">
        <v>15</v>
      </c>
      <c r="B341" s="5">
        <v>-1625</v>
      </c>
      <c r="C341" s="5">
        <v>35812.5</v>
      </c>
      <c r="D341" s="5">
        <f t="shared" si="88"/>
        <v>34187.5</v>
      </c>
      <c r="E341" s="5">
        <v>-5312.5</v>
      </c>
      <c r="F341" s="5">
        <f t="shared" si="89"/>
        <v>39500</v>
      </c>
      <c r="G341" s="20">
        <v>-408125</v>
      </c>
      <c r="J341" s="10" t="s">
        <v>15</v>
      </c>
      <c r="K341" s="5">
        <v>-30000</v>
      </c>
      <c r="L341" s="5">
        <v>-35625</v>
      </c>
      <c r="M341" s="5">
        <f t="shared" si="90"/>
        <v>-65625</v>
      </c>
      <c r="N341" s="5">
        <v>16687.5</v>
      </c>
      <c r="O341" s="5">
        <f t="shared" si="91"/>
        <v>-82312.5</v>
      </c>
      <c r="P341" s="20">
        <v>-515625</v>
      </c>
      <c r="S341" s="10" t="s">
        <v>15</v>
      </c>
      <c r="T341" s="5">
        <v>7625</v>
      </c>
      <c r="U341" s="5">
        <v>104625</v>
      </c>
      <c r="V341" s="5">
        <f t="shared" si="92"/>
        <v>112250</v>
      </c>
      <c r="W341" s="5">
        <v>13000</v>
      </c>
      <c r="X341" s="5">
        <f t="shared" si="93"/>
        <v>99250</v>
      </c>
      <c r="Y341" s="20">
        <v>-480000</v>
      </c>
    </row>
    <row r="342" spans="1:25" ht="15.75" x14ac:dyDescent="0.25">
      <c r="A342" s="10" t="s">
        <v>55</v>
      </c>
      <c r="B342" s="5">
        <v>-8576</v>
      </c>
      <c r="C342" s="5">
        <v>-132600</v>
      </c>
      <c r="D342" s="5">
        <f t="shared" si="88"/>
        <v>-141176</v>
      </c>
      <c r="E342" s="5">
        <v>13400</v>
      </c>
      <c r="F342" s="5">
        <f t="shared" si="89"/>
        <v>-154576</v>
      </c>
      <c r="G342" s="20">
        <v>-679100</v>
      </c>
      <c r="J342" s="10" t="s">
        <v>55</v>
      </c>
      <c r="K342" s="5">
        <v>-68868</v>
      </c>
      <c r="L342" s="5">
        <v>-64300</v>
      </c>
      <c r="M342" s="5">
        <f t="shared" si="90"/>
        <v>-133168</v>
      </c>
      <c r="N342" s="5">
        <v>-3500</v>
      </c>
      <c r="O342" s="5">
        <f t="shared" si="91"/>
        <v>-129668</v>
      </c>
      <c r="P342" s="20">
        <v>-558400</v>
      </c>
      <c r="S342" s="10" t="s">
        <v>55</v>
      </c>
      <c r="T342" s="5">
        <v>-40000</v>
      </c>
      <c r="U342" s="5">
        <v>-50900</v>
      </c>
      <c r="V342" s="5">
        <f t="shared" si="92"/>
        <v>-90900</v>
      </c>
      <c r="W342" s="5">
        <v>46700</v>
      </c>
      <c r="X342" s="5">
        <f t="shared" si="93"/>
        <v>-137600</v>
      </c>
      <c r="Y342" s="20">
        <v>-620000</v>
      </c>
    </row>
    <row r="343" spans="1:25" ht="15.75" x14ac:dyDescent="0.25">
      <c r="A343" s="10" t="s">
        <v>95</v>
      </c>
      <c r="B343" s="5">
        <v>20268</v>
      </c>
      <c r="C343" s="5">
        <v>-54721.150000000009</v>
      </c>
      <c r="D343" s="5">
        <f t="shared" si="88"/>
        <v>-34453.150000000009</v>
      </c>
      <c r="E343" s="5">
        <v>-529.10000000000036</v>
      </c>
      <c r="F343" s="5">
        <f t="shared" si="89"/>
        <v>-33924.05000000001</v>
      </c>
      <c r="G343" s="20">
        <v>-271998.09999999998</v>
      </c>
      <c r="J343" s="10" t="s">
        <v>95</v>
      </c>
      <c r="K343" s="5">
        <v>6043</v>
      </c>
      <c r="L343" s="5">
        <v>-134635.6</v>
      </c>
      <c r="M343" s="5">
        <f t="shared" si="90"/>
        <v>-128592.6</v>
      </c>
      <c r="N343" s="5">
        <v>-6878.3</v>
      </c>
      <c r="O343" s="5">
        <f t="shared" si="91"/>
        <v>-121714.3</v>
      </c>
      <c r="P343" s="20">
        <v>-558729.60000000009</v>
      </c>
      <c r="S343" s="10" t="s">
        <v>95</v>
      </c>
      <c r="T343" s="5">
        <v>-75257</v>
      </c>
      <c r="U343" s="5">
        <v>359910</v>
      </c>
      <c r="V343" s="5">
        <f t="shared" si="92"/>
        <v>284653</v>
      </c>
      <c r="W343" s="5">
        <v>4354</v>
      </c>
      <c r="X343" s="5">
        <f t="shared" si="93"/>
        <v>280299</v>
      </c>
      <c r="Y343" s="20">
        <v>-77717</v>
      </c>
    </row>
    <row r="344" spans="1:25" ht="15.75" x14ac:dyDescent="0.25">
      <c r="A344" s="10" t="s">
        <v>87</v>
      </c>
      <c r="B344" s="5">
        <v>1137</v>
      </c>
      <c r="C344" s="5">
        <v>-337.50000000000364</v>
      </c>
      <c r="D344" s="5">
        <f t="shared" si="88"/>
        <v>799.49999999999636</v>
      </c>
      <c r="E344" s="5">
        <v>8437.5</v>
      </c>
      <c r="F344" s="5">
        <f t="shared" si="89"/>
        <v>-7638.0000000000036</v>
      </c>
      <c r="G344" s="20">
        <v>-425250</v>
      </c>
      <c r="J344" s="10" t="s">
        <v>87</v>
      </c>
      <c r="K344" s="5">
        <v>-3881</v>
      </c>
      <c r="L344" s="5">
        <v>-122343.75</v>
      </c>
      <c r="M344" s="5">
        <f t="shared" si="90"/>
        <v>-126224.75</v>
      </c>
      <c r="N344" s="5">
        <v>-4725</v>
      </c>
      <c r="O344" s="5">
        <f t="shared" si="91"/>
        <v>-121499.75</v>
      </c>
      <c r="P344" s="20">
        <v>-517387.5</v>
      </c>
      <c r="S344" s="10" t="s">
        <v>87</v>
      </c>
      <c r="T344" s="5">
        <v>20925</v>
      </c>
      <c r="U344" s="5">
        <v>154912.5</v>
      </c>
      <c r="V344" s="5">
        <f t="shared" si="92"/>
        <v>175837.5</v>
      </c>
      <c r="W344" s="5">
        <v>18900</v>
      </c>
      <c r="X344" s="5">
        <f t="shared" si="93"/>
        <v>156937.5</v>
      </c>
      <c r="Y344" s="20">
        <v>-403818.75</v>
      </c>
    </row>
    <row r="345" spans="1:25" ht="15.75" x14ac:dyDescent="0.25">
      <c r="A345" s="21" t="s">
        <v>107</v>
      </c>
      <c r="B345" s="22">
        <f t="shared" ref="B345:G345" si="94">SUM(B339:B344)</f>
        <v>-31386</v>
      </c>
      <c r="C345" s="22">
        <f t="shared" si="94"/>
        <v>-172461.15000000002</v>
      </c>
      <c r="D345" s="22">
        <f t="shared" si="94"/>
        <v>-203847.15000000002</v>
      </c>
      <c r="E345" s="18">
        <f t="shared" si="94"/>
        <v>17910.900000000001</v>
      </c>
      <c r="F345" s="21">
        <f t="shared" si="94"/>
        <v>-221758.05000000002</v>
      </c>
      <c r="G345" s="17">
        <f t="shared" si="94"/>
        <v>-2543488.1</v>
      </c>
      <c r="J345" s="21" t="s">
        <v>107</v>
      </c>
      <c r="K345" s="22">
        <f t="shared" ref="K345:P345" si="95">SUM(K339:K344)</f>
        <v>-48761</v>
      </c>
      <c r="L345" s="22">
        <f t="shared" si="95"/>
        <v>-511869.35</v>
      </c>
      <c r="M345" s="22">
        <f t="shared" si="95"/>
        <v>-560630.35</v>
      </c>
      <c r="N345" s="18">
        <f t="shared" si="95"/>
        <v>9474.2000000000007</v>
      </c>
      <c r="O345" s="21">
        <f t="shared" si="95"/>
        <v>-570104.55000000005</v>
      </c>
      <c r="P345" s="17">
        <f t="shared" si="95"/>
        <v>-3162337.1</v>
      </c>
      <c r="S345" s="21" t="s">
        <v>107</v>
      </c>
      <c r="T345" s="22">
        <f t="shared" ref="T345:Y345" si="96">SUM(T339:T344)</f>
        <v>-111997</v>
      </c>
      <c r="U345" s="22">
        <f t="shared" si="96"/>
        <v>866617.5</v>
      </c>
      <c r="V345" s="22">
        <f t="shared" si="96"/>
        <v>754620.5</v>
      </c>
      <c r="W345" s="18">
        <f t="shared" si="96"/>
        <v>75454</v>
      </c>
      <c r="X345" s="21">
        <f t="shared" si="96"/>
        <v>679166.5</v>
      </c>
      <c r="Y345" s="17">
        <f t="shared" si="96"/>
        <v>-2438055.75</v>
      </c>
    </row>
    <row r="349" spans="1:25" x14ac:dyDescent="0.25">
      <c r="A349" s="122">
        <v>44824</v>
      </c>
      <c r="B349" s="123"/>
      <c r="C349" s="123"/>
      <c r="D349" s="123"/>
      <c r="E349" s="123"/>
      <c r="F349" s="123"/>
      <c r="G349" s="123"/>
      <c r="J349" s="122">
        <v>44825</v>
      </c>
      <c r="K349" s="123"/>
      <c r="L349" s="123"/>
      <c r="M349" s="123"/>
      <c r="N349" s="123"/>
      <c r="O349" s="123"/>
      <c r="P349" s="123"/>
      <c r="S349" s="122">
        <v>44826</v>
      </c>
      <c r="T349" s="123"/>
      <c r="U349" s="123"/>
      <c r="V349" s="123"/>
      <c r="W349" s="123"/>
      <c r="X349" s="123"/>
      <c r="Y349" s="123"/>
    </row>
    <row r="350" spans="1:25" x14ac:dyDescent="0.25">
      <c r="A350" s="6" t="s">
        <v>34</v>
      </c>
      <c r="B350" s="6" t="s">
        <v>104</v>
      </c>
      <c r="C350" s="6" t="s">
        <v>105</v>
      </c>
      <c r="D350" s="6" t="s">
        <v>112</v>
      </c>
      <c r="E350" s="6" t="s">
        <v>106</v>
      </c>
      <c r="F350" s="3" t="s">
        <v>108</v>
      </c>
      <c r="G350" s="3" t="s">
        <v>28</v>
      </c>
      <c r="J350" s="6" t="s">
        <v>34</v>
      </c>
      <c r="K350" s="6" t="s">
        <v>104</v>
      </c>
      <c r="L350" s="6" t="s">
        <v>105</v>
      </c>
      <c r="M350" s="6" t="s">
        <v>112</v>
      </c>
      <c r="N350" s="6" t="s">
        <v>106</v>
      </c>
      <c r="O350" s="3" t="s">
        <v>108</v>
      </c>
      <c r="P350" s="3" t="s">
        <v>28</v>
      </c>
      <c r="S350" s="6" t="s">
        <v>34</v>
      </c>
      <c r="T350" s="6" t="s">
        <v>104</v>
      </c>
      <c r="U350" s="6" t="s">
        <v>105</v>
      </c>
      <c r="V350" s="6" t="s">
        <v>112</v>
      </c>
      <c r="W350" s="6" t="s">
        <v>106</v>
      </c>
      <c r="X350" s="3" t="s">
        <v>108</v>
      </c>
      <c r="Y350" s="3" t="s">
        <v>28</v>
      </c>
    </row>
    <row r="351" spans="1:25" ht="15.75" x14ac:dyDescent="0.25">
      <c r="A351" s="10" t="s">
        <v>111</v>
      </c>
      <c r="B351" s="5">
        <v>-11250</v>
      </c>
      <c r="C351" s="5">
        <v>133875</v>
      </c>
      <c r="D351" s="5">
        <f t="shared" ref="D351:D356" si="97">+B351+C351</f>
        <v>122625</v>
      </c>
      <c r="E351" s="5">
        <v>3600</v>
      </c>
      <c r="F351" s="5">
        <f t="shared" ref="F351:F356" si="98">+B351+C351-E351</f>
        <v>119025</v>
      </c>
      <c r="G351" s="20">
        <v>-258300</v>
      </c>
      <c r="J351" s="10" t="s">
        <v>111</v>
      </c>
      <c r="K351" s="5">
        <v>2790</v>
      </c>
      <c r="L351" s="5">
        <v>18450</v>
      </c>
      <c r="M351" s="5">
        <f t="shared" ref="M351:M356" si="99">+K351+L351</f>
        <v>21240</v>
      </c>
      <c r="N351" s="5">
        <v>4050</v>
      </c>
      <c r="O351" s="5">
        <f t="shared" ref="O351:O356" si="100">+K351+L351-N351</f>
        <v>17190</v>
      </c>
      <c r="P351" s="20">
        <v>-258300</v>
      </c>
      <c r="S351" s="10" t="s">
        <v>111</v>
      </c>
      <c r="T351" s="5">
        <v>2025</v>
      </c>
      <c r="U351" s="5">
        <v>19125</v>
      </c>
      <c r="V351" s="5">
        <f t="shared" ref="V351:V356" si="101">+T351+U351</f>
        <v>21150</v>
      </c>
      <c r="W351" s="5">
        <v>4725</v>
      </c>
      <c r="X351" s="5">
        <f t="shared" ref="X351:X356" si="102">+T351+U351-W351</f>
        <v>16425</v>
      </c>
      <c r="Y351" s="20">
        <v>-210600</v>
      </c>
    </row>
    <row r="352" spans="1:25" ht="15.75" x14ac:dyDescent="0.25">
      <c r="A352" s="10" t="s">
        <v>63</v>
      </c>
      <c r="B352" s="5">
        <v>-74720</v>
      </c>
      <c r="C352" s="5">
        <v>37520.000000000007</v>
      </c>
      <c r="D352" s="5">
        <f t="shared" si="97"/>
        <v>-37199.999999999993</v>
      </c>
      <c r="E352" s="5">
        <v>-8430</v>
      </c>
      <c r="F352" s="5">
        <f t="shared" si="98"/>
        <v>-28769.999999999993</v>
      </c>
      <c r="G352" s="20">
        <v>-638900</v>
      </c>
      <c r="J352" s="10" t="s">
        <v>63</v>
      </c>
      <c r="K352" s="5">
        <v>-17120</v>
      </c>
      <c r="L352" s="5">
        <v>135500</v>
      </c>
      <c r="M352" s="5">
        <f t="shared" si="99"/>
        <v>118380</v>
      </c>
      <c r="N352" s="5">
        <v>38310</v>
      </c>
      <c r="O352" s="5">
        <f t="shared" si="100"/>
        <v>80070</v>
      </c>
      <c r="P352" s="20">
        <v>-638900</v>
      </c>
      <c r="S352" s="10" t="s">
        <v>63</v>
      </c>
      <c r="T352" s="5">
        <v>-10890</v>
      </c>
      <c r="U352" s="5">
        <v>263490</v>
      </c>
      <c r="V352" s="5">
        <f t="shared" si="101"/>
        <v>252600</v>
      </c>
      <c r="W352" s="5">
        <v>28640</v>
      </c>
      <c r="X352" s="5">
        <f t="shared" si="102"/>
        <v>223960</v>
      </c>
      <c r="Y352" s="20">
        <v>-591400</v>
      </c>
    </row>
    <row r="353" spans="1:25" ht="15.75" x14ac:dyDescent="0.25">
      <c r="A353" s="10" t="s">
        <v>15</v>
      </c>
      <c r="B353" s="5">
        <v>-13000</v>
      </c>
      <c r="C353" s="5">
        <v>129249.99999999999</v>
      </c>
      <c r="D353" s="5">
        <f t="shared" si="97"/>
        <v>116249.99999999999</v>
      </c>
      <c r="E353" s="5">
        <v>-13437.500000000004</v>
      </c>
      <c r="F353" s="5">
        <f t="shared" si="98"/>
        <v>129687.49999999999</v>
      </c>
      <c r="G353" s="20">
        <v>-530250</v>
      </c>
      <c r="J353" s="10" t="s">
        <v>15</v>
      </c>
      <c r="K353" s="5">
        <v>-58072</v>
      </c>
      <c r="L353" s="5">
        <v>-12250</v>
      </c>
      <c r="M353" s="5">
        <f t="shared" si="99"/>
        <v>-70322</v>
      </c>
      <c r="N353" s="5">
        <v>14062.5</v>
      </c>
      <c r="O353" s="5">
        <f t="shared" si="100"/>
        <v>-84384.5</v>
      </c>
      <c r="P353" s="20">
        <v>-530250</v>
      </c>
      <c r="S353" s="10" t="s">
        <v>15</v>
      </c>
      <c r="T353" s="5">
        <v>-6187</v>
      </c>
      <c r="U353" s="5">
        <v>170250</v>
      </c>
      <c r="V353" s="5">
        <f t="shared" si="101"/>
        <v>164063</v>
      </c>
      <c r="W353" s="5">
        <v>10125</v>
      </c>
      <c r="X353" s="5">
        <f t="shared" si="102"/>
        <v>153938</v>
      </c>
      <c r="Y353" s="20">
        <v>-607062.5</v>
      </c>
    </row>
    <row r="354" spans="1:25" ht="15.75" x14ac:dyDescent="0.25">
      <c r="A354" s="10" t="s">
        <v>55</v>
      </c>
      <c r="B354" s="5">
        <v>5900</v>
      </c>
      <c r="C354" s="5">
        <v>-20000</v>
      </c>
      <c r="D354" s="5">
        <f t="shared" si="97"/>
        <v>-14100</v>
      </c>
      <c r="E354" s="5">
        <v>8800</v>
      </c>
      <c r="F354" s="5">
        <f t="shared" si="98"/>
        <v>-22900</v>
      </c>
      <c r="G354" s="20">
        <v>-610200</v>
      </c>
      <c r="J354" s="10" t="s">
        <v>55</v>
      </c>
      <c r="K354" s="5">
        <v>-86400</v>
      </c>
      <c r="L354" s="5">
        <v>68600</v>
      </c>
      <c r="M354" s="5">
        <f t="shared" si="99"/>
        <v>-17800</v>
      </c>
      <c r="N354" s="5">
        <v>-2800</v>
      </c>
      <c r="O354" s="5">
        <f t="shared" si="100"/>
        <v>-15000</v>
      </c>
      <c r="P354" s="20">
        <v>-610200</v>
      </c>
      <c r="S354" s="10" t="s">
        <v>55</v>
      </c>
      <c r="T354" s="5">
        <v>8700</v>
      </c>
      <c r="U354" s="5">
        <v>46100</v>
      </c>
      <c r="V354" s="5">
        <f t="shared" si="101"/>
        <v>54800</v>
      </c>
      <c r="W354" s="5">
        <v>-20700</v>
      </c>
      <c r="X354" s="5">
        <f t="shared" si="102"/>
        <v>75500</v>
      </c>
      <c r="Y354" s="20">
        <v>-660000</v>
      </c>
    </row>
    <row r="355" spans="1:25" ht="15.75" x14ac:dyDescent="0.25">
      <c r="A355" s="10" t="s">
        <v>95</v>
      </c>
      <c r="B355" s="5">
        <v>-3812.05</v>
      </c>
      <c r="C355" s="5">
        <v>8506</v>
      </c>
      <c r="D355" s="5">
        <f t="shared" si="97"/>
        <v>4693.95</v>
      </c>
      <c r="E355" s="5">
        <v>-15629</v>
      </c>
      <c r="F355" s="5">
        <f t="shared" si="98"/>
        <v>20322.95</v>
      </c>
      <c r="G355" s="20">
        <v>0</v>
      </c>
      <c r="J355" s="10" t="s">
        <v>87</v>
      </c>
      <c r="K355" s="5">
        <v>-675</v>
      </c>
      <c r="L355" s="5">
        <v>-60581.25</v>
      </c>
      <c r="M355" s="5">
        <f t="shared" si="99"/>
        <v>-61256.25</v>
      </c>
      <c r="N355" s="5">
        <v>1012.5</v>
      </c>
      <c r="O355" s="5">
        <f t="shared" si="100"/>
        <v>-62268.75</v>
      </c>
      <c r="P355" s="20">
        <v>-414112.5</v>
      </c>
      <c r="S355" s="10" t="s">
        <v>87</v>
      </c>
      <c r="T355" s="5">
        <v>-15187</v>
      </c>
      <c r="U355" s="5">
        <v>140062.5</v>
      </c>
      <c r="V355" s="5">
        <f t="shared" si="101"/>
        <v>124875.5</v>
      </c>
      <c r="W355" s="5">
        <v>-37968.75</v>
      </c>
      <c r="X355" s="5">
        <f t="shared" si="102"/>
        <v>162844.25</v>
      </c>
      <c r="Y355" s="20">
        <v>-423393.75</v>
      </c>
    </row>
    <row r="356" spans="1:25" ht="15.75" x14ac:dyDescent="0.25">
      <c r="A356" s="10" t="s">
        <v>87</v>
      </c>
      <c r="B356" s="5">
        <v>-8775</v>
      </c>
      <c r="C356" s="5">
        <v>190012.5</v>
      </c>
      <c r="D356" s="5">
        <f t="shared" si="97"/>
        <v>181237.5</v>
      </c>
      <c r="E356" s="5">
        <v>12656.25</v>
      </c>
      <c r="F356" s="5">
        <f t="shared" si="98"/>
        <v>168581.25</v>
      </c>
      <c r="G356" s="20">
        <v>-414112.5</v>
      </c>
      <c r="J356" s="10" t="s">
        <v>50</v>
      </c>
      <c r="K356" s="5">
        <v>15990</v>
      </c>
      <c r="L356" s="5">
        <v>-32000</v>
      </c>
      <c r="M356" s="5">
        <f t="shared" si="99"/>
        <v>-16010</v>
      </c>
      <c r="N356" s="5">
        <v>1125</v>
      </c>
      <c r="O356" s="5">
        <f t="shared" si="100"/>
        <v>-17135</v>
      </c>
      <c r="P356" s="20">
        <v>-145062.5</v>
      </c>
      <c r="S356" s="10" t="s">
        <v>50</v>
      </c>
      <c r="T356" s="5">
        <v>14525</v>
      </c>
      <c r="U356" s="5">
        <v>150625</v>
      </c>
      <c r="V356" s="5">
        <f t="shared" si="101"/>
        <v>165150</v>
      </c>
      <c r="W356" s="5">
        <v>14625</v>
      </c>
      <c r="X356" s="5">
        <f t="shared" si="102"/>
        <v>150525</v>
      </c>
      <c r="Y356" s="20">
        <v>-511125</v>
      </c>
    </row>
    <row r="357" spans="1:25" ht="15.75" x14ac:dyDescent="0.25">
      <c r="A357" s="10" t="s">
        <v>50</v>
      </c>
      <c r="B357" s="5">
        <v>3687</v>
      </c>
      <c r="C357" s="5">
        <v>0</v>
      </c>
      <c r="D357" s="5">
        <f t="shared" ref="D357" si="103">+B357+C357</f>
        <v>3687</v>
      </c>
      <c r="E357" s="5">
        <v>0</v>
      </c>
      <c r="F357" s="5">
        <f t="shared" ref="F357" si="104">+B357+C357-E357</f>
        <v>3687</v>
      </c>
      <c r="G357" s="20">
        <v>-145062.5</v>
      </c>
      <c r="J357" s="21" t="s">
        <v>107</v>
      </c>
      <c r="K357" s="22">
        <f t="shared" ref="K357:P357" si="105">SUM(K351:K356)</f>
        <v>-143487</v>
      </c>
      <c r="L357" s="22">
        <f t="shared" si="105"/>
        <v>117718.75</v>
      </c>
      <c r="M357" s="22">
        <f t="shared" si="105"/>
        <v>-25768.25</v>
      </c>
      <c r="N357" s="18">
        <f t="shared" si="105"/>
        <v>55760</v>
      </c>
      <c r="O357" s="21">
        <f t="shared" si="105"/>
        <v>-81528.25</v>
      </c>
      <c r="P357" s="17">
        <f t="shared" si="105"/>
        <v>-2596825</v>
      </c>
      <c r="S357" s="21" t="s">
        <v>107</v>
      </c>
      <c r="T357" s="22">
        <f t="shared" ref="T357" si="106">SUM(T351:T356)</f>
        <v>-7014</v>
      </c>
      <c r="U357" s="22">
        <f t="shared" ref="U357" si="107">SUM(U351:U356)</f>
        <v>789652.5</v>
      </c>
      <c r="V357" s="22">
        <f t="shared" ref="V357" si="108">SUM(V351:V356)</f>
        <v>782638.5</v>
      </c>
      <c r="W357" s="18">
        <f t="shared" ref="W357" si="109">SUM(W351:W356)</f>
        <v>-553.75</v>
      </c>
      <c r="X357" s="21">
        <f t="shared" ref="X357" si="110">SUM(X351:X356)</f>
        <v>783192.25</v>
      </c>
      <c r="Y357" s="17">
        <f t="shared" ref="Y357" si="111">SUM(Y351:Y356)</f>
        <v>-3003581.25</v>
      </c>
    </row>
    <row r="358" spans="1:25" ht="15.75" x14ac:dyDescent="0.25">
      <c r="A358" s="21" t="s">
        <v>107</v>
      </c>
      <c r="B358" s="22">
        <f t="shared" ref="B358:G358" si="112">SUM(B351:B357)</f>
        <v>-101970.05</v>
      </c>
      <c r="C358" s="22">
        <f t="shared" si="112"/>
        <v>479163.5</v>
      </c>
      <c r="D358" s="22">
        <f t="shared" si="112"/>
        <v>377193.45</v>
      </c>
      <c r="E358" s="18">
        <f t="shared" si="112"/>
        <v>-12440.250000000004</v>
      </c>
      <c r="F358" s="21">
        <f t="shared" si="112"/>
        <v>389633.7</v>
      </c>
      <c r="G358" s="17">
        <f t="shared" si="112"/>
        <v>-2596825</v>
      </c>
    </row>
    <row r="360" spans="1:25" x14ac:dyDescent="0.25">
      <c r="E360" s="5"/>
    </row>
    <row r="361" spans="1:25" x14ac:dyDescent="0.25"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122">
        <v>44827</v>
      </c>
      <c r="B362" s="123"/>
      <c r="C362" s="123"/>
      <c r="D362" s="123"/>
      <c r="E362" s="123"/>
      <c r="F362" s="123"/>
      <c r="G362" s="123"/>
      <c r="J362" s="122">
        <v>44830</v>
      </c>
      <c r="K362" s="123"/>
      <c r="L362" s="123"/>
      <c r="M362" s="123"/>
      <c r="N362" s="123"/>
      <c r="O362" s="123"/>
      <c r="P362" s="123"/>
      <c r="R362" s="2"/>
      <c r="S362" s="122">
        <v>44831</v>
      </c>
      <c r="T362" s="123"/>
      <c r="U362" s="123"/>
      <c r="V362" s="123"/>
      <c r="W362" s="123"/>
      <c r="X362" s="123"/>
      <c r="Y362" s="123"/>
    </row>
    <row r="363" spans="1:25" x14ac:dyDescent="0.25">
      <c r="A363" s="6" t="s">
        <v>34</v>
      </c>
      <c r="B363" s="6" t="s">
        <v>104</v>
      </c>
      <c r="C363" s="6" t="s">
        <v>105</v>
      </c>
      <c r="D363" s="6" t="s">
        <v>112</v>
      </c>
      <c r="E363" s="6" t="s">
        <v>106</v>
      </c>
      <c r="F363" s="3" t="s">
        <v>108</v>
      </c>
      <c r="G363" s="3" t="s">
        <v>28</v>
      </c>
      <c r="J363" s="6" t="s">
        <v>34</v>
      </c>
      <c r="K363" s="6" t="s">
        <v>104</v>
      </c>
      <c r="L363" s="6" t="s">
        <v>105</v>
      </c>
      <c r="M363" s="6" t="s">
        <v>112</v>
      </c>
      <c r="N363" s="6" t="s">
        <v>106</v>
      </c>
      <c r="O363" s="3" t="s">
        <v>108</v>
      </c>
      <c r="P363" s="3" t="s">
        <v>28</v>
      </c>
      <c r="R363" s="2"/>
      <c r="S363" s="6" t="s">
        <v>34</v>
      </c>
      <c r="T363" s="6" t="s">
        <v>104</v>
      </c>
      <c r="U363" s="6" t="s">
        <v>105</v>
      </c>
      <c r="V363" s="6" t="s">
        <v>112</v>
      </c>
      <c r="W363" s="6" t="s">
        <v>106</v>
      </c>
      <c r="X363" s="3" t="s">
        <v>108</v>
      </c>
      <c r="Y363" s="3" t="s">
        <v>28</v>
      </c>
    </row>
    <row r="364" spans="1:25" ht="15.75" x14ac:dyDescent="0.25">
      <c r="A364" s="10" t="s">
        <v>111</v>
      </c>
      <c r="B364" s="5">
        <v>32850</v>
      </c>
      <c r="C364" s="5">
        <v>-54675</v>
      </c>
      <c r="D364" s="5">
        <f t="shared" ref="D364:D370" si="113">+B364+C364</f>
        <v>-21825</v>
      </c>
      <c r="E364" s="5">
        <v>-10125</v>
      </c>
      <c r="F364" s="5">
        <f t="shared" ref="F364:F370" si="114">+B364+C364-E364</f>
        <v>-11700</v>
      </c>
      <c r="G364" s="20">
        <v>0</v>
      </c>
      <c r="J364" s="10" t="s">
        <v>63</v>
      </c>
      <c r="K364" s="5">
        <v>-296490</v>
      </c>
      <c r="L364" s="5">
        <v>273520</v>
      </c>
      <c r="M364" s="5">
        <f t="shared" ref="M364:M368" si="115">+K364+L364</f>
        <v>-22970</v>
      </c>
      <c r="N364" s="5">
        <v>123640</v>
      </c>
      <c r="O364" s="5">
        <f t="shared" ref="O364:O368" si="116">+K364+L364-N364</f>
        <v>-146610</v>
      </c>
      <c r="P364" s="20">
        <v>-550000</v>
      </c>
      <c r="R364" s="2"/>
      <c r="S364" s="10" t="s">
        <v>63</v>
      </c>
      <c r="T364" s="5">
        <v>-107470</v>
      </c>
      <c r="U364" s="5">
        <v>-161370</v>
      </c>
      <c r="V364" s="5">
        <f t="shared" ref="V364:V368" si="117">+T364+U364</f>
        <v>-268840</v>
      </c>
      <c r="W364" s="5">
        <v>-15070</v>
      </c>
      <c r="X364" s="5">
        <f t="shared" ref="X364:X368" si="118">+T364+U364-W364</f>
        <v>-253770</v>
      </c>
      <c r="Y364" s="20">
        <v>-924180</v>
      </c>
    </row>
    <row r="365" spans="1:25" ht="15.75" x14ac:dyDescent="0.25">
      <c r="A365" s="10" t="s">
        <v>63</v>
      </c>
      <c r="B365" s="5">
        <v>-15600</v>
      </c>
      <c r="C365" s="5">
        <v>142370.00000000003</v>
      </c>
      <c r="D365" s="5">
        <f t="shared" si="113"/>
        <v>126770.00000000003</v>
      </c>
      <c r="E365" s="5">
        <v>12860</v>
      </c>
      <c r="F365" s="5">
        <f t="shared" si="114"/>
        <v>113910.00000000003</v>
      </c>
      <c r="G365" s="20">
        <v>-708200</v>
      </c>
      <c r="J365" s="10" t="s">
        <v>15</v>
      </c>
      <c r="K365" s="5">
        <v>-136562</v>
      </c>
      <c r="L365" s="5">
        <v>105250</v>
      </c>
      <c r="M365" s="5">
        <f t="shared" si="115"/>
        <v>-31312</v>
      </c>
      <c r="N365" s="5">
        <v>71687.5</v>
      </c>
      <c r="O365" s="5">
        <f t="shared" si="116"/>
        <v>-102999.5</v>
      </c>
      <c r="P365" s="20">
        <v>-368250</v>
      </c>
      <c r="R365" s="2"/>
      <c r="S365" s="10" t="s">
        <v>15</v>
      </c>
      <c r="T365" s="5">
        <v>-80062</v>
      </c>
      <c r="U365" s="5">
        <v>196875</v>
      </c>
      <c r="V365" s="5">
        <f t="shared" si="117"/>
        <v>116813</v>
      </c>
      <c r="W365" s="5">
        <v>10250</v>
      </c>
      <c r="X365" s="5">
        <f t="shared" si="118"/>
        <v>106563</v>
      </c>
      <c r="Y365" s="20">
        <v>-440000</v>
      </c>
    </row>
    <row r="366" spans="1:25" ht="15.75" x14ac:dyDescent="0.25">
      <c r="A366" s="10" t="s">
        <v>15</v>
      </c>
      <c r="B366" s="5">
        <v>40125</v>
      </c>
      <c r="C366" s="5">
        <v>-1250</v>
      </c>
      <c r="D366" s="5">
        <f t="shared" si="113"/>
        <v>38875</v>
      </c>
      <c r="E366" s="5">
        <v>8187.5000000000018</v>
      </c>
      <c r="F366" s="5">
        <f t="shared" si="114"/>
        <v>30687.5</v>
      </c>
      <c r="G366" s="20">
        <v>-682375</v>
      </c>
      <c r="J366" s="10" t="s">
        <v>55</v>
      </c>
      <c r="K366" s="5">
        <v>-32400</v>
      </c>
      <c r="L366" s="5">
        <v>-162500</v>
      </c>
      <c r="M366" s="5">
        <f t="shared" si="115"/>
        <v>-194900</v>
      </c>
      <c r="N366" s="5">
        <v>102400</v>
      </c>
      <c r="O366" s="5">
        <f t="shared" si="116"/>
        <v>-297300</v>
      </c>
      <c r="P366" s="20">
        <v>-186000</v>
      </c>
      <c r="R366" s="2"/>
      <c r="S366" s="10" t="s">
        <v>55</v>
      </c>
      <c r="T366" s="5">
        <v>13200</v>
      </c>
      <c r="U366" s="5">
        <v>24000</v>
      </c>
      <c r="V366" s="5">
        <f t="shared" si="117"/>
        <v>37200</v>
      </c>
      <c r="W366" s="5">
        <v>26500</v>
      </c>
      <c r="X366" s="5">
        <f t="shared" si="118"/>
        <v>10700</v>
      </c>
      <c r="Y366" s="20">
        <v>-250000</v>
      </c>
    </row>
    <row r="367" spans="1:25" ht="15.75" x14ac:dyDescent="0.25">
      <c r="A367" s="10" t="s">
        <v>55</v>
      </c>
      <c r="B367" s="5">
        <v>69000</v>
      </c>
      <c r="C367" s="5">
        <v>141700</v>
      </c>
      <c r="D367" s="5">
        <f t="shared" si="113"/>
        <v>210700</v>
      </c>
      <c r="E367" s="5">
        <v>9500</v>
      </c>
      <c r="F367" s="5">
        <f t="shared" si="114"/>
        <v>201200</v>
      </c>
      <c r="G367" s="20">
        <v>-612700</v>
      </c>
      <c r="J367" s="10" t="s">
        <v>50</v>
      </c>
      <c r="K367" s="5">
        <v>458687</v>
      </c>
      <c r="L367" s="5">
        <v>-471500</v>
      </c>
      <c r="M367" s="5">
        <f t="shared" si="115"/>
        <v>-12813</v>
      </c>
      <c r="N367" s="5">
        <v>45500</v>
      </c>
      <c r="O367" s="5">
        <f t="shared" si="116"/>
        <v>-58313</v>
      </c>
      <c r="P367" s="20">
        <v>-649500</v>
      </c>
      <c r="R367" s="2"/>
      <c r="S367" s="10" t="s">
        <v>50</v>
      </c>
      <c r="T367" s="5">
        <v>-61250</v>
      </c>
      <c r="U367" s="5">
        <v>241000</v>
      </c>
      <c r="V367" s="5">
        <f t="shared" si="117"/>
        <v>179750</v>
      </c>
      <c r="W367" s="5">
        <v>10750</v>
      </c>
      <c r="X367" s="5">
        <f t="shared" si="118"/>
        <v>169000</v>
      </c>
      <c r="Y367" s="20">
        <v>-246000</v>
      </c>
    </row>
    <row r="368" spans="1:25" ht="15.75" x14ac:dyDescent="0.25">
      <c r="A368" s="10" t="s">
        <v>87</v>
      </c>
      <c r="B368" s="5">
        <v>71381</v>
      </c>
      <c r="C368" s="5">
        <v>-104793.75000000006</v>
      </c>
      <c r="D368" s="5">
        <f t="shared" si="113"/>
        <v>-33412.750000000058</v>
      </c>
      <c r="E368" s="5">
        <v>19743.75</v>
      </c>
      <c r="F368" s="5">
        <f t="shared" si="114"/>
        <v>-53156.500000000058</v>
      </c>
      <c r="G368" s="20">
        <v>0</v>
      </c>
      <c r="J368" s="10" t="s">
        <v>52</v>
      </c>
      <c r="K368" s="5">
        <v>-119100</v>
      </c>
      <c r="L368" s="5">
        <v>38520.000000000015</v>
      </c>
      <c r="M368" s="5">
        <f t="shared" si="115"/>
        <v>-80579.999999999985</v>
      </c>
      <c r="N368" s="5">
        <v>44310</v>
      </c>
      <c r="O368" s="5">
        <f t="shared" si="116"/>
        <v>-124889.99999999999</v>
      </c>
      <c r="P368" s="20">
        <v>-410700</v>
      </c>
      <c r="R368" s="2"/>
      <c r="S368" s="10" t="s">
        <v>52</v>
      </c>
      <c r="T368" s="5">
        <v>-210330</v>
      </c>
      <c r="U368" s="5">
        <v>173880</v>
      </c>
      <c r="V368" s="5">
        <f t="shared" si="117"/>
        <v>-36450</v>
      </c>
      <c r="W368" s="5">
        <v>-5190</v>
      </c>
      <c r="X368" s="5">
        <f t="shared" si="118"/>
        <v>-31260</v>
      </c>
      <c r="Y368" s="20">
        <v>-445800</v>
      </c>
    </row>
    <row r="369" spans="1:25" ht="15.75" x14ac:dyDescent="0.25">
      <c r="A369" s="10" t="s">
        <v>50</v>
      </c>
      <c r="B369" s="5">
        <v>149937</v>
      </c>
      <c r="C369" s="5">
        <v>-51750.000000000044</v>
      </c>
      <c r="D369" s="5">
        <f t="shared" si="113"/>
        <v>98186.999999999956</v>
      </c>
      <c r="E369" s="5">
        <v>30125</v>
      </c>
      <c r="F369" s="5">
        <f t="shared" si="114"/>
        <v>68061.999999999956</v>
      </c>
      <c r="G369" s="20">
        <v>-494750</v>
      </c>
      <c r="J369" s="21" t="s">
        <v>107</v>
      </c>
      <c r="K369" s="22">
        <f t="shared" ref="K369:P369" si="119">SUM(K364:K368)</f>
        <v>-125865</v>
      </c>
      <c r="L369" s="22">
        <f t="shared" si="119"/>
        <v>-216710</v>
      </c>
      <c r="M369" s="22">
        <f t="shared" si="119"/>
        <v>-342575</v>
      </c>
      <c r="N369" s="18">
        <f t="shared" si="119"/>
        <v>387537.5</v>
      </c>
      <c r="O369" s="21">
        <f t="shared" si="119"/>
        <v>-730112.5</v>
      </c>
      <c r="P369" s="17">
        <f t="shared" si="119"/>
        <v>-2164450</v>
      </c>
      <c r="R369" s="2"/>
      <c r="S369" s="21" t="s">
        <v>107</v>
      </c>
      <c r="T369" s="22">
        <f t="shared" ref="T369:Y369" si="120">SUM(T364:T368)</f>
        <v>-445912</v>
      </c>
      <c r="U369" s="22">
        <f t="shared" si="120"/>
        <v>474385</v>
      </c>
      <c r="V369" s="22">
        <f t="shared" si="120"/>
        <v>28473</v>
      </c>
      <c r="W369" s="18">
        <f t="shared" si="120"/>
        <v>27240</v>
      </c>
      <c r="X369" s="21">
        <f t="shared" si="120"/>
        <v>1233</v>
      </c>
      <c r="Y369" s="17">
        <f t="shared" si="120"/>
        <v>-2305980</v>
      </c>
    </row>
    <row r="370" spans="1:25" ht="15.75" x14ac:dyDescent="0.25">
      <c r="A370" s="10" t="s">
        <v>52</v>
      </c>
      <c r="B370" s="5">
        <v>79110</v>
      </c>
      <c r="C370" s="5">
        <v>0</v>
      </c>
      <c r="D370" s="5">
        <f t="shared" si="113"/>
        <v>79110</v>
      </c>
      <c r="E370" s="5"/>
      <c r="F370" s="5">
        <f t="shared" si="114"/>
        <v>79110</v>
      </c>
      <c r="G370" s="20">
        <v>-474900</v>
      </c>
      <c r="R370" s="2"/>
      <c r="S370" s="12"/>
      <c r="T370" s="12"/>
      <c r="U370" s="12"/>
      <c r="V370" s="12"/>
      <c r="W370" s="12"/>
      <c r="X370" s="12"/>
      <c r="Y370" s="12"/>
    </row>
    <row r="371" spans="1:25" ht="15.75" x14ac:dyDescent="0.25">
      <c r="A371" s="21" t="s">
        <v>107</v>
      </c>
      <c r="B371" s="22">
        <f t="shared" ref="B371:G371" si="121">SUM(B364:B370)</f>
        <v>426803</v>
      </c>
      <c r="C371" s="22">
        <f t="shared" si="121"/>
        <v>71601.249999999927</v>
      </c>
      <c r="D371" s="22">
        <f t="shared" si="121"/>
        <v>498404.24999999988</v>
      </c>
      <c r="E371" s="18">
        <f t="shared" si="121"/>
        <v>70291.25</v>
      </c>
      <c r="F371" s="21">
        <f t="shared" si="121"/>
        <v>428112.99999999988</v>
      </c>
      <c r="G371" s="17">
        <f t="shared" si="121"/>
        <v>-2972925</v>
      </c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R372" s="2"/>
      <c r="S372" s="2"/>
      <c r="T372" s="12"/>
      <c r="U372" s="2"/>
      <c r="V372" s="2"/>
      <c r="W372" s="2"/>
      <c r="X372" s="2"/>
      <c r="Y372" s="2"/>
    </row>
    <row r="374" spans="1:25" x14ac:dyDescent="0.25">
      <c r="A374" s="122">
        <v>44831</v>
      </c>
      <c r="B374" s="123"/>
      <c r="C374" s="123"/>
      <c r="D374" s="123"/>
      <c r="E374" s="123"/>
      <c r="F374" s="123"/>
      <c r="G374" s="123"/>
    </row>
    <row r="375" spans="1:25" x14ac:dyDescent="0.25">
      <c r="A375" s="6" t="s">
        <v>34</v>
      </c>
      <c r="B375" s="6" t="s">
        <v>104</v>
      </c>
      <c r="C375" s="6" t="s">
        <v>105</v>
      </c>
      <c r="D375" s="6" t="s">
        <v>112</v>
      </c>
      <c r="E375" s="6" t="s">
        <v>106</v>
      </c>
      <c r="F375" s="3" t="s">
        <v>108</v>
      </c>
      <c r="G375" s="3" t="s">
        <v>28</v>
      </c>
    </row>
    <row r="376" spans="1:25" ht="15.75" x14ac:dyDescent="0.25">
      <c r="A376" s="10" t="s">
        <v>63</v>
      </c>
      <c r="B376" s="5">
        <v>263050</v>
      </c>
      <c r="C376" s="5">
        <v>118940</v>
      </c>
      <c r="D376" s="5">
        <f t="shared" ref="D376:D380" si="122">+B376+C376</f>
        <v>381990</v>
      </c>
      <c r="E376" s="5">
        <v>55560</v>
      </c>
      <c r="F376" s="5">
        <f t="shared" ref="F376:F380" si="123">+B376+C376-E376</f>
        <v>326430</v>
      </c>
      <c r="G376" s="20">
        <v>0</v>
      </c>
    </row>
    <row r="377" spans="1:25" ht="15.75" x14ac:dyDescent="0.25">
      <c r="A377" s="10" t="s">
        <v>15</v>
      </c>
      <c r="B377" s="5">
        <v>-101500</v>
      </c>
      <c r="C377" s="5">
        <v>181000</v>
      </c>
      <c r="D377" s="5">
        <f t="shared" si="122"/>
        <v>79500</v>
      </c>
      <c r="E377" s="5">
        <v>54000</v>
      </c>
      <c r="F377" s="5">
        <f t="shared" si="123"/>
        <v>25500</v>
      </c>
      <c r="G377" s="20">
        <v>0</v>
      </c>
      <c r="P377" s="24"/>
    </row>
    <row r="378" spans="1:25" ht="15.75" x14ac:dyDescent="0.25">
      <c r="A378" s="10" t="s">
        <v>55</v>
      </c>
      <c r="B378" s="5">
        <v>-113800</v>
      </c>
      <c r="C378" s="5">
        <v>173000</v>
      </c>
      <c r="D378" s="5">
        <f t="shared" si="122"/>
        <v>59200</v>
      </c>
      <c r="E378" s="5">
        <v>-5500</v>
      </c>
      <c r="F378" s="5">
        <f t="shared" si="123"/>
        <v>64700</v>
      </c>
      <c r="G378" s="20">
        <v>0</v>
      </c>
      <c r="P378" s="24"/>
    </row>
    <row r="379" spans="1:25" ht="15.75" x14ac:dyDescent="0.25">
      <c r="A379" s="10" t="s">
        <v>50</v>
      </c>
      <c r="B379" s="5">
        <v>19687</v>
      </c>
      <c r="C379" s="5">
        <v>877</v>
      </c>
      <c r="D379" s="5">
        <f t="shared" si="122"/>
        <v>20564</v>
      </c>
      <c r="E379" s="5">
        <v>22750</v>
      </c>
      <c r="F379" s="5">
        <f t="shared" si="123"/>
        <v>-2186</v>
      </c>
      <c r="G379" s="20">
        <v>0</v>
      </c>
      <c r="P379" s="24"/>
    </row>
    <row r="380" spans="1:25" ht="15.75" x14ac:dyDescent="0.25">
      <c r="A380" s="10" t="s">
        <v>52</v>
      </c>
      <c r="B380" s="5">
        <v>-28380</v>
      </c>
      <c r="C380" s="5">
        <v>45000</v>
      </c>
      <c r="D380" s="5">
        <f t="shared" si="122"/>
        <v>16620</v>
      </c>
      <c r="E380" s="5">
        <v>-65970</v>
      </c>
      <c r="F380" s="5">
        <f t="shared" si="123"/>
        <v>82590</v>
      </c>
      <c r="G380" s="20">
        <v>0</v>
      </c>
      <c r="P380" s="24"/>
    </row>
    <row r="381" spans="1:25" ht="15.75" x14ac:dyDescent="0.25">
      <c r="A381" s="21" t="s">
        <v>107</v>
      </c>
      <c r="B381" s="22">
        <f t="shared" ref="B381:F381" si="124">SUM(B376:B380)</f>
        <v>39057</v>
      </c>
      <c r="C381" s="22">
        <f t="shared" si="124"/>
        <v>518817</v>
      </c>
      <c r="D381" s="22">
        <f t="shared" si="124"/>
        <v>557874</v>
      </c>
      <c r="E381" s="18">
        <f t="shared" si="124"/>
        <v>60840</v>
      </c>
      <c r="F381" s="21">
        <f t="shared" si="124"/>
        <v>497034</v>
      </c>
      <c r="G381" s="17">
        <f>SUM(G376:G380)</f>
        <v>0</v>
      </c>
      <c r="P381" s="24"/>
    </row>
    <row r="382" spans="1:25" x14ac:dyDescent="0.25">
      <c r="P382" s="9"/>
    </row>
    <row r="383" spans="1:25" x14ac:dyDescent="0.25">
      <c r="A383" s="127" t="s">
        <v>115</v>
      </c>
      <c r="B383" s="127"/>
    </row>
    <row r="384" spans="1:25" x14ac:dyDescent="0.25">
      <c r="A384" s="127"/>
      <c r="B384" s="127"/>
      <c r="K384" s="9"/>
    </row>
    <row r="391" spans="1:7" x14ac:dyDescent="0.25">
      <c r="A391" s="122">
        <v>44875</v>
      </c>
      <c r="B391" s="123"/>
      <c r="C391" s="123"/>
      <c r="D391" s="123"/>
      <c r="E391" s="123"/>
      <c r="F391" s="123"/>
      <c r="G391" s="123"/>
    </row>
    <row r="392" spans="1:7" x14ac:dyDescent="0.25">
      <c r="A392" s="6" t="s">
        <v>34</v>
      </c>
      <c r="B392" s="6" t="s">
        <v>104</v>
      </c>
      <c r="C392" s="6" t="s">
        <v>105</v>
      </c>
      <c r="D392" s="6" t="s">
        <v>112</v>
      </c>
      <c r="E392" s="6" t="s">
        <v>106</v>
      </c>
      <c r="F392" s="3" t="s">
        <v>108</v>
      </c>
      <c r="G392" s="3" t="s">
        <v>28</v>
      </c>
    </row>
    <row r="393" spans="1:7" ht="15.75" x14ac:dyDescent="0.25">
      <c r="A393" s="10" t="s">
        <v>90</v>
      </c>
      <c r="B393" s="5">
        <v>8000</v>
      </c>
      <c r="C393" s="5">
        <v>0</v>
      </c>
      <c r="D393" s="5">
        <f t="shared" ref="D393:D398" si="125">+B393+C393</f>
        <v>8000</v>
      </c>
      <c r="E393" s="5">
        <v>0</v>
      </c>
      <c r="F393" s="5">
        <f t="shared" ref="F393:F398" si="126">+B393+C393-E393</f>
        <v>8000</v>
      </c>
      <c r="G393" s="20">
        <v>-131040</v>
      </c>
    </row>
    <row r="394" spans="1:7" ht="15.75" x14ac:dyDescent="0.25">
      <c r="A394" s="10" t="s">
        <v>94</v>
      </c>
      <c r="B394" s="5">
        <v>841.5</v>
      </c>
      <c r="C394" s="5">
        <v>0</v>
      </c>
      <c r="D394" s="5">
        <f t="shared" si="125"/>
        <v>841.5</v>
      </c>
      <c r="E394" s="5">
        <v>0</v>
      </c>
      <c r="F394" s="5">
        <f t="shared" si="126"/>
        <v>841.5</v>
      </c>
      <c r="G394" s="20">
        <v>-118800</v>
      </c>
    </row>
    <row r="395" spans="1:7" ht="15.75" x14ac:dyDescent="0.25">
      <c r="A395" s="10" t="s">
        <v>53</v>
      </c>
      <c r="B395" s="5">
        <v>77.5</v>
      </c>
      <c r="C395" s="5">
        <v>0</v>
      </c>
      <c r="D395" s="5">
        <f t="shared" si="125"/>
        <v>77.5</v>
      </c>
      <c r="E395" s="5">
        <v>0</v>
      </c>
      <c r="F395" s="5">
        <f t="shared" si="126"/>
        <v>77.5</v>
      </c>
      <c r="G395" s="20">
        <v>-140662.5</v>
      </c>
    </row>
    <row r="396" spans="1:7" ht="15.75" x14ac:dyDescent="0.25">
      <c r="A396" s="10" t="s">
        <v>15</v>
      </c>
      <c r="B396" s="5">
        <v>923</v>
      </c>
      <c r="C396" s="5">
        <v>0</v>
      </c>
      <c r="D396" s="5">
        <f t="shared" si="125"/>
        <v>923</v>
      </c>
      <c r="E396" s="5">
        <v>0</v>
      </c>
      <c r="F396" s="5">
        <f t="shared" si="126"/>
        <v>923</v>
      </c>
      <c r="G396" s="20">
        <v>-142500</v>
      </c>
    </row>
    <row r="397" spans="1:7" ht="15.75" x14ac:dyDescent="0.25">
      <c r="A397" s="10" t="s">
        <v>41</v>
      </c>
      <c r="B397" s="5">
        <v>-26</v>
      </c>
      <c r="C397" s="5">
        <v>0</v>
      </c>
      <c r="D397" s="5">
        <f t="shared" si="125"/>
        <v>-26</v>
      </c>
      <c r="E397" s="5">
        <v>0</v>
      </c>
      <c r="F397" s="5">
        <f t="shared" si="126"/>
        <v>-26</v>
      </c>
      <c r="G397" s="20">
        <v>-126525</v>
      </c>
    </row>
    <row r="398" spans="1:7" ht="15.75" x14ac:dyDescent="0.25">
      <c r="A398" s="10" t="s">
        <v>96</v>
      </c>
      <c r="B398" s="5">
        <v>4200</v>
      </c>
      <c r="C398" s="5">
        <v>0</v>
      </c>
      <c r="D398" s="5">
        <f t="shared" si="125"/>
        <v>4200</v>
      </c>
      <c r="E398" s="5">
        <v>0</v>
      </c>
      <c r="F398" s="5">
        <f t="shared" si="126"/>
        <v>4200</v>
      </c>
      <c r="G398" s="20">
        <v>-86275</v>
      </c>
    </row>
    <row r="399" spans="1:7" ht="15.75" x14ac:dyDescent="0.25">
      <c r="A399" s="21" t="s">
        <v>107</v>
      </c>
      <c r="B399" s="22">
        <f t="shared" ref="B399:G399" si="127">SUM(B393:B398)</f>
        <v>14016</v>
      </c>
      <c r="C399" s="22">
        <f t="shared" si="127"/>
        <v>0</v>
      </c>
      <c r="D399" s="22">
        <f t="shared" si="127"/>
        <v>14016</v>
      </c>
      <c r="E399" s="18">
        <f t="shared" si="127"/>
        <v>0</v>
      </c>
      <c r="F399" s="21">
        <f t="shared" si="127"/>
        <v>14016</v>
      </c>
      <c r="G399" s="17">
        <f t="shared" si="127"/>
        <v>-745802.5</v>
      </c>
    </row>
    <row r="403" spans="1:25" x14ac:dyDescent="0.25">
      <c r="A403" s="122">
        <v>44876</v>
      </c>
      <c r="B403" s="123"/>
      <c r="C403" s="123"/>
      <c r="D403" s="123"/>
      <c r="E403" s="123"/>
      <c r="F403" s="123"/>
      <c r="G403" s="123"/>
      <c r="J403" s="122">
        <v>44879</v>
      </c>
      <c r="K403" s="123"/>
      <c r="L403" s="123"/>
      <c r="M403" s="123"/>
      <c r="N403" s="123"/>
      <c r="O403" s="123"/>
      <c r="P403" s="123"/>
      <c r="S403" s="122">
        <v>44880</v>
      </c>
      <c r="T403" s="123"/>
      <c r="U403" s="123"/>
      <c r="V403" s="123"/>
      <c r="W403" s="123"/>
      <c r="X403" s="123"/>
      <c r="Y403" s="123"/>
    </row>
    <row r="404" spans="1:25" x14ac:dyDescent="0.25">
      <c r="A404" s="6" t="s">
        <v>34</v>
      </c>
      <c r="B404" s="6" t="s">
        <v>104</v>
      </c>
      <c r="C404" s="6" t="s">
        <v>105</v>
      </c>
      <c r="D404" s="6" t="s">
        <v>112</v>
      </c>
      <c r="E404" s="6" t="s">
        <v>106</v>
      </c>
      <c r="F404" s="3" t="s">
        <v>108</v>
      </c>
      <c r="G404" s="3" t="s">
        <v>28</v>
      </c>
      <c r="J404" s="6" t="s">
        <v>34</v>
      </c>
      <c r="K404" s="6" t="s">
        <v>104</v>
      </c>
      <c r="L404" s="6" t="s">
        <v>105</v>
      </c>
      <c r="M404" s="6" t="s">
        <v>112</v>
      </c>
      <c r="N404" s="6" t="s">
        <v>106</v>
      </c>
      <c r="O404" s="3" t="s">
        <v>108</v>
      </c>
      <c r="P404" s="3" t="s">
        <v>28</v>
      </c>
      <c r="S404" s="6" t="s">
        <v>34</v>
      </c>
      <c r="T404" s="6" t="s">
        <v>104</v>
      </c>
      <c r="U404" s="6" t="s">
        <v>105</v>
      </c>
      <c r="V404" s="6" t="s">
        <v>112</v>
      </c>
      <c r="W404" s="6" t="s">
        <v>106</v>
      </c>
      <c r="X404" s="3" t="s">
        <v>108</v>
      </c>
      <c r="Y404" s="3" t="s">
        <v>28</v>
      </c>
    </row>
    <row r="405" spans="1:25" ht="15.75" x14ac:dyDescent="0.25">
      <c r="A405" s="10" t="s">
        <v>90</v>
      </c>
      <c r="B405" s="5">
        <v>-3840</v>
      </c>
      <c r="C405" s="5">
        <v>42080</v>
      </c>
      <c r="D405" s="5">
        <f t="shared" ref="D405:D419" si="128">+B405+C405</f>
        <v>38240</v>
      </c>
      <c r="E405" s="5">
        <v>1280</v>
      </c>
      <c r="F405" s="5">
        <f t="shared" ref="F405:F419" si="129">+B405+C405-E405</f>
        <v>36960</v>
      </c>
      <c r="G405" s="20">
        <v>-228400</v>
      </c>
      <c r="J405" s="10" t="s">
        <v>90</v>
      </c>
      <c r="K405" s="5">
        <v>19360</v>
      </c>
      <c r="L405" s="5">
        <v>-93440</v>
      </c>
      <c r="M405" s="5">
        <f t="shared" ref="M405:M419" si="130">+K405+L405</f>
        <v>-74080</v>
      </c>
      <c r="N405" s="5">
        <v>2800</v>
      </c>
      <c r="O405" s="5">
        <f t="shared" ref="O405:O419" si="131">+K405+L405-N405</f>
        <v>-76880</v>
      </c>
      <c r="P405" s="20">
        <v>-411920</v>
      </c>
      <c r="S405" s="10" t="s">
        <v>90</v>
      </c>
      <c r="T405" s="5">
        <v>-64480</v>
      </c>
      <c r="U405" s="5">
        <v>146480</v>
      </c>
      <c r="V405" s="5">
        <f t="shared" ref="V405:V419" si="132">+T405+U405</f>
        <v>82000</v>
      </c>
      <c r="W405" s="5">
        <v>26160</v>
      </c>
      <c r="X405" s="5">
        <f t="shared" ref="X405:X419" si="133">+T405+U405-W405</f>
        <v>55840</v>
      </c>
      <c r="Y405" s="20">
        <v>-475040</v>
      </c>
    </row>
    <row r="406" spans="1:25" ht="15.75" x14ac:dyDescent="0.25">
      <c r="A406" s="10" t="s">
        <v>94</v>
      </c>
      <c r="B406" s="5">
        <v>-11610</v>
      </c>
      <c r="C406" s="5">
        <v>16380</v>
      </c>
      <c r="D406" s="5">
        <f t="shared" si="128"/>
        <v>4770</v>
      </c>
      <c r="E406" s="5">
        <v>540</v>
      </c>
      <c r="F406" s="5">
        <f t="shared" si="129"/>
        <v>4230</v>
      </c>
      <c r="G406" s="20">
        <v>-228600</v>
      </c>
      <c r="J406" s="10" t="s">
        <v>94</v>
      </c>
      <c r="K406" s="5">
        <v>-3240</v>
      </c>
      <c r="L406" s="5">
        <v>40950</v>
      </c>
      <c r="M406" s="5">
        <f t="shared" si="130"/>
        <v>37710</v>
      </c>
      <c r="N406" s="5">
        <v>4950</v>
      </c>
      <c r="O406" s="5">
        <f t="shared" si="131"/>
        <v>32760</v>
      </c>
      <c r="P406" s="20">
        <v>-304200</v>
      </c>
      <c r="S406" s="10" t="s">
        <v>94</v>
      </c>
      <c r="T406" s="5">
        <v>-2700</v>
      </c>
      <c r="U406" s="5">
        <v>60840</v>
      </c>
      <c r="V406" s="5">
        <f t="shared" si="132"/>
        <v>58140</v>
      </c>
      <c r="W406" s="5">
        <v>10260</v>
      </c>
      <c r="X406" s="5">
        <f t="shared" si="133"/>
        <v>47880</v>
      </c>
      <c r="Y406" s="20">
        <v>-419220</v>
      </c>
    </row>
    <row r="407" spans="1:25" ht="15.75" x14ac:dyDescent="0.25">
      <c r="A407" s="10" t="s">
        <v>53</v>
      </c>
      <c r="B407" s="5">
        <v>-1782</v>
      </c>
      <c r="C407" s="5">
        <v>17437.5</v>
      </c>
      <c r="D407" s="5">
        <f t="shared" si="128"/>
        <v>15655.5</v>
      </c>
      <c r="E407" s="5">
        <v>1550</v>
      </c>
      <c r="F407" s="5">
        <f t="shared" si="129"/>
        <v>14105.5</v>
      </c>
      <c r="G407" s="20">
        <v>-232887.5</v>
      </c>
      <c r="J407" s="10" t="s">
        <v>53</v>
      </c>
      <c r="K407" s="5">
        <v>-6665</v>
      </c>
      <c r="L407" s="5">
        <v>49987.5</v>
      </c>
      <c r="M407" s="5">
        <f t="shared" si="130"/>
        <v>43322.5</v>
      </c>
      <c r="N407" s="5">
        <v>9610</v>
      </c>
      <c r="O407" s="5">
        <f t="shared" si="131"/>
        <v>33712.5</v>
      </c>
      <c r="P407" s="20">
        <v>-336582.5</v>
      </c>
      <c r="S407" s="10" t="s">
        <v>53</v>
      </c>
      <c r="T407" s="5">
        <v>5812</v>
      </c>
      <c r="U407" s="5">
        <v>-6510</v>
      </c>
      <c r="V407" s="5">
        <f t="shared" si="132"/>
        <v>-698</v>
      </c>
      <c r="W407" s="5">
        <v>8215</v>
      </c>
      <c r="X407" s="5">
        <f t="shared" si="133"/>
        <v>-8913</v>
      </c>
      <c r="Y407" s="20">
        <v>-466782.5</v>
      </c>
    </row>
    <row r="408" spans="1:25" ht="15.75" x14ac:dyDescent="0.25">
      <c r="A408" s="10" t="s">
        <v>15</v>
      </c>
      <c r="B408" s="5">
        <v>100</v>
      </c>
      <c r="C408" s="5">
        <v>21250</v>
      </c>
      <c r="D408" s="5">
        <f t="shared" si="128"/>
        <v>21350</v>
      </c>
      <c r="E408" s="5">
        <v>3000</v>
      </c>
      <c r="F408" s="5">
        <f t="shared" si="129"/>
        <v>18350</v>
      </c>
      <c r="G408" s="20">
        <v>-272750</v>
      </c>
      <c r="J408" s="10" t="s">
        <v>15</v>
      </c>
      <c r="K408" s="5">
        <v>-4125</v>
      </c>
      <c r="L408" s="5">
        <v>49375</v>
      </c>
      <c r="M408" s="5">
        <f t="shared" si="130"/>
        <v>45250</v>
      </c>
      <c r="N408" s="5">
        <v>12125</v>
      </c>
      <c r="O408" s="5">
        <f t="shared" si="131"/>
        <v>33125</v>
      </c>
      <c r="P408" s="20">
        <v>-337750</v>
      </c>
      <c r="S408" s="10" t="s">
        <v>15</v>
      </c>
      <c r="T408" s="5">
        <v>-4200</v>
      </c>
      <c r="U408" s="5">
        <v>64250</v>
      </c>
      <c r="V408" s="5">
        <f t="shared" si="132"/>
        <v>60050</v>
      </c>
      <c r="W408" s="5">
        <v>3875</v>
      </c>
      <c r="X408" s="5">
        <f t="shared" si="133"/>
        <v>56175</v>
      </c>
      <c r="Y408" s="20">
        <v>-504500</v>
      </c>
    </row>
    <row r="409" spans="1:25" ht="15.75" x14ac:dyDescent="0.25">
      <c r="A409" s="10" t="s">
        <v>41</v>
      </c>
      <c r="B409" s="5">
        <v>21767</v>
      </c>
      <c r="C409" s="5">
        <v>-74375</v>
      </c>
      <c r="D409" s="5">
        <f t="shared" si="128"/>
        <v>-52608</v>
      </c>
      <c r="E409" s="5">
        <v>-1382.5</v>
      </c>
      <c r="F409" s="5">
        <f t="shared" si="129"/>
        <v>-51225.5</v>
      </c>
      <c r="G409" s="20">
        <v>-225977.5</v>
      </c>
      <c r="J409" s="10" t="s">
        <v>41</v>
      </c>
      <c r="K409" s="5">
        <v>-16563</v>
      </c>
      <c r="L409" s="5">
        <v>33250</v>
      </c>
      <c r="M409" s="5">
        <f t="shared" si="130"/>
        <v>16687</v>
      </c>
      <c r="N409" s="5">
        <v>4383.75</v>
      </c>
      <c r="O409" s="5">
        <f t="shared" si="131"/>
        <v>12303.25</v>
      </c>
      <c r="P409" s="20">
        <v>-291882.5</v>
      </c>
      <c r="S409" s="10" t="s">
        <v>41</v>
      </c>
      <c r="T409" s="5">
        <v>-2756</v>
      </c>
      <c r="U409" s="5">
        <v>48711.249999999993</v>
      </c>
      <c r="V409" s="5">
        <f t="shared" si="132"/>
        <v>45955.249999999993</v>
      </c>
      <c r="W409" s="5">
        <v>9695.0000000000018</v>
      </c>
      <c r="X409" s="5">
        <f t="shared" si="133"/>
        <v>36260.249999999993</v>
      </c>
      <c r="Y409" s="20">
        <v>-416780</v>
      </c>
    </row>
    <row r="410" spans="1:25" ht="15.75" x14ac:dyDescent="0.25">
      <c r="A410" s="10" t="s">
        <v>96</v>
      </c>
      <c r="B410" s="5">
        <v>-2522</v>
      </c>
      <c r="C410" s="5">
        <v>-2537.5</v>
      </c>
      <c r="D410" s="5">
        <f t="shared" si="128"/>
        <v>-5059.5</v>
      </c>
      <c r="E410" s="5">
        <v>1575.0000000000002</v>
      </c>
      <c r="F410" s="5">
        <f t="shared" si="129"/>
        <v>-6634.5</v>
      </c>
      <c r="G410" s="20">
        <v>-117425</v>
      </c>
      <c r="J410" s="10" t="s">
        <v>96</v>
      </c>
      <c r="K410" s="5">
        <v>-2450</v>
      </c>
      <c r="L410" s="5">
        <v>-16406.25</v>
      </c>
      <c r="M410" s="5">
        <f t="shared" si="130"/>
        <v>-18856.25</v>
      </c>
      <c r="N410" s="5">
        <v>-2143.75</v>
      </c>
      <c r="O410" s="5">
        <f t="shared" si="131"/>
        <v>-16712.5</v>
      </c>
      <c r="P410" s="20">
        <v>-180993.75</v>
      </c>
      <c r="S410" s="10" t="s">
        <v>96</v>
      </c>
      <c r="T410" s="5">
        <v>-10733</v>
      </c>
      <c r="U410" s="5">
        <v>53331.25</v>
      </c>
      <c r="V410" s="5">
        <f t="shared" si="132"/>
        <v>42598.25</v>
      </c>
      <c r="W410" s="5">
        <v>-1487.5</v>
      </c>
      <c r="X410" s="5">
        <f t="shared" si="133"/>
        <v>44085.75</v>
      </c>
      <c r="Y410" s="20">
        <v>-343175</v>
      </c>
    </row>
    <row r="411" spans="1:25" ht="15.75" x14ac:dyDescent="0.25">
      <c r="A411" s="10" t="s">
        <v>86</v>
      </c>
      <c r="B411" s="5">
        <v>10660</v>
      </c>
      <c r="C411" s="5">
        <v>0</v>
      </c>
      <c r="D411" s="5">
        <f t="shared" si="128"/>
        <v>10660</v>
      </c>
      <c r="E411" s="5"/>
      <c r="F411" s="5">
        <f t="shared" si="129"/>
        <v>10660</v>
      </c>
      <c r="G411" s="20">
        <v>-229515</v>
      </c>
      <c r="J411" s="10" t="s">
        <v>86</v>
      </c>
      <c r="K411" s="5">
        <v>-16981</v>
      </c>
      <c r="L411" s="5">
        <v>37960</v>
      </c>
      <c r="M411" s="5">
        <f t="shared" si="130"/>
        <v>20979</v>
      </c>
      <c r="N411" s="5">
        <v>7995</v>
      </c>
      <c r="O411" s="5">
        <f t="shared" si="131"/>
        <v>12984</v>
      </c>
      <c r="P411" s="20">
        <v>-78650</v>
      </c>
      <c r="S411" s="10" t="s">
        <v>86</v>
      </c>
      <c r="T411" s="5">
        <v>10836</v>
      </c>
      <c r="U411" s="5">
        <v>-5525</v>
      </c>
      <c r="V411" s="5">
        <f t="shared" si="132"/>
        <v>5311</v>
      </c>
      <c r="W411" s="5">
        <v>-1365</v>
      </c>
      <c r="X411" s="5">
        <f t="shared" si="133"/>
        <v>6676</v>
      </c>
      <c r="Y411" s="20">
        <v>0</v>
      </c>
    </row>
    <row r="412" spans="1:25" ht="15.75" x14ac:dyDescent="0.25">
      <c r="A412" s="10" t="s">
        <v>62</v>
      </c>
      <c r="B412" s="5">
        <v>-4412</v>
      </c>
      <c r="C412" s="5">
        <v>0</v>
      </c>
      <c r="D412" s="5">
        <f t="shared" si="128"/>
        <v>-4412</v>
      </c>
      <c r="E412" s="5"/>
      <c r="F412" s="5">
        <f t="shared" si="129"/>
        <v>-4412</v>
      </c>
      <c r="G412" s="20">
        <v>-119143.75</v>
      </c>
      <c r="J412" s="10" t="s">
        <v>62</v>
      </c>
      <c r="K412" s="5">
        <v>60687</v>
      </c>
      <c r="L412" s="5">
        <v>-26981.25</v>
      </c>
      <c r="M412" s="5">
        <f t="shared" si="130"/>
        <v>33705.75</v>
      </c>
      <c r="N412" s="5">
        <v>3262.5</v>
      </c>
      <c r="O412" s="5">
        <f t="shared" si="131"/>
        <v>30443.25</v>
      </c>
      <c r="P412" s="20">
        <v>-288300</v>
      </c>
      <c r="S412" s="10" t="s">
        <v>62</v>
      </c>
      <c r="T412" s="5">
        <v>105487</v>
      </c>
      <c r="U412" s="5">
        <v>-33418.75</v>
      </c>
      <c r="V412" s="5">
        <f t="shared" si="132"/>
        <v>72068.25</v>
      </c>
      <c r="W412" s="5">
        <v>13087.5</v>
      </c>
      <c r="X412" s="5">
        <f t="shared" si="133"/>
        <v>58980.75</v>
      </c>
      <c r="Y412" s="20">
        <v>-442050</v>
      </c>
    </row>
    <row r="413" spans="1:25" ht="15.75" x14ac:dyDescent="0.25">
      <c r="A413" s="10" t="s">
        <v>67</v>
      </c>
      <c r="B413" s="5">
        <v>-14365</v>
      </c>
      <c r="C413" s="5">
        <v>0</v>
      </c>
      <c r="D413" s="5">
        <f t="shared" si="128"/>
        <v>-14365</v>
      </c>
      <c r="E413" s="5"/>
      <c r="F413" s="5">
        <f t="shared" si="129"/>
        <v>-14365</v>
      </c>
      <c r="G413" s="20">
        <v>-209885</v>
      </c>
      <c r="J413" s="10" t="s">
        <v>67</v>
      </c>
      <c r="K413" s="5">
        <v>-5720</v>
      </c>
      <c r="L413" s="5">
        <v>66495</v>
      </c>
      <c r="M413" s="5">
        <f t="shared" si="130"/>
        <v>60775</v>
      </c>
      <c r="N413" s="5">
        <v>3900</v>
      </c>
      <c r="O413" s="5">
        <f t="shared" si="131"/>
        <v>56875</v>
      </c>
      <c r="P413" s="20">
        <v>-268580</v>
      </c>
      <c r="S413" s="10" t="s">
        <v>67</v>
      </c>
      <c r="T413" s="5">
        <v>-9100</v>
      </c>
      <c r="U413" s="5">
        <v>42250</v>
      </c>
      <c r="V413" s="5">
        <f t="shared" si="132"/>
        <v>33150</v>
      </c>
      <c r="W413" s="5">
        <v>9620</v>
      </c>
      <c r="X413" s="5">
        <f t="shared" si="133"/>
        <v>23530</v>
      </c>
      <c r="Y413" s="20">
        <v>-446030</v>
      </c>
    </row>
    <row r="414" spans="1:25" ht="15.75" x14ac:dyDescent="0.25">
      <c r="A414" s="10" t="s">
        <v>43</v>
      </c>
      <c r="B414" s="5">
        <v>6000</v>
      </c>
      <c r="C414" s="5">
        <v>0</v>
      </c>
      <c r="D414" s="5">
        <f t="shared" si="128"/>
        <v>6000</v>
      </c>
      <c r="E414" s="5"/>
      <c r="F414" s="5">
        <f t="shared" si="129"/>
        <v>6000</v>
      </c>
      <c r="G414" s="20">
        <v>-98937.5</v>
      </c>
      <c r="J414" s="10" t="s">
        <v>43</v>
      </c>
      <c r="K414" s="5">
        <v>-12500</v>
      </c>
      <c r="L414" s="5">
        <v>22125</v>
      </c>
      <c r="M414" s="5">
        <f t="shared" si="130"/>
        <v>9625</v>
      </c>
      <c r="N414" s="5">
        <v>4312.5</v>
      </c>
      <c r="O414" s="5">
        <f t="shared" si="131"/>
        <v>5312.5</v>
      </c>
      <c r="P414" s="20">
        <v>-312375</v>
      </c>
      <c r="S414" s="10" t="s">
        <v>43</v>
      </c>
      <c r="T414" s="5">
        <v>319375</v>
      </c>
      <c r="U414" s="5">
        <v>-266250</v>
      </c>
      <c r="V414" s="5">
        <f t="shared" si="132"/>
        <v>53125</v>
      </c>
      <c r="W414" s="5">
        <v>-1687.5</v>
      </c>
      <c r="X414" s="5">
        <f t="shared" si="133"/>
        <v>54812.5</v>
      </c>
      <c r="Y414" s="20">
        <v>-583000</v>
      </c>
    </row>
    <row r="415" spans="1:25" ht="15.75" x14ac:dyDescent="0.25">
      <c r="A415" s="10" t="s">
        <v>71</v>
      </c>
      <c r="B415" s="5">
        <v>-5250</v>
      </c>
      <c r="C415" s="5">
        <v>0</v>
      </c>
      <c r="D415" s="5">
        <f t="shared" si="128"/>
        <v>-5250</v>
      </c>
      <c r="E415" s="5"/>
      <c r="F415" s="5">
        <f t="shared" si="129"/>
        <v>-5250</v>
      </c>
      <c r="G415" s="20">
        <v>-66500</v>
      </c>
      <c r="J415" s="10" t="s">
        <v>71</v>
      </c>
      <c r="K415" s="5">
        <v>-9975</v>
      </c>
      <c r="L415" s="5">
        <v>-2625</v>
      </c>
      <c r="M415" s="5">
        <f t="shared" si="130"/>
        <v>-12600</v>
      </c>
      <c r="N415" s="5">
        <v>-3150</v>
      </c>
      <c r="O415" s="5">
        <f t="shared" si="131"/>
        <v>-9450</v>
      </c>
      <c r="P415" s="20">
        <v>-117950</v>
      </c>
      <c r="S415" s="10" t="s">
        <v>71</v>
      </c>
      <c r="T415" s="5">
        <v>-21700</v>
      </c>
      <c r="U415" s="5">
        <v>27650</v>
      </c>
      <c r="V415" s="5">
        <f t="shared" si="132"/>
        <v>5950</v>
      </c>
      <c r="W415" s="5">
        <v>3150</v>
      </c>
      <c r="X415" s="5">
        <f t="shared" si="133"/>
        <v>2800</v>
      </c>
      <c r="Y415" s="20">
        <v>-397600</v>
      </c>
    </row>
    <row r="416" spans="1:25" ht="15.75" x14ac:dyDescent="0.25">
      <c r="A416" s="10" t="s">
        <v>54</v>
      </c>
      <c r="B416" s="5">
        <v>900</v>
      </c>
      <c r="C416" s="5">
        <v>0</v>
      </c>
      <c r="D416" s="5">
        <f t="shared" si="128"/>
        <v>900</v>
      </c>
      <c r="E416" s="5">
        <v>0</v>
      </c>
      <c r="F416" s="5">
        <f t="shared" si="129"/>
        <v>900</v>
      </c>
      <c r="G416" s="20">
        <v>-212250</v>
      </c>
      <c r="J416" s="10" t="s">
        <v>54</v>
      </c>
      <c r="K416" s="5">
        <v>-47950</v>
      </c>
      <c r="L416" s="5">
        <v>16750</v>
      </c>
      <c r="M416" s="5">
        <f t="shared" si="130"/>
        <v>-31200</v>
      </c>
      <c r="N416" s="5">
        <v>-1750</v>
      </c>
      <c r="O416" s="5">
        <f t="shared" si="131"/>
        <v>-29450</v>
      </c>
      <c r="P416" s="20">
        <v>-299250</v>
      </c>
      <c r="S416" s="10" t="s">
        <v>54</v>
      </c>
      <c r="T416" s="5">
        <v>-20000</v>
      </c>
      <c r="U416" s="5">
        <v>60800</v>
      </c>
      <c r="V416" s="5">
        <f t="shared" si="132"/>
        <v>40800</v>
      </c>
      <c r="W416" s="5">
        <v>800</v>
      </c>
      <c r="X416" s="5">
        <f t="shared" si="133"/>
        <v>40000</v>
      </c>
      <c r="Y416" s="20">
        <v>-482150</v>
      </c>
    </row>
    <row r="417" spans="1:25" ht="15.75" x14ac:dyDescent="0.25">
      <c r="A417" s="10" t="s">
        <v>42</v>
      </c>
      <c r="B417" s="5">
        <v>4800</v>
      </c>
      <c r="C417" s="5">
        <v>0</v>
      </c>
      <c r="D417" s="5">
        <f t="shared" si="128"/>
        <v>4800</v>
      </c>
      <c r="E417" s="5">
        <v>0</v>
      </c>
      <c r="F417" s="5">
        <f t="shared" si="129"/>
        <v>4800</v>
      </c>
      <c r="G417" s="20">
        <v>-223950</v>
      </c>
      <c r="J417" s="10" t="s">
        <v>42</v>
      </c>
      <c r="K417" s="5">
        <v>-15750</v>
      </c>
      <c r="L417" s="5">
        <v>57750</v>
      </c>
      <c r="M417" s="5">
        <f t="shared" si="130"/>
        <v>42000</v>
      </c>
      <c r="N417" s="5">
        <v>900</v>
      </c>
      <c r="O417" s="5">
        <f t="shared" si="131"/>
        <v>41100</v>
      </c>
      <c r="P417" s="20">
        <v>-313200</v>
      </c>
      <c r="S417" s="10" t="s">
        <v>42</v>
      </c>
      <c r="T417" s="5">
        <v>-10725</v>
      </c>
      <c r="U417" s="5">
        <v>46200</v>
      </c>
      <c r="V417" s="5">
        <f t="shared" si="132"/>
        <v>35475</v>
      </c>
      <c r="W417" s="5">
        <v>6600</v>
      </c>
      <c r="X417" s="5">
        <f t="shared" si="133"/>
        <v>28875</v>
      </c>
      <c r="Y417" s="20">
        <v>-536250</v>
      </c>
    </row>
    <row r="418" spans="1:25" ht="15.75" x14ac:dyDescent="0.25">
      <c r="A418" s="10" t="s">
        <v>92</v>
      </c>
      <c r="B418" s="5">
        <v>-9451</v>
      </c>
      <c r="C418" s="5">
        <v>0</v>
      </c>
      <c r="D418" s="5">
        <f t="shared" si="128"/>
        <v>-9451</v>
      </c>
      <c r="E418" s="5">
        <v>0</v>
      </c>
      <c r="F418" s="5">
        <f t="shared" si="129"/>
        <v>-9451</v>
      </c>
      <c r="G418" s="20">
        <v>-217992.4</v>
      </c>
      <c r="J418" s="10" t="s">
        <v>92</v>
      </c>
      <c r="K418" s="5">
        <v>-26947</v>
      </c>
      <c r="L418" s="5">
        <v>38611.200000000004</v>
      </c>
      <c r="M418" s="5">
        <f t="shared" si="130"/>
        <v>11664.200000000004</v>
      </c>
      <c r="N418" s="5">
        <v>-4826.3999999999996</v>
      </c>
      <c r="O418" s="5">
        <f t="shared" si="131"/>
        <v>16490.600000000006</v>
      </c>
      <c r="P418" s="20">
        <v>-297225.8</v>
      </c>
      <c r="S418" s="10" t="s">
        <v>92</v>
      </c>
      <c r="T418" s="5">
        <v>-402</v>
      </c>
      <c r="U418" s="5">
        <v>81445.5</v>
      </c>
      <c r="V418" s="5">
        <f t="shared" si="132"/>
        <v>81043.5</v>
      </c>
      <c r="W418" s="5">
        <v>-1000</v>
      </c>
      <c r="X418" s="5">
        <f t="shared" si="133"/>
        <v>82043.5</v>
      </c>
      <c r="Y418" s="20">
        <v>-385910.9</v>
      </c>
    </row>
    <row r="419" spans="1:25" ht="15.75" x14ac:dyDescent="0.25">
      <c r="A419" s="10" t="s">
        <v>46</v>
      </c>
      <c r="B419" s="5">
        <v>17575</v>
      </c>
      <c r="C419" s="5">
        <v>0</v>
      </c>
      <c r="D419" s="5">
        <f t="shared" si="128"/>
        <v>17575</v>
      </c>
      <c r="E419" s="5">
        <v>0</v>
      </c>
      <c r="F419" s="5">
        <f t="shared" si="129"/>
        <v>17575</v>
      </c>
      <c r="G419" s="20">
        <v>-198170</v>
      </c>
      <c r="J419" s="10" t="s">
        <v>46</v>
      </c>
      <c r="K419" s="5">
        <v>-25911</v>
      </c>
      <c r="L419" s="5">
        <v>71083.75</v>
      </c>
      <c r="M419" s="5">
        <f t="shared" si="130"/>
        <v>45172.75</v>
      </c>
      <c r="N419" s="5">
        <v>14321.25</v>
      </c>
      <c r="O419" s="5">
        <f t="shared" si="131"/>
        <v>30851.5</v>
      </c>
      <c r="P419" s="20">
        <v>-353970</v>
      </c>
      <c r="S419" s="10" t="s">
        <v>46</v>
      </c>
      <c r="T419" s="5">
        <v>-109511</v>
      </c>
      <c r="U419" s="5">
        <v>71392.5</v>
      </c>
      <c r="V419" s="5">
        <f t="shared" si="132"/>
        <v>-38118.5</v>
      </c>
      <c r="W419" s="5">
        <v>20733.75</v>
      </c>
      <c r="X419" s="5">
        <f t="shared" si="133"/>
        <v>-58852.25</v>
      </c>
      <c r="Y419" s="20">
        <v>-490556.25</v>
      </c>
    </row>
    <row r="420" spans="1:25" ht="15.75" x14ac:dyDescent="0.25">
      <c r="A420" s="21" t="s">
        <v>107</v>
      </c>
      <c r="B420" s="22">
        <f t="shared" ref="B420:G420" si="134">SUM(B405:B419)</f>
        <v>8570</v>
      </c>
      <c r="C420" s="22">
        <f t="shared" si="134"/>
        <v>20235</v>
      </c>
      <c r="D420" s="22">
        <f t="shared" si="134"/>
        <v>28805</v>
      </c>
      <c r="E420" s="18">
        <f t="shared" si="134"/>
        <v>6562.5</v>
      </c>
      <c r="F420" s="21">
        <f t="shared" si="134"/>
        <v>22242.5</v>
      </c>
      <c r="G420" s="17">
        <f t="shared" si="134"/>
        <v>-2882383.65</v>
      </c>
      <c r="J420" s="21" t="s">
        <v>107</v>
      </c>
      <c r="K420" s="22">
        <f>SUM(K405:K419)</f>
        <v>-114730</v>
      </c>
      <c r="L420" s="22">
        <f>SUM(L405:L419)</f>
        <v>344884.95</v>
      </c>
      <c r="M420" s="22">
        <f t="shared" ref="M420:P420" si="135">SUM(M405:M419)</f>
        <v>230154.95</v>
      </c>
      <c r="N420" s="18">
        <f t="shared" si="135"/>
        <v>56689.85</v>
      </c>
      <c r="O420" s="21">
        <f t="shared" si="135"/>
        <v>173465.1</v>
      </c>
      <c r="P420" s="17">
        <f t="shared" si="135"/>
        <v>-4192829.55</v>
      </c>
      <c r="S420" s="21" t="s">
        <v>107</v>
      </c>
      <c r="T420" s="22">
        <f>SUM(T405:T419)</f>
        <v>185203</v>
      </c>
      <c r="U420" s="22">
        <f>SUM(U405:U419)</f>
        <v>391646.75</v>
      </c>
      <c r="V420" s="22">
        <f t="shared" ref="V420:Y420" si="136">SUM(V405:V419)</f>
        <v>576849.75</v>
      </c>
      <c r="W420" s="18">
        <f t="shared" si="136"/>
        <v>106656.25</v>
      </c>
      <c r="X420" s="21">
        <f t="shared" si="136"/>
        <v>470193.5</v>
      </c>
      <c r="Y420" s="17">
        <f t="shared" si="136"/>
        <v>-6389044.6500000004</v>
      </c>
    </row>
    <row r="423" spans="1:25" x14ac:dyDescent="0.25">
      <c r="A423" s="122">
        <v>44881</v>
      </c>
      <c r="B423" s="123"/>
      <c r="C423" s="123"/>
      <c r="D423" s="123"/>
      <c r="E423" s="123"/>
      <c r="F423" s="123"/>
      <c r="G423" s="123"/>
      <c r="J423" s="122">
        <v>44882</v>
      </c>
      <c r="K423" s="123"/>
      <c r="L423" s="123"/>
      <c r="M423" s="123"/>
      <c r="N423" s="123"/>
      <c r="O423" s="123"/>
      <c r="P423" s="123"/>
      <c r="S423" s="122">
        <v>44883</v>
      </c>
      <c r="T423" s="123"/>
      <c r="U423" s="123"/>
      <c r="V423" s="123"/>
      <c r="W423" s="123"/>
      <c r="X423" s="123"/>
      <c r="Y423" s="123"/>
    </row>
    <row r="424" spans="1:25" x14ac:dyDescent="0.25">
      <c r="A424" s="6" t="s">
        <v>34</v>
      </c>
      <c r="B424" s="6" t="s">
        <v>104</v>
      </c>
      <c r="C424" s="6" t="s">
        <v>105</v>
      </c>
      <c r="D424" s="6" t="s">
        <v>112</v>
      </c>
      <c r="E424" s="6" t="s">
        <v>106</v>
      </c>
      <c r="F424" s="3" t="s">
        <v>108</v>
      </c>
      <c r="G424" s="3" t="s">
        <v>28</v>
      </c>
      <c r="J424" s="6" t="s">
        <v>34</v>
      </c>
      <c r="K424" s="6" t="s">
        <v>104</v>
      </c>
      <c r="L424" s="6" t="s">
        <v>105</v>
      </c>
      <c r="M424" s="6" t="s">
        <v>112</v>
      </c>
      <c r="N424" s="6" t="s">
        <v>106</v>
      </c>
      <c r="O424" s="3" t="s">
        <v>108</v>
      </c>
      <c r="P424" s="3" t="s">
        <v>28</v>
      </c>
      <c r="S424" s="6" t="s">
        <v>34</v>
      </c>
      <c r="T424" s="6" t="s">
        <v>104</v>
      </c>
      <c r="U424" s="6" t="s">
        <v>105</v>
      </c>
      <c r="V424" s="6" t="s">
        <v>112</v>
      </c>
      <c r="W424" s="6" t="s">
        <v>106</v>
      </c>
      <c r="X424" s="3" t="s">
        <v>108</v>
      </c>
      <c r="Y424" s="3" t="s">
        <v>28</v>
      </c>
    </row>
    <row r="425" spans="1:25" ht="15.75" x14ac:dyDescent="0.25">
      <c r="A425" s="10" t="s">
        <v>90</v>
      </c>
      <c r="B425" s="5">
        <v>-44880</v>
      </c>
      <c r="C425" s="5">
        <v>78720</v>
      </c>
      <c r="D425" s="5">
        <f t="shared" ref="D425:D438" si="137">+B425+C425</f>
        <v>33840</v>
      </c>
      <c r="E425" s="5">
        <v>45760</v>
      </c>
      <c r="F425" s="5">
        <f t="shared" ref="F425:F438" si="138">+B425+C425-E425</f>
        <v>-11920</v>
      </c>
      <c r="G425" s="20">
        <v>-420400</v>
      </c>
      <c r="J425" s="10" t="s">
        <v>90</v>
      </c>
      <c r="K425" s="5">
        <v>-17760</v>
      </c>
      <c r="L425" s="5">
        <v>114000</v>
      </c>
      <c r="M425" s="5">
        <f t="shared" ref="M425:M439" si="139">+K425+L425</f>
        <v>96240</v>
      </c>
      <c r="N425" s="5">
        <v>36320</v>
      </c>
      <c r="O425" s="5">
        <f t="shared" ref="O425:O439" si="140">+K425+L425-N425</f>
        <v>59920</v>
      </c>
      <c r="P425" s="20">
        <v>0</v>
      </c>
      <c r="S425" s="10" t="s">
        <v>94</v>
      </c>
      <c r="T425" s="5">
        <v>35100</v>
      </c>
      <c r="U425" s="5">
        <v>58950</v>
      </c>
      <c r="V425" s="5">
        <f t="shared" ref="V425:V440" si="141">+T425+U425</f>
        <v>94050</v>
      </c>
      <c r="W425" s="5">
        <v>1080</v>
      </c>
      <c r="X425" s="5">
        <f t="shared" ref="X425:X440" si="142">+T425+U425-W425</f>
        <v>92970</v>
      </c>
      <c r="Y425" s="20">
        <v>-523440</v>
      </c>
    </row>
    <row r="426" spans="1:25" ht="15.75" x14ac:dyDescent="0.25">
      <c r="A426" s="10" t="s">
        <v>94</v>
      </c>
      <c r="B426" s="5">
        <v>22081</v>
      </c>
      <c r="C426" s="5">
        <v>8550</v>
      </c>
      <c r="D426" s="5">
        <f t="shared" si="137"/>
        <v>30631</v>
      </c>
      <c r="E426" s="5">
        <v>7920</v>
      </c>
      <c r="F426" s="5">
        <f t="shared" si="138"/>
        <v>22711</v>
      </c>
      <c r="G426" s="20">
        <v>-420030</v>
      </c>
      <c r="J426" s="10" t="s">
        <v>94</v>
      </c>
      <c r="K426" s="5">
        <v>47160</v>
      </c>
      <c r="L426" s="5">
        <v>9359.9999999999927</v>
      </c>
      <c r="M426" s="5">
        <f t="shared" si="139"/>
        <v>56519.999999999993</v>
      </c>
      <c r="N426" s="5">
        <v>4140</v>
      </c>
      <c r="O426" s="5">
        <f t="shared" si="140"/>
        <v>52379.999999999993</v>
      </c>
      <c r="P426" s="20">
        <v>-493290</v>
      </c>
      <c r="S426" s="10" t="s">
        <v>53</v>
      </c>
      <c r="T426" s="5">
        <v>-72152</v>
      </c>
      <c r="U426" s="5">
        <v>44407.5</v>
      </c>
      <c r="V426" s="5">
        <f t="shared" si="141"/>
        <v>-27744.5</v>
      </c>
      <c r="W426" s="5">
        <v>-4030</v>
      </c>
      <c r="X426" s="5">
        <f t="shared" si="142"/>
        <v>-23714.5</v>
      </c>
      <c r="Y426" s="20">
        <v>-614420</v>
      </c>
    </row>
    <row r="427" spans="1:25" ht="15.75" x14ac:dyDescent="0.25">
      <c r="A427" s="10" t="s">
        <v>53</v>
      </c>
      <c r="B427" s="5">
        <v>18910</v>
      </c>
      <c r="C427" s="5">
        <v>13950</v>
      </c>
      <c r="D427" s="5">
        <f t="shared" si="137"/>
        <v>32860</v>
      </c>
      <c r="E427" s="5">
        <v>-2092.5</v>
      </c>
      <c r="F427" s="5">
        <f t="shared" si="138"/>
        <v>34952.5</v>
      </c>
      <c r="G427" s="20">
        <v>-432295</v>
      </c>
      <c r="J427" s="10" t="s">
        <v>53</v>
      </c>
      <c r="K427" s="5">
        <v>15732</v>
      </c>
      <c r="L427" s="5">
        <v>27590</v>
      </c>
      <c r="M427" s="5">
        <f t="shared" si="139"/>
        <v>43322</v>
      </c>
      <c r="N427" s="5">
        <v>25885</v>
      </c>
      <c r="O427" s="5">
        <f t="shared" si="140"/>
        <v>17437</v>
      </c>
      <c r="P427" s="20">
        <v>-510647.5</v>
      </c>
      <c r="S427" s="10" t="s">
        <v>15</v>
      </c>
      <c r="T427" s="5">
        <v>-59687</v>
      </c>
      <c r="U427" s="5">
        <v>141875</v>
      </c>
      <c r="V427" s="5">
        <f t="shared" si="141"/>
        <v>82188</v>
      </c>
      <c r="W427" s="5">
        <v>17625</v>
      </c>
      <c r="X427" s="5">
        <f t="shared" si="142"/>
        <v>64563</v>
      </c>
      <c r="Y427" s="20">
        <v>-531750</v>
      </c>
    </row>
    <row r="428" spans="1:25" ht="15.75" x14ac:dyDescent="0.25">
      <c r="A428" s="10" t="s">
        <v>15</v>
      </c>
      <c r="B428" s="5">
        <v>-8187</v>
      </c>
      <c r="C428" s="5">
        <v>51562.499999999985</v>
      </c>
      <c r="D428" s="5">
        <f t="shared" si="137"/>
        <v>43375.499999999985</v>
      </c>
      <c r="E428" s="5">
        <v>20562.5</v>
      </c>
      <c r="F428" s="5">
        <f t="shared" si="138"/>
        <v>22812.999999999985</v>
      </c>
      <c r="G428" s="20">
        <v>-433750</v>
      </c>
      <c r="J428" s="10" t="s">
        <v>15</v>
      </c>
      <c r="K428" s="5">
        <v>-25937</v>
      </c>
      <c r="L428" s="5">
        <v>74875</v>
      </c>
      <c r="M428" s="5">
        <f t="shared" si="139"/>
        <v>48938</v>
      </c>
      <c r="N428" s="5">
        <v>10500</v>
      </c>
      <c r="O428" s="5">
        <f t="shared" si="140"/>
        <v>38438</v>
      </c>
      <c r="P428" s="20">
        <v>-485625</v>
      </c>
      <c r="S428" s="10" t="s">
        <v>41</v>
      </c>
      <c r="T428" s="5">
        <v>-47337</v>
      </c>
      <c r="U428" s="5">
        <v>99802.5</v>
      </c>
      <c r="V428" s="5">
        <f t="shared" si="141"/>
        <v>52465.5</v>
      </c>
      <c r="W428" s="5">
        <v>10622.5</v>
      </c>
      <c r="X428" s="5">
        <f t="shared" si="142"/>
        <v>41843</v>
      </c>
      <c r="Y428" s="20">
        <v>0</v>
      </c>
    </row>
    <row r="429" spans="1:25" ht="15.75" x14ac:dyDescent="0.25">
      <c r="A429" s="10" t="s">
        <v>41</v>
      </c>
      <c r="B429" s="5">
        <v>126</v>
      </c>
      <c r="C429" s="5">
        <v>46961.25</v>
      </c>
      <c r="D429" s="5">
        <f t="shared" si="137"/>
        <v>47087.25</v>
      </c>
      <c r="E429" s="5">
        <v>1312.5</v>
      </c>
      <c r="F429" s="5">
        <f t="shared" si="138"/>
        <v>45774.75</v>
      </c>
      <c r="G429" s="20">
        <v>-474993.75</v>
      </c>
      <c r="J429" s="10" t="s">
        <v>41</v>
      </c>
      <c r="K429" s="5">
        <v>80299</v>
      </c>
      <c r="L429" s="5">
        <v>-56752.5</v>
      </c>
      <c r="M429" s="5">
        <f t="shared" si="139"/>
        <v>23546.5</v>
      </c>
      <c r="N429" s="5">
        <v>34072.5</v>
      </c>
      <c r="O429" s="5">
        <f t="shared" si="140"/>
        <v>-10526</v>
      </c>
      <c r="P429" s="20">
        <v>-421575</v>
      </c>
      <c r="S429" s="10" t="s">
        <v>96</v>
      </c>
      <c r="T429" s="5">
        <v>102112</v>
      </c>
      <c r="U429" s="5">
        <v>168875</v>
      </c>
      <c r="V429" s="5">
        <f t="shared" si="141"/>
        <v>270987</v>
      </c>
      <c r="W429" s="5">
        <v>19118.75</v>
      </c>
      <c r="X429" s="5">
        <f t="shared" si="142"/>
        <v>251868.25</v>
      </c>
      <c r="Y429" s="20">
        <v>-420525</v>
      </c>
    </row>
    <row r="430" spans="1:25" ht="15.75" x14ac:dyDescent="0.25">
      <c r="A430" s="10" t="s">
        <v>96</v>
      </c>
      <c r="B430" s="5">
        <v>19687</v>
      </c>
      <c r="C430" s="5">
        <v>250</v>
      </c>
      <c r="D430" s="5">
        <f t="shared" si="137"/>
        <v>19937</v>
      </c>
      <c r="E430" s="5">
        <v>-3937.5</v>
      </c>
      <c r="F430" s="5">
        <f t="shared" si="138"/>
        <v>23874.5</v>
      </c>
      <c r="G430" s="20">
        <v>-377956.25</v>
      </c>
      <c r="J430" s="10" t="s">
        <v>96</v>
      </c>
      <c r="K430" s="5">
        <v>-4987</v>
      </c>
      <c r="L430" s="5">
        <v>68731.25</v>
      </c>
      <c r="M430" s="5">
        <f t="shared" si="139"/>
        <v>63744.25</v>
      </c>
      <c r="N430" s="5">
        <v>-13475</v>
      </c>
      <c r="O430" s="5">
        <f t="shared" si="140"/>
        <v>77219.25</v>
      </c>
      <c r="P430" s="20">
        <v>-532350</v>
      </c>
      <c r="S430" s="10" t="s">
        <v>62</v>
      </c>
      <c r="T430" s="5">
        <v>36806</v>
      </c>
      <c r="U430" s="5">
        <v>176637.5</v>
      </c>
      <c r="V430" s="5">
        <f t="shared" si="141"/>
        <v>213443.5</v>
      </c>
      <c r="W430" s="5">
        <v>1418.75</v>
      </c>
      <c r="X430" s="5">
        <f t="shared" si="142"/>
        <v>212024.75</v>
      </c>
      <c r="Y430" s="20">
        <v>-482500</v>
      </c>
    </row>
    <row r="431" spans="1:25" ht="15.75" x14ac:dyDescent="0.25">
      <c r="A431" s="10" t="s">
        <v>62</v>
      </c>
      <c r="B431" s="5">
        <v>3162</v>
      </c>
      <c r="C431" s="5">
        <v>40618.75</v>
      </c>
      <c r="D431" s="5">
        <f t="shared" si="137"/>
        <v>43780.75</v>
      </c>
      <c r="E431" s="5">
        <v>1531.25</v>
      </c>
      <c r="F431" s="5">
        <f t="shared" si="138"/>
        <v>42249.5</v>
      </c>
      <c r="G431" s="20">
        <v>-397750</v>
      </c>
      <c r="J431" s="10" t="s">
        <v>62</v>
      </c>
      <c r="K431" s="5">
        <v>143888</v>
      </c>
      <c r="L431" s="5">
        <v>-192675</v>
      </c>
      <c r="M431" s="5">
        <f t="shared" si="139"/>
        <v>-48787</v>
      </c>
      <c r="N431" s="5">
        <v>-8731.25</v>
      </c>
      <c r="O431" s="5">
        <f t="shared" si="140"/>
        <v>-40055.75</v>
      </c>
      <c r="P431" s="20">
        <v>-544750</v>
      </c>
      <c r="S431" s="10" t="s">
        <v>67</v>
      </c>
      <c r="T431" s="5">
        <v>33605</v>
      </c>
      <c r="U431" s="5">
        <v>107055</v>
      </c>
      <c r="V431" s="5">
        <f t="shared" si="141"/>
        <v>140660</v>
      </c>
      <c r="W431" s="5">
        <v>7410</v>
      </c>
      <c r="X431" s="5">
        <f t="shared" si="142"/>
        <v>133250</v>
      </c>
      <c r="Y431" s="20">
        <v>-454805</v>
      </c>
    </row>
    <row r="432" spans="1:25" ht="15.75" x14ac:dyDescent="0.25">
      <c r="A432" s="10" t="s">
        <v>67</v>
      </c>
      <c r="B432" s="5">
        <v>19305</v>
      </c>
      <c r="C432" s="5">
        <v>12024.999999999978</v>
      </c>
      <c r="D432" s="5">
        <f t="shared" si="137"/>
        <v>31329.999999999978</v>
      </c>
      <c r="E432" s="5">
        <v>-4030</v>
      </c>
      <c r="F432" s="5">
        <f t="shared" si="138"/>
        <v>35359.999999999978</v>
      </c>
      <c r="G432" s="20">
        <v>-381615</v>
      </c>
      <c r="J432" s="10" t="s">
        <v>67</v>
      </c>
      <c r="K432" s="5">
        <v>-15340</v>
      </c>
      <c r="L432" s="5">
        <v>52910</v>
      </c>
      <c r="M432" s="5">
        <f t="shared" si="139"/>
        <v>37570</v>
      </c>
      <c r="N432" s="5">
        <v>11700</v>
      </c>
      <c r="O432" s="5">
        <f t="shared" si="140"/>
        <v>25870</v>
      </c>
      <c r="P432" s="20">
        <v>-436020</v>
      </c>
      <c r="S432" s="10" t="s">
        <v>43</v>
      </c>
      <c r="T432" s="5">
        <v>-56500</v>
      </c>
      <c r="U432" s="5">
        <v>117562.5</v>
      </c>
      <c r="V432" s="5">
        <f t="shared" si="141"/>
        <v>61062.5</v>
      </c>
      <c r="W432" s="5">
        <v>15000</v>
      </c>
      <c r="X432" s="5">
        <f t="shared" si="142"/>
        <v>46062.5</v>
      </c>
      <c r="Y432" s="20">
        <v>-542750</v>
      </c>
    </row>
    <row r="433" spans="1:25" ht="15.75" x14ac:dyDescent="0.25">
      <c r="A433" s="10" t="s">
        <v>43</v>
      </c>
      <c r="B433" s="5">
        <v>52187</v>
      </c>
      <c r="C433" s="5">
        <v>32812.5</v>
      </c>
      <c r="D433" s="5">
        <f t="shared" si="137"/>
        <v>84999.5</v>
      </c>
      <c r="E433" s="5">
        <v>27812.5</v>
      </c>
      <c r="F433" s="5">
        <f t="shared" si="138"/>
        <v>57187</v>
      </c>
      <c r="G433" s="20">
        <v>-526000</v>
      </c>
      <c r="J433" s="10" t="s">
        <v>43</v>
      </c>
      <c r="K433" s="5">
        <v>19312</v>
      </c>
      <c r="L433" s="5">
        <v>10875.000000000015</v>
      </c>
      <c r="M433" s="5">
        <f t="shared" si="139"/>
        <v>30187.000000000015</v>
      </c>
      <c r="N433" s="5">
        <v>25687.5</v>
      </c>
      <c r="O433" s="5">
        <f t="shared" si="140"/>
        <v>4499.5000000000146</v>
      </c>
      <c r="P433" s="20">
        <v>-414750</v>
      </c>
      <c r="S433" s="10" t="s">
        <v>71</v>
      </c>
      <c r="T433" s="5">
        <v>10500</v>
      </c>
      <c r="U433" s="5">
        <v>137900</v>
      </c>
      <c r="V433" s="5">
        <f t="shared" si="141"/>
        <v>148400</v>
      </c>
      <c r="W433" s="5">
        <v>34300</v>
      </c>
      <c r="X433" s="5">
        <f t="shared" si="142"/>
        <v>114100</v>
      </c>
      <c r="Y433" s="20">
        <v>-557900</v>
      </c>
    </row>
    <row r="434" spans="1:25" ht="15.75" x14ac:dyDescent="0.25">
      <c r="A434" s="10" t="s">
        <v>71</v>
      </c>
      <c r="B434" s="5">
        <v>295750</v>
      </c>
      <c r="C434" s="5">
        <v>-281750</v>
      </c>
      <c r="D434" s="5">
        <f t="shared" si="137"/>
        <v>14000</v>
      </c>
      <c r="E434" s="5">
        <v>16100</v>
      </c>
      <c r="F434" s="5">
        <f t="shared" si="138"/>
        <v>-2100</v>
      </c>
      <c r="G434" s="20">
        <v>-457100</v>
      </c>
      <c r="J434" s="10" t="s">
        <v>71</v>
      </c>
      <c r="K434" s="5">
        <v>13825</v>
      </c>
      <c r="L434" s="5">
        <v>136500</v>
      </c>
      <c r="M434" s="5">
        <f t="shared" si="139"/>
        <v>150325</v>
      </c>
      <c r="N434" s="5">
        <v>14175</v>
      </c>
      <c r="O434" s="5">
        <f t="shared" si="140"/>
        <v>136150</v>
      </c>
      <c r="P434" s="20">
        <v>-490700</v>
      </c>
      <c r="S434" s="10" t="s">
        <v>54</v>
      </c>
      <c r="T434" s="5">
        <v>97450</v>
      </c>
      <c r="U434" s="5">
        <v>89000</v>
      </c>
      <c r="V434" s="5">
        <f t="shared" si="141"/>
        <v>186450</v>
      </c>
      <c r="W434" s="5">
        <v>24700</v>
      </c>
      <c r="X434" s="5">
        <f t="shared" si="142"/>
        <v>161750</v>
      </c>
      <c r="Y434" s="20">
        <v>-467000</v>
      </c>
    </row>
    <row r="435" spans="1:25" ht="15.75" x14ac:dyDescent="0.25">
      <c r="A435" s="10" t="s">
        <v>54</v>
      </c>
      <c r="B435" s="5">
        <v>-70750</v>
      </c>
      <c r="C435" s="5">
        <v>89200</v>
      </c>
      <c r="D435" s="5">
        <f t="shared" si="137"/>
        <v>18450</v>
      </c>
      <c r="E435" s="5">
        <v>-10950</v>
      </c>
      <c r="F435" s="5">
        <f t="shared" si="138"/>
        <v>29400</v>
      </c>
      <c r="G435" s="20">
        <v>-627800</v>
      </c>
      <c r="J435" s="10" t="s">
        <v>54</v>
      </c>
      <c r="K435" s="5">
        <v>47700</v>
      </c>
      <c r="L435" s="5">
        <v>111100</v>
      </c>
      <c r="M435" s="5">
        <f t="shared" si="139"/>
        <v>158800</v>
      </c>
      <c r="N435" s="5">
        <v>46000</v>
      </c>
      <c r="O435" s="5">
        <f t="shared" si="140"/>
        <v>112800</v>
      </c>
      <c r="P435" s="20">
        <v>-507700</v>
      </c>
      <c r="S435" s="10" t="s">
        <v>42</v>
      </c>
      <c r="T435" s="5">
        <v>-8100</v>
      </c>
      <c r="U435" s="5">
        <v>139500</v>
      </c>
      <c r="V435" s="5">
        <f t="shared" si="141"/>
        <v>131400</v>
      </c>
      <c r="W435" s="5">
        <v>14400</v>
      </c>
      <c r="X435" s="5">
        <f t="shared" si="142"/>
        <v>117000</v>
      </c>
      <c r="Y435" s="20">
        <v>-81600</v>
      </c>
    </row>
    <row r="436" spans="1:25" ht="15.75" x14ac:dyDescent="0.25">
      <c r="A436" s="10" t="s">
        <v>42</v>
      </c>
      <c r="B436" s="5">
        <v>86700</v>
      </c>
      <c r="C436" s="5">
        <v>-188700</v>
      </c>
      <c r="D436" s="5">
        <f t="shared" si="137"/>
        <v>-102000</v>
      </c>
      <c r="E436" s="5">
        <v>-22950</v>
      </c>
      <c r="F436" s="5">
        <f t="shared" si="138"/>
        <v>-79050</v>
      </c>
      <c r="G436" s="20">
        <v>-540450</v>
      </c>
      <c r="J436" s="10" t="s">
        <v>42</v>
      </c>
      <c r="K436" s="5">
        <v>-54375</v>
      </c>
      <c r="L436" s="5">
        <v>167850</v>
      </c>
      <c r="M436" s="5">
        <f t="shared" si="139"/>
        <v>113475</v>
      </c>
      <c r="N436" s="5">
        <v>9450</v>
      </c>
      <c r="O436" s="5">
        <f t="shared" si="140"/>
        <v>104025</v>
      </c>
      <c r="P436" s="20">
        <v>-367650</v>
      </c>
      <c r="S436" s="10" t="s">
        <v>92</v>
      </c>
      <c r="T436" s="5">
        <v>-7240</v>
      </c>
      <c r="U436" s="5">
        <v>150825</v>
      </c>
      <c r="V436" s="5">
        <f t="shared" si="141"/>
        <v>143585</v>
      </c>
      <c r="W436" s="5">
        <v>5630.7999999999993</v>
      </c>
      <c r="X436" s="5">
        <f t="shared" si="142"/>
        <v>137954.20000000001</v>
      </c>
      <c r="Y436" s="20">
        <v>-501744.5</v>
      </c>
    </row>
    <row r="437" spans="1:25" ht="15.75" x14ac:dyDescent="0.25">
      <c r="A437" s="10" t="s">
        <v>92</v>
      </c>
      <c r="B437" s="5">
        <v>-139965</v>
      </c>
      <c r="C437" s="5">
        <v>15886.899999999996</v>
      </c>
      <c r="D437" s="5">
        <f t="shared" si="137"/>
        <v>-124078.1</v>
      </c>
      <c r="E437" s="5">
        <v>11663.800000000001</v>
      </c>
      <c r="F437" s="5">
        <f t="shared" si="138"/>
        <v>-135741.9</v>
      </c>
      <c r="G437" s="20">
        <v>-466149.8</v>
      </c>
      <c r="J437" s="10" t="s">
        <v>92</v>
      </c>
      <c r="K437" s="5">
        <v>-38812</v>
      </c>
      <c r="L437" s="5">
        <v>91902.700000000012</v>
      </c>
      <c r="M437" s="5">
        <f t="shared" si="139"/>
        <v>53090.700000000012</v>
      </c>
      <c r="N437" s="5">
        <v>11663.800000000001</v>
      </c>
      <c r="O437" s="5">
        <f t="shared" si="140"/>
        <v>41426.900000000009</v>
      </c>
      <c r="P437" s="20">
        <v>-524669.9</v>
      </c>
      <c r="S437" s="10" t="s">
        <v>46</v>
      </c>
      <c r="T437" s="5">
        <v>181996</v>
      </c>
      <c r="U437" s="5">
        <v>116802.5</v>
      </c>
      <c r="V437" s="5">
        <f t="shared" si="141"/>
        <v>298798.5</v>
      </c>
      <c r="W437" s="5">
        <v>-12112.5</v>
      </c>
      <c r="X437" s="5">
        <f t="shared" si="142"/>
        <v>310911</v>
      </c>
      <c r="Y437" s="20">
        <v>-528912.5</v>
      </c>
    </row>
    <row r="438" spans="1:25" ht="15.75" x14ac:dyDescent="0.25">
      <c r="A438" s="10" t="s">
        <v>46</v>
      </c>
      <c r="B438" s="5">
        <v>378551</v>
      </c>
      <c r="C438" s="5">
        <v>-480130</v>
      </c>
      <c r="D438" s="5">
        <f t="shared" si="137"/>
        <v>-101579</v>
      </c>
      <c r="E438" s="5">
        <v>14843.75</v>
      </c>
      <c r="F438" s="5">
        <f t="shared" si="138"/>
        <v>-116422.75</v>
      </c>
      <c r="G438" s="20">
        <v>-540740</v>
      </c>
      <c r="J438" s="10" t="s">
        <v>46</v>
      </c>
      <c r="K438" s="5">
        <v>-66428</v>
      </c>
      <c r="L438" s="5">
        <v>74575</v>
      </c>
      <c r="M438" s="5">
        <f t="shared" si="139"/>
        <v>8147</v>
      </c>
      <c r="N438" s="5">
        <v>24510</v>
      </c>
      <c r="O438" s="5">
        <f t="shared" si="140"/>
        <v>-16363</v>
      </c>
      <c r="P438" s="20">
        <v>-576650</v>
      </c>
      <c r="S438" s="10" t="s">
        <v>65</v>
      </c>
      <c r="T438" s="5">
        <v>68445</v>
      </c>
      <c r="U438" s="5">
        <v>167992.5</v>
      </c>
      <c r="V438" s="5">
        <f t="shared" si="141"/>
        <v>236437.5</v>
      </c>
      <c r="W438" s="5">
        <v>-8384.9999999999927</v>
      </c>
      <c r="X438" s="5">
        <f t="shared" si="142"/>
        <v>244822.5</v>
      </c>
      <c r="Y438" s="20">
        <v>-462832.5</v>
      </c>
    </row>
    <row r="439" spans="1:25" ht="15.75" x14ac:dyDescent="0.25">
      <c r="A439" s="21" t="s">
        <v>107</v>
      </c>
      <c r="B439" s="22">
        <f t="shared" ref="B439:G439" si="143">SUM(B425:B438)</f>
        <v>632677</v>
      </c>
      <c r="C439" s="22">
        <f t="shared" si="143"/>
        <v>-560043.1</v>
      </c>
      <c r="D439" s="22">
        <f t="shared" si="143"/>
        <v>72633.899999999994</v>
      </c>
      <c r="E439" s="18">
        <f t="shared" si="143"/>
        <v>103546.3</v>
      </c>
      <c r="F439" s="21">
        <f t="shared" si="143"/>
        <v>-30912.399999999994</v>
      </c>
      <c r="G439" s="17">
        <f t="shared" si="143"/>
        <v>-6497029.7999999998</v>
      </c>
      <c r="J439" s="10" t="s">
        <v>65</v>
      </c>
      <c r="K439" s="5">
        <v>-41584</v>
      </c>
      <c r="L439" s="5">
        <v>0</v>
      </c>
      <c r="M439" s="5">
        <f t="shared" si="139"/>
        <v>-41584</v>
      </c>
      <c r="N439" s="5">
        <v>0</v>
      </c>
      <c r="O439" s="5">
        <f t="shared" si="140"/>
        <v>-41584</v>
      </c>
      <c r="P439" s="20">
        <v>-494325</v>
      </c>
      <c r="S439" s="10" t="s">
        <v>70</v>
      </c>
      <c r="T439" s="5">
        <v>-21843</v>
      </c>
      <c r="U439" s="5">
        <v>0</v>
      </c>
      <c r="V439" s="5">
        <f t="shared" si="141"/>
        <v>-21843</v>
      </c>
      <c r="W439" s="5">
        <v>0</v>
      </c>
      <c r="X439" s="5">
        <f t="shared" si="142"/>
        <v>-21843</v>
      </c>
      <c r="Y439" s="20">
        <v>-593000</v>
      </c>
    </row>
    <row r="440" spans="1:25" ht="15.75" x14ac:dyDescent="0.25">
      <c r="J440" s="21" t="s">
        <v>107</v>
      </c>
      <c r="K440" s="22">
        <f>SUM(K425:K439)</f>
        <v>102693</v>
      </c>
      <c r="L440" s="22">
        <f>SUM(L425:L439)</f>
        <v>690841.45</v>
      </c>
      <c r="M440" s="22">
        <f t="shared" ref="M440:P440" si="144">SUM(M425:M439)</f>
        <v>793534.45</v>
      </c>
      <c r="N440" s="18">
        <f t="shared" si="144"/>
        <v>231897.55</v>
      </c>
      <c r="O440" s="21">
        <f t="shared" si="144"/>
        <v>561636.9</v>
      </c>
      <c r="P440" s="17">
        <f t="shared" si="144"/>
        <v>-6800702.4000000004</v>
      </c>
      <c r="S440" s="10" t="s">
        <v>52</v>
      </c>
      <c r="T440" s="5">
        <v>108750</v>
      </c>
      <c r="U440" s="5">
        <v>0</v>
      </c>
      <c r="V440" s="5">
        <f t="shared" si="141"/>
        <v>108750</v>
      </c>
      <c r="W440" s="5">
        <v>0</v>
      </c>
      <c r="X440" s="5">
        <f t="shared" si="142"/>
        <v>108750</v>
      </c>
      <c r="Y440" s="20">
        <v>-492900</v>
      </c>
    </row>
    <row r="441" spans="1:25" ht="15.75" x14ac:dyDescent="0.25">
      <c r="S441" s="21" t="s">
        <v>107</v>
      </c>
      <c r="T441" s="22">
        <f t="shared" ref="T441:Y441" si="145">SUM(T425:T440)</f>
        <v>401905</v>
      </c>
      <c r="U441" s="22">
        <f t="shared" si="145"/>
        <v>1717185</v>
      </c>
      <c r="V441" s="22">
        <f t="shared" si="145"/>
        <v>2119090</v>
      </c>
      <c r="W441" s="18">
        <f t="shared" si="145"/>
        <v>126778.29999999999</v>
      </c>
      <c r="X441" s="21">
        <f t="shared" si="145"/>
        <v>1992311.7</v>
      </c>
      <c r="Y441" s="17">
        <f t="shared" si="145"/>
        <v>-7256079.5</v>
      </c>
    </row>
    <row r="443" spans="1:25" x14ac:dyDescent="0.25">
      <c r="A443" s="122">
        <v>44886</v>
      </c>
      <c r="B443" s="123"/>
      <c r="C443" s="123"/>
      <c r="D443" s="123"/>
      <c r="E443" s="123"/>
      <c r="F443" s="123"/>
      <c r="G443" s="123"/>
      <c r="J443" s="122">
        <v>44887</v>
      </c>
      <c r="K443" s="123"/>
      <c r="L443" s="123"/>
      <c r="M443" s="123"/>
      <c r="N443" s="123"/>
      <c r="O443" s="123"/>
      <c r="P443" s="123"/>
      <c r="S443" s="122">
        <v>44888</v>
      </c>
      <c r="T443" s="123"/>
      <c r="U443" s="123"/>
      <c r="V443" s="123"/>
      <c r="W443" s="123"/>
      <c r="X443" s="123"/>
      <c r="Y443" s="123"/>
    </row>
    <row r="444" spans="1:25" x14ac:dyDescent="0.25">
      <c r="A444" s="6" t="s">
        <v>34</v>
      </c>
      <c r="B444" s="6" t="s">
        <v>104</v>
      </c>
      <c r="C444" s="6" t="s">
        <v>105</v>
      </c>
      <c r="D444" s="6" t="s">
        <v>112</v>
      </c>
      <c r="E444" s="6" t="s">
        <v>106</v>
      </c>
      <c r="F444" s="3" t="s">
        <v>108</v>
      </c>
      <c r="G444" s="3" t="s">
        <v>28</v>
      </c>
      <c r="J444" s="6" t="s">
        <v>34</v>
      </c>
      <c r="K444" s="6" t="s">
        <v>104</v>
      </c>
      <c r="L444" s="6" t="s">
        <v>105</v>
      </c>
      <c r="M444" s="6" t="s">
        <v>112</v>
      </c>
      <c r="N444" s="6" t="s">
        <v>106</v>
      </c>
      <c r="O444" s="3" t="s">
        <v>108</v>
      </c>
      <c r="P444" s="3" t="s">
        <v>28</v>
      </c>
      <c r="S444" s="6" t="s">
        <v>34</v>
      </c>
      <c r="T444" s="6" t="s">
        <v>104</v>
      </c>
      <c r="U444" s="6" t="s">
        <v>105</v>
      </c>
      <c r="V444" s="6" t="s">
        <v>112</v>
      </c>
      <c r="W444" s="6" t="s">
        <v>106</v>
      </c>
      <c r="X444" s="3" t="s">
        <v>108</v>
      </c>
      <c r="Y444" s="3" t="s">
        <v>28</v>
      </c>
    </row>
    <row r="445" spans="1:25" ht="15.75" x14ac:dyDescent="0.25">
      <c r="A445" s="10" t="s">
        <v>94</v>
      </c>
      <c r="B445" s="5">
        <v>134550</v>
      </c>
      <c r="C445" s="5">
        <v>-188550</v>
      </c>
      <c r="D445" s="5">
        <f t="shared" ref="D445:D459" si="146">+B445+C445</f>
        <v>-54000</v>
      </c>
      <c r="E445" s="5">
        <v>8460</v>
      </c>
      <c r="F445" s="5">
        <f t="shared" ref="F445:F459" si="147">+B445+C445-E445</f>
        <v>-62460</v>
      </c>
      <c r="G445" s="20">
        <v>-140400</v>
      </c>
      <c r="J445" s="10" t="s">
        <v>94</v>
      </c>
      <c r="K445" s="5">
        <v>6390</v>
      </c>
      <c r="L445" s="5">
        <v>37980.000000000007</v>
      </c>
      <c r="M445" s="5">
        <f t="shared" ref="M445:M455" si="148">+K445+L445</f>
        <v>44370.000000000007</v>
      </c>
      <c r="N445" s="5">
        <v>6210</v>
      </c>
      <c r="O445" s="5">
        <f t="shared" ref="O445:O455" si="149">+K445+L445-N445</f>
        <v>38160.000000000007</v>
      </c>
      <c r="P445" s="20">
        <v>0</v>
      </c>
      <c r="S445" s="10" t="s">
        <v>53</v>
      </c>
      <c r="T445" s="5">
        <v>-2247</v>
      </c>
      <c r="U445" s="5">
        <v>221805</v>
      </c>
      <c r="V445" s="5">
        <f t="shared" ref="V445:V449" si="150">+T445+U445</f>
        <v>219558</v>
      </c>
      <c r="W445" s="5">
        <v>-6975</v>
      </c>
      <c r="X445" s="5">
        <f t="shared" ref="X445:X449" si="151">+T445+U445-W445</f>
        <v>226533</v>
      </c>
      <c r="Y445" s="20">
        <v>0</v>
      </c>
    </row>
    <row r="446" spans="1:25" ht="15.75" x14ac:dyDescent="0.25">
      <c r="A446" s="10" t="s">
        <v>53</v>
      </c>
      <c r="B446" s="5">
        <v>1705</v>
      </c>
      <c r="C446" s="5">
        <v>114777.5</v>
      </c>
      <c r="D446" s="5">
        <f t="shared" si="146"/>
        <v>116482.5</v>
      </c>
      <c r="E446" s="5">
        <v>3565</v>
      </c>
      <c r="F446" s="5">
        <f t="shared" si="147"/>
        <v>112917.5</v>
      </c>
      <c r="G446" s="20">
        <v>-529945</v>
      </c>
      <c r="J446" s="10" t="s">
        <v>53</v>
      </c>
      <c r="K446" s="5">
        <v>-5425</v>
      </c>
      <c r="L446" s="5">
        <v>138880</v>
      </c>
      <c r="M446" s="5">
        <f t="shared" si="148"/>
        <v>133455</v>
      </c>
      <c r="N446" s="5">
        <v>-4340</v>
      </c>
      <c r="O446" s="5">
        <f t="shared" si="149"/>
        <v>137795</v>
      </c>
      <c r="P446" s="20">
        <v>-584040</v>
      </c>
      <c r="S446" s="10" t="s">
        <v>54</v>
      </c>
      <c r="T446" s="5">
        <v>-39400</v>
      </c>
      <c r="U446" s="5">
        <v>67000</v>
      </c>
      <c r="V446" s="5">
        <f t="shared" si="150"/>
        <v>27600</v>
      </c>
      <c r="W446" s="5">
        <v>-26950</v>
      </c>
      <c r="X446" s="5">
        <f t="shared" si="151"/>
        <v>54550</v>
      </c>
      <c r="Y446" s="20">
        <v>0</v>
      </c>
    </row>
    <row r="447" spans="1:25" ht="15.75" x14ac:dyDescent="0.25">
      <c r="A447" s="10" t="s">
        <v>15</v>
      </c>
      <c r="B447" s="5">
        <v>158187</v>
      </c>
      <c r="C447" s="5">
        <v>-52500</v>
      </c>
      <c r="D447" s="5">
        <f t="shared" si="146"/>
        <v>105687</v>
      </c>
      <c r="E447" s="5">
        <v>47250</v>
      </c>
      <c r="F447" s="5">
        <f t="shared" si="147"/>
        <v>58437</v>
      </c>
      <c r="G447" s="20">
        <v>0</v>
      </c>
      <c r="J447" s="10" t="s">
        <v>62</v>
      </c>
      <c r="K447" s="5">
        <v>-81100</v>
      </c>
      <c r="L447" s="5">
        <v>137743.75</v>
      </c>
      <c r="M447" s="5">
        <f t="shared" si="148"/>
        <v>56643.75</v>
      </c>
      <c r="N447" s="5">
        <v>4281.25</v>
      </c>
      <c r="O447" s="5">
        <f t="shared" si="149"/>
        <v>52362.5</v>
      </c>
      <c r="P447" s="20">
        <v>0</v>
      </c>
      <c r="S447" s="10" t="s">
        <v>65</v>
      </c>
      <c r="T447" s="5">
        <v>55477</v>
      </c>
      <c r="U447" s="5">
        <v>-84434.999999999985</v>
      </c>
      <c r="V447" s="5">
        <f t="shared" si="150"/>
        <v>-28957.999999999985</v>
      </c>
      <c r="W447" s="5">
        <v>-5850</v>
      </c>
      <c r="X447" s="5">
        <f t="shared" si="151"/>
        <v>-23107.999999999985</v>
      </c>
      <c r="Y447" s="20">
        <v>0</v>
      </c>
    </row>
    <row r="448" spans="1:25" ht="15.75" x14ac:dyDescent="0.25">
      <c r="A448" s="10" t="s">
        <v>96</v>
      </c>
      <c r="B448" s="5">
        <v>-26162</v>
      </c>
      <c r="C448" s="5">
        <v>196175</v>
      </c>
      <c r="D448" s="5">
        <f t="shared" si="146"/>
        <v>170013</v>
      </c>
      <c r="E448" s="5">
        <v>39200</v>
      </c>
      <c r="F448" s="5">
        <f t="shared" si="147"/>
        <v>130813</v>
      </c>
      <c r="G448" s="20">
        <v>0</v>
      </c>
      <c r="J448" s="10" t="s">
        <v>67</v>
      </c>
      <c r="K448" s="5">
        <v>-22945</v>
      </c>
      <c r="L448" s="5">
        <v>24830</v>
      </c>
      <c r="M448" s="5">
        <f t="shared" si="148"/>
        <v>1885</v>
      </c>
      <c r="N448" s="5">
        <v>13780</v>
      </c>
      <c r="O448" s="5">
        <f t="shared" si="149"/>
        <v>-11895</v>
      </c>
      <c r="P448" s="20">
        <v>0</v>
      </c>
      <c r="S448" s="10" t="s">
        <v>72</v>
      </c>
      <c r="T448" s="5">
        <v>17500</v>
      </c>
      <c r="U448" s="5">
        <v>286000</v>
      </c>
      <c r="V448" s="5">
        <f t="shared" si="150"/>
        <v>303500</v>
      </c>
      <c r="W448" s="5">
        <v>-40500</v>
      </c>
      <c r="X448" s="5">
        <f t="shared" si="151"/>
        <v>344000</v>
      </c>
      <c r="Y448" s="20">
        <v>-274625</v>
      </c>
    </row>
    <row r="449" spans="1:25" ht="15.75" x14ac:dyDescent="0.25">
      <c r="A449" s="10" t="s">
        <v>62</v>
      </c>
      <c r="B449" s="5">
        <v>16550</v>
      </c>
      <c r="C449" s="5">
        <v>127906.25</v>
      </c>
      <c r="D449" s="5">
        <f t="shared" si="146"/>
        <v>144456.25</v>
      </c>
      <c r="E449" s="5">
        <v>12437.499999999996</v>
      </c>
      <c r="F449" s="5">
        <f t="shared" si="147"/>
        <v>132018.75</v>
      </c>
      <c r="G449" s="20">
        <v>-334775</v>
      </c>
      <c r="J449" s="10" t="s">
        <v>43</v>
      </c>
      <c r="K449" s="5">
        <v>-158750</v>
      </c>
      <c r="L449" s="5">
        <v>66875</v>
      </c>
      <c r="M449" s="5">
        <f t="shared" si="148"/>
        <v>-91875</v>
      </c>
      <c r="N449" s="5">
        <v>5875</v>
      </c>
      <c r="O449" s="5">
        <f t="shared" si="149"/>
        <v>-97750</v>
      </c>
      <c r="P449" s="20">
        <v>0</v>
      </c>
      <c r="S449" s="10" t="s">
        <v>88</v>
      </c>
      <c r="T449" s="5">
        <v>9480</v>
      </c>
      <c r="U449" s="5">
        <v>0</v>
      </c>
      <c r="V449" s="5">
        <f t="shared" si="150"/>
        <v>9480</v>
      </c>
      <c r="W449" s="5">
        <v>0</v>
      </c>
      <c r="X449" s="5">
        <f t="shared" si="151"/>
        <v>9480</v>
      </c>
      <c r="Y449" s="20"/>
    </row>
    <row r="450" spans="1:25" ht="15.75" x14ac:dyDescent="0.25">
      <c r="A450" s="10" t="s">
        <v>67</v>
      </c>
      <c r="B450" s="5">
        <v>67080</v>
      </c>
      <c r="C450" s="5">
        <v>2015</v>
      </c>
      <c r="D450" s="5">
        <f t="shared" si="146"/>
        <v>69095</v>
      </c>
      <c r="E450" s="5">
        <v>64220</v>
      </c>
      <c r="F450" s="5">
        <f t="shared" si="147"/>
        <v>4875</v>
      </c>
      <c r="G450" s="20">
        <v>-144040</v>
      </c>
      <c r="J450" s="10" t="s">
        <v>71</v>
      </c>
      <c r="K450" s="5">
        <v>-63000</v>
      </c>
      <c r="L450" s="5">
        <v>73500</v>
      </c>
      <c r="M450" s="5">
        <f t="shared" si="148"/>
        <v>10500</v>
      </c>
      <c r="N450" s="5">
        <v>-100</v>
      </c>
      <c r="O450" s="5">
        <f t="shared" si="149"/>
        <v>10600</v>
      </c>
      <c r="P450" s="20">
        <v>0</v>
      </c>
      <c r="S450" s="21" t="s">
        <v>107</v>
      </c>
      <c r="T450" s="22">
        <f>SUM(T445:T449)</f>
        <v>40810</v>
      </c>
      <c r="U450" s="22">
        <f>SUM(U445:U449)</f>
        <v>490370</v>
      </c>
      <c r="V450" s="22">
        <f>SUM(V445:V449)</f>
        <v>531180</v>
      </c>
      <c r="W450" s="18">
        <f>SUM(W445:W449)</f>
        <v>-80275</v>
      </c>
      <c r="X450" s="21">
        <f>SUM(X445:X449)</f>
        <v>611455</v>
      </c>
      <c r="Y450" s="17">
        <f>SUM(Y445:Y448)</f>
        <v>-274625</v>
      </c>
    </row>
    <row r="451" spans="1:25" ht="15.75" x14ac:dyDescent="0.25">
      <c r="A451" s="10" t="s">
        <v>43</v>
      </c>
      <c r="B451" s="5">
        <v>-66937</v>
      </c>
      <c r="C451" s="5">
        <v>262750</v>
      </c>
      <c r="D451" s="5">
        <f t="shared" si="146"/>
        <v>195813</v>
      </c>
      <c r="E451" s="5">
        <v>-18875</v>
      </c>
      <c r="F451" s="5">
        <f t="shared" si="147"/>
        <v>214688</v>
      </c>
      <c r="G451" s="20">
        <v>-233000</v>
      </c>
      <c r="J451" s="10" t="s">
        <v>54</v>
      </c>
      <c r="K451" s="5">
        <v>-30050</v>
      </c>
      <c r="L451" s="5">
        <v>25000</v>
      </c>
      <c r="M451" s="5">
        <f t="shared" si="148"/>
        <v>-5050</v>
      </c>
      <c r="N451" s="5">
        <v>500</v>
      </c>
      <c r="O451" s="5">
        <f t="shared" si="149"/>
        <v>-5550</v>
      </c>
      <c r="P451" s="20">
        <v>-225250</v>
      </c>
    </row>
    <row r="452" spans="1:25" ht="15.75" x14ac:dyDescent="0.25">
      <c r="A452" s="10" t="s">
        <v>71</v>
      </c>
      <c r="B452" s="5">
        <v>-61950</v>
      </c>
      <c r="C452" s="5">
        <v>87500</v>
      </c>
      <c r="D452" s="5">
        <f t="shared" si="146"/>
        <v>25550</v>
      </c>
      <c r="E452" s="5">
        <v>36400</v>
      </c>
      <c r="F452" s="5">
        <f t="shared" si="147"/>
        <v>-10850</v>
      </c>
      <c r="G452" s="20">
        <v>-281400</v>
      </c>
      <c r="J452" s="10" t="s">
        <v>92</v>
      </c>
      <c r="K452" s="5">
        <v>-51682</v>
      </c>
      <c r="L452" s="5">
        <v>122067.7</v>
      </c>
      <c r="M452" s="5">
        <f t="shared" si="148"/>
        <v>70385.7</v>
      </c>
      <c r="N452" s="5">
        <v>-14479.200000000003</v>
      </c>
      <c r="O452" s="5">
        <f t="shared" si="149"/>
        <v>84864.9</v>
      </c>
      <c r="P452" s="20">
        <v>0</v>
      </c>
    </row>
    <row r="453" spans="1:25" ht="15.75" x14ac:dyDescent="0.25">
      <c r="A453" s="10" t="s">
        <v>54</v>
      </c>
      <c r="B453" s="5">
        <v>-112250</v>
      </c>
      <c r="C453" s="5">
        <v>191250</v>
      </c>
      <c r="D453" s="5">
        <f t="shared" si="146"/>
        <v>79000</v>
      </c>
      <c r="E453" s="5">
        <v>140500</v>
      </c>
      <c r="F453" s="5">
        <f t="shared" si="147"/>
        <v>-61500</v>
      </c>
      <c r="G453" s="20">
        <v>-294250</v>
      </c>
      <c r="J453" s="10" t="s">
        <v>46</v>
      </c>
      <c r="K453" s="5">
        <v>35268</v>
      </c>
      <c r="L453" s="5">
        <v>-120364.99999999994</v>
      </c>
      <c r="M453" s="5">
        <f t="shared" si="148"/>
        <v>-85096.999999999942</v>
      </c>
      <c r="N453" s="5">
        <v>-2802.4999999999991</v>
      </c>
      <c r="O453" s="5">
        <f t="shared" si="149"/>
        <v>-82294.499999999942</v>
      </c>
      <c r="P453" s="20">
        <v>0</v>
      </c>
    </row>
    <row r="454" spans="1:25" ht="15.75" x14ac:dyDescent="0.25">
      <c r="A454" s="10" t="s">
        <v>42</v>
      </c>
      <c r="B454" s="5">
        <v>2625</v>
      </c>
      <c r="C454" s="5">
        <v>18599.999999999996</v>
      </c>
      <c r="D454" s="5">
        <f t="shared" si="146"/>
        <v>21224.999999999996</v>
      </c>
      <c r="E454" s="5">
        <v>21000</v>
      </c>
      <c r="F454" s="5">
        <f t="shared" si="147"/>
        <v>224.99999999999636</v>
      </c>
      <c r="G454" s="20">
        <v>0</v>
      </c>
      <c r="J454" s="10" t="s">
        <v>65</v>
      </c>
      <c r="K454" s="5">
        <f>-34856+8677</f>
        <v>-26179</v>
      </c>
      <c r="L454" s="5">
        <v>42315</v>
      </c>
      <c r="M454" s="5">
        <f t="shared" si="148"/>
        <v>16136</v>
      </c>
      <c r="N454" s="5">
        <v>32565</v>
      </c>
      <c r="O454" s="5">
        <f t="shared" si="149"/>
        <v>-16429</v>
      </c>
      <c r="P454" s="20">
        <v>-267540</v>
      </c>
    </row>
    <row r="455" spans="1:25" ht="15.75" x14ac:dyDescent="0.25">
      <c r="A455" s="10" t="s">
        <v>92</v>
      </c>
      <c r="B455" s="5">
        <v>-68172</v>
      </c>
      <c r="C455" s="5">
        <v>173951.5</v>
      </c>
      <c r="D455" s="5">
        <f t="shared" si="146"/>
        <v>105779.5</v>
      </c>
      <c r="E455" s="5">
        <v>34589.199999999997</v>
      </c>
      <c r="F455" s="5">
        <f t="shared" si="147"/>
        <v>71190.3</v>
      </c>
      <c r="G455" s="20">
        <v>-353734.89999999997</v>
      </c>
      <c r="J455" s="10" t="s">
        <v>70</v>
      </c>
      <c r="K455" s="5">
        <v>-94656</v>
      </c>
      <c r="L455" s="5">
        <v>207000</v>
      </c>
      <c r="M455" s="5">
        <f t="shared" si="148"/>
        <v>112344</v>
      </c>
      <c r="N455" s="5">
        <v>25750</v>
      </c>
      <c r="O455" s="5">
        <f t="shared" si="149"/>
        <v>86594</v>
      </c>
      <c r="P455" s="20">
        <v>0</v>
      </c>
    </row>
    <row r="456" spans="1:25" ht="15.75" x14ac:dyDescent="0.25">
      <c r="A456" s="10" t="s">
        <v>46</v>
      </c>
      <c r="B456" s="5">
        <v>-198716</v>
      </c>
      <c r="C456" s="5">
        <v>166416.25</v>
      </c>
      <c r="D456" s="5">
        <f t="shared" si="146"/>
        <v>-32299.75</v>
      </c>
      <c r="E456" s="5">
        <v>21493.75</v>
      </c>
      <c r="F456" s="5">
        <f t="shared" si="147"/>
        <v>-53793.5</v>
      </c>
      <c r="G456" s="20">
        <v>-430540</v>
      </c>
      <c r="J456" s="21" t="s">
        <v>107</v>
      </c>
      <c r="K456" s="22">
        <f t="shared" ref="K456:P456" si="152">SUM(K445:K455)</f>
        <v>-492129</v>
      </c>
      <c r="L456" s="22">
        <f t="shared" si="152"/>
        <v>755826.45</v>
      </c>
      <c r="M456" s="22">
        <f t="shared" si="152"/>
        <v>263697.45000000007</v>
      </c>
      <c r="N456" s="18">
        <f t="shared" si="152"/>
        <v>67239.55</v>
      </c>
      <c r="O456" s="21">
        <f t="shared" si="152"/>
        <v>196457.90000000005</v>
      </c>
      <c r="P456" s="17">
        <f t="shared" si="152"/>
        <v>-1076830</v>
      </c>
    </row>
    <row r="457" spans="1:25" ht="15.75" x14ac:dyDescent="0.25">
      <c r="A457" s="10" t="s">
        <v>65</v>
      </c>
      <c r="B457" s="5">
        <v>-133770</v>
      </c>
      <c r="C457" s="5">
        <v>182520</v>
      </c>
      <c r="D457" s="5">
        <f t="shared" si="146"/>
        <v>48750</v>
      </c>
      <c r="E457" s="5">
        <v>29250</v>
      </c>
      <c r="F457" s="5">
        <f t="shared" si="147"/>
        <v>19500</v>
      </c>
      <c r="G457" s="20">
        <v>-234000</v>
      </c>
    </row>
    <row r="458" spans="1:25" ht="15.75" x14ac:dyDescent="0.25">
      <c r="A458" s="10" t="s">
        <v>70</v>
      </c>
      <c r="B458" s="5">
        <v>-19187</v>
      </c>
      <c r="C458" s="5">
        <v>180000</v>
      </c>
      <c r="D458" s="5">
        <f t="shared" si="146"/>
        <v>160813</v>
      </c>
      <c r="E458" s="5">
        <v>-49000</v>
      </c>
      <c r="F458" s="5">
        <f t="shared" si="147"/>
        <v>209813</v>
      </c>
      <c r="G458" s="20">
        <v>-489000</v>
      </c>
      <c r="T458">
        <v>3000</v>
      </c>
    </row>
    <row r="459" spans="1:25" ht="15.75" x14ac:dyDescent="0.25">
      <c r="A459" s="10" t="s">
        <v>52</v>
      </c>
      <c r="B459" s="5">
        <v>40320</v>
      </c>
      <c r="C459" s="5">
        <v>38070</v>
      </c>
      <c r="D459" s="5">
        <f t="shared" si="146"/>
        <v>78390</v>
      </c>
      <c r="E459" s="5">
        <v>34980</v>
      </c>
      <c r="F459" s="5">
        <f t="shared" si="147"/>
        <v>43410</v>
      </c>
      <c r="G459" s="20">
        <v>0</v>
      </c>
      <c r="T459">
        <v>6000</v>
      </c>
    </row>
    <row r="460" spans="1:25" ht="15.75" x14ac:dyDescent="0.25">
      <c r="A460" s="21" t="s">
        <v>107</v>
      </c>
      <c r="B460" s="22">
        <f t="shared" ref="B460:G460" si="153">SUM(B445:B459)</f>
        <v>-266127</v>
      </c>
      <c r="C460" s="22">
        <f t="shared" si="153"/>
        <v>1500881.5</v>
      </c>
      <c r="D460" s="22">
        <f t="shared" si="153"/>
        <v>1234754.5</v>
      </c>
      <c r="E460" s="18">
        <f t="shared" si="153"/>
        <v>425470.45</v>
      </c>
      <c r="F460" s="21">
        <f t="shared" si="153"/>
        <v>809284.05</v>
      </c>
      <c r="G460" s="17">
        <f t="shared" si="153"/>
        <v>-3465084.9</v>
      </c>
    </row>
    <row r="465" spans="1:25" x14ac:dyDescent="0.25">
      <c r="A465" s="128">
        <v>44903</v>
      </c>
      <c r="B465" s="129"/>
      <c r="C465" s="129"/>
      <c r="D465" s="129"/>
    </row>
    <row r="466" spans="1:25" x14ac:dyDescent="0.25">
      <c r="A466" s="129"/>
      <c r="B466" s="129"/>
      <c r="C466" s="129"/>
      <c r="D466" s="129"/>
    </row>
    <row r="467" spans="1:25" x14ac:dyDescent="0.25">
      <c r="A467" s="129"/>
      <c r="B467" s="129"/>
      <c r="C467" s="129"/>
      <c r="D467" s="129"/>
    </row>
    <row r="468" spans="1:25" x14ac:dyDescent="0.25">
      <c r="A468" s="129"/>
      <c r="B468" s="129"/>
      <c r="C468" s="129"/>
      <c r="D468" s="129"/>
    </row>
    <row r="469" spans="1:25" x14ac:dyDescent="0.25">
      <c r="A469" s="129"/>
      <c r="B469" s="129"/>
      <c r="C469" s="129"/>
      <c r="D469" s="129"/>
    </row>
    <row r="472" spans="1:25" x14ac:dyDescent="0.25">
      <c r="A472" s="122">
        <v>44903</v>
      </c>
      <c r="B472" s="123"/>
      <c r="C472" s="123"/>
      <c r="D472" s="123"/>
      <c r="E472" s="123"/>
      <c r="F472" s="123"/>
      <c r="G472" s="123"/>
      <c r="J472" s="122">
        <v>44874</v>
      </c>
      <c r="K472" s="123"/>
      <c r="L472" s="123"/>
      <c r="M472" s="123"/>
      <c r="N472" s="123"/>
      <c r="O472" s="123"/>
      <c r="P472" s="123"/>
      <c r="R472" s="122">
        <v>44907</v>
      </c>
      <c r="S472" s="123"/>
      <c r="T472" s="123"/>
      <c r="U472" s="123"/>
      <c r="V472" s="123"/>
      <c r="W472" s="123"/>
      <c r="X472" s="123"/>
    </row>
    <row r="473" spans="1:25" x14ac:dyDescent="0.25">
      <c r="A473" s="6" t="s">
        <v>34</v>
      </c>
      <c r="B473" s="6" t="s">
        <v>104</v>
      </c>
      <c r="C473" s="6" t="s">
        <v>105</v>
      </c>
      <c r="D473" s="6" t="s">
        <v>112</v>
      </c>
      <c r="E473" s="6" t="s">
        <v>106</v>
      </c>
      <c r="F473" s="3" t="s">
        <v>108</v>
      </c>
      <c r="G473" s="3" t="s">
        <v>28</v>
      </c>
      <c r="J473" s="6" t="s">
        <v>34</v>
      </c>
      <c r="K473" s="6" t="s">
        <v>104</v>
      </c>
      <c r="L473" s="6" t="s">
        <v>105</v>
      </c>
      <c r="M473" s="6" t="s">
        <v>112</v>
      </c>
      <c r="N473" s="6" t="s">
        <v>106</v>
      </c>
      <c r="O473" s="3" t="s">
        <v>108</v>
      </c>
      <c r="P473" s="3" t="s">
        <v>28</v>
      </c>
      <c r="R473" s="6" t="s">
        <v>34</v>
      </c>
      <c r="S473" s="6" t="s">
        <v>104</v>
      </c>
      <c r="T473" s="6" t="s">
        <v>105</v>
      </c>
      <c r="U473" s="6" t="s">
        <v>112</v>
      </c>
      <c r="V473" s="6" t="s">
        <v>106</v>
      </c>
      <c r="W473" s="3" t="s">
        <v>108</v>
      </c>
      <c r="X473" s="3" t="s">
        <v>28</v>
      </c>
    </row>
    <row r="474" spans="1:25" ht="15.75" x14ac:dyDescent="0.25">
      <c r="A474" s="10" t="s">
        <v>65</v>
      </c>
      <c r="B474" s="5">
        <v>-3710</v>
      </c>
      <c r="C474" s="5"/>
      <c r="D474" s="5">
        <f t="shared" ref="D474:D481" si="154">+B474+C474</f>
        <v>-3710</v>
      </c>
      <c r="E474" s="5"/>
      <c r="F474" s="5">
        <f t="shared" ref="F474:F481" si="155">+B474+C474-E474</f>
        <v>-3710</v>
      </c>
      <c r="G474" s="20">
        <v>-115245</v>
      </c>
      <c r="J474" s="10" t="s">
        <v>65</v>
      </c>
      <c r="K474" s="5">
        <v>-10676</v>
      </c>
      <c r="L474" s="5">
        <v>12138.75</v>
      </c>
      <c r="M474" s="5">
        <f t="shared" ref="M474:M484" si="156">+K474+L474</f>
        <v>1462.75</v>
      </c>
      <c r="N474" s="5">
        <v>585</v>
      </c>
      <c r="O474" s="5">
        <f t="shared" ref="O474:O484" si="157">+K474+L474-N474</f>
        <v>877.75</v>
      </c>
      <c r="P474" s="20">
        <v>-226151.25</v>
      </c>
      <c r="Q474">
        <v>34.950000000000003</v>
      </c>
      <c r="R474" s="10" t="s">
        <v>65</v>
      </c>
      <c r="S474" s="5">
        <v>101</v>
      </c>
      <c r="T474" s="5">
        <v>38561.25</v>
      </c>
      <c r="U474" s="5">
        <f t="shared" ref="U474:U485" si="158">+S474+T474</f>
        <v>38662.25</v>
      </c>
      <c r="V474" s="5">
        <v>12528.75</v>
      </c>
      <c r="W474" s="5">
        <f t="shared" ref="W474:W485" si="159">+S474+T474-V474</f>
        <v>26133.5</v>
      </c>
      <c r="X474" s="20">
        <v>-289867.5</v>
      </c>
      <c r="Y474">
        <v>33.5</v>
      </c>
    </row>
    <row r="475" spans="1:25" ht="15.75" x14ac:dyDescent="0.25">
      <c r="A475" s="10" t="s">
        <v>79</v>
      </c>
      <c r="B475" s="5">
        <v>-10041.75</v>
      </c>
      <c r="C475" s="5"/>
      <c r="D475" s="5">
        <f t="shared" si="154"/>
        <v>-10041.75</v>
      </c>
      <c r="E475" s="5"/>
      <c r="F475" s="5">
        <f t="shared" si="155"/>
        <v>-10041.75</v>
      </c>
      <c r="G475" s="20">
        <v>-123900</v>
      </c>
      <c r="J475" s="10" t="s">
        <v>79</v>
      </c>
      <c r="K475" s="5">
        <v>-16100</v>
      </c>
      <c r="L475" s="5">
        <v>-17150.000000000007</v>
      </c>
      <c r="M475" s="5">
        <f t="shared" si="156"/>
        <v>-33250.000000000007</v>
      </c>
      <c r="N475" s="5">
        <v>-3325</v>
      </c>
      <c r="O475" s="5">
        <f t="shared" si="157"/>
        <v>-29925.000000000007</v>
      </c>
      <c r="P475" s="20">
        <v>-276850</v>
      </c>
      <c r="Q475">
        <v>11.8</v>
      </c>
      <c r="R475" s="10" t="s">
        <v>79</v>
      </c>
      <c r="S475" s="5">
        <f>-12425-7000</f>
        <v>-19425</v>
      </c>
      <c r="T475" s="5">
        <v>33425</v>
      </c>
      <c r="U475" s="5">
        <f t="shared" si="158"/>
        <v>14000</v>
      </c>
      <c r="V475" s="5">
        <v>-11550</v>
      </c>
      <c r="W475" s="5">
        <f t="shared" si="159"/>
        <v>25550</v>
      </c>
      <c r="X475" s="20">
        <v>-291200</v>
      </c>
      <c r="Y475">
        <v>11.05</v>
      </c>
    </row>
    <row r="476" spans="1:25" ht="15.75" x14ac:dyDescent="0.25">
      <c r="A476" s="10" t="s">
        <v>80</v>
      </c>
      <c r="B476" s="5">
        <v>-4486</v>
      </c>
      <c r="C476" s="5"/>
      <c r="D476" s="5">
        <f t="shared" si="154"/>
        <v>-4486</v>
      </c>
      <c r="E476" s="5"/>
      <c r="F476" s="5">
        <f t="shared" si="155"/>
        <v>-4486</v>
      </c>
      <c r="G476" s="20">
        <v>-117200</v>
      </c>
      <c r="J476" s="10" t="s">
        <v>80</v>
      </c>
      <c r="K476" s="5">
        <v>36800</v>
      </c>
      <c r="L476" s="5">
        <v>-6200</v>
      </c>
      <c r="M476" s="5">
        <f t="shared" si="156"/>
        <v>30600</v>
      </c>
      <c r="N476" s="5">
        <v>2000</v>
      </c>
      <c r="O476" s="5">
        <f t="shared" si="157"/>
        <v>28600</v>
      </c>
      <c r="P476" s="20">
        <v>-261600</v>
      </c>
      <c r="Q476">
        <v>14.100000000000001</v>
      </c>
      <c r="R476" s="10" t="s">
        <v>80</v>
      </c>
      <c r="S476" s="5">
        <f>-11600-1600</f>
        <v>-13200</v>
      </c>
      <c r="T476" s="5">
        <v>45800</v>
      </c>
      <c r="U476" s="5">
        <f t="shared" si="158"/>
        <v>32600</v>
      </c>
      <c r="V476" s="5">
        <v>4400</v>
      </c>
      <c r="W476" s="5">
        <f t="shared" si="159"/>
        <v>28200</v>
      </c>
      <c r="X476" s="20">
        <v>-296800</v>
      </c>
      <c r="Y476">
        <v>13.55</v>
      </c>
    </row>
    <row r="477" spans="1:25" ht="15.75" x14ac:dyDescent="0.25">
      <c r="A477" s="10" t="s">
        <v>94</v>
      </c>
      <c r="B477" s="5">
        <v>-5940</v>
      </c>
      <c r="C477" s="5"/>
      <c r="D477" s="5">
        <f t="shared" si="154"/>
        <v>-5940</v>
      </c>
      <c r="E477" s="5"/>
      <c r="F477" s="5">
        <f t="shared" si="155"/>
        <v>-5940</v>
      </c>
      <c r="G477" s="20">
        <v>-118080</v>
      </c>
      <c r="J477" s="10" t="s">
        <v>94</v>
      </c>
      <c r="K477" s="5">
        <v>-16200</v>
      </c>
      <c r="L477" s="5">
        <v>-9360</v>
      </c>
      <c r="M477" s="5">
        <f t="shared" si="156"/>
        <v>-25560</v>
      </c>
      <c r="N477" s="5">
        <v>-3420</v>
      </c>
      <c r="O477" s="5">
        <f t="shared" si="157"/>
        <v>-22140</v>
      </c>
      <c r="P477" s="20">
        <v>-246960</v>
      </c>
      <c r="Q477">
        <v>14.9</v>
      </c>
      <c r="R477" s="10" t="s">
        <v>94</v>
      </c>
      <c r="S477" s="5">
        <v>-540</v>
      </c>
      <c r="T477" s="5">
        <v>30690</v>
      </c>
      <c r="U477" s="5">
        <f t="shared" si="158"/>
        <v>30150</v>
      </c>
      <c r="V477" s="5">
        <v>-6210</v>
      </c>
      <c r="W477" s="5">
        <f t="shared" si="159"/>
        <v>36360</v>
      </c>
      <c r="X477" s="20">
        <v>-274860</v>
      </c>
      <c r="Y477">
        <v>14.55</v>
      </c>
    </row>
    <row r="478" spans="1:25" ht="15.75" x14ac:dyDescent="0.25">
      <c r="A478" s="10" t="s">
        <v>15</v>
      </c>
      <c r="B478" s="5">
        <v>-2750</v>
      </c>
      <c r="C478" s="5"/>
      <c r="D478" s="5">
        <f t="shared" si="154"/>
        <v>-2750</v>
      </c>
      <c r="E478" s="5"/>
      <c r="F478" s="5">
        <f t="shared" si="155"/>
        <v>-2750</v>
      </c>
      <c r="G478" s="20">
        <v>-122062.5</v>
      </c>
      <c r="J478" s="10" t="s">
        <v>15</v>
      </c>
      <c r="K478" s="5">
        <v>7250</v>
      </c>
      <c r="L478" s="5">
        <v>17875</v>
      </c>
      <c r="M478" s="5">
        <f t="shared" si="156"/>
        <v>25125</v>
      </c>
      <c r="N478" s="5">
        <v>-125</v>
      </c>
      <c r="O478" s="5">
        <f t="shared" si="157"/>
        <v>25250</v>
      </c>
      <c r="P478" s="20">
        <v>-213937.5</v>
      </c>
      <c r="Q478">
        <v>31.950000000000003</v>
      </c>
      <c r="R478" s="10" t="s">
        <v>15</v>
      </c>
      <c r="S478" s="5">
        <f>5312-2750</f>
        <v>2562</v>
      </c>
      <c r="T478" s="5">
        <v>29250</v>
      </c>
      <c r="U478" s="5">
        <f t="shared" ref="U478" si="160">+S478+T478</f>
        <v>31812</v>
      </c>
      <c r="V478" s="5">
        <v>15687.5</v>
      </c>
      <c r="W478" s="5">
        <f t="shared" ref="W478" si="161">+S478+T478-V478</f>
        <v>16124.5</v>
      </c>
      <c r="X478" s="20">
        <v>-316000</v>
      </c>
      <c r="Y478">
        <v>29.25</v>
      </c>
    </row>
    <row r="479" spans="1:25" ht="15.75" x14ac:dyDescent="0.25">
      <c r="A479" s="10" t="s">
        <v>19</v>
      </c>
      <c r="B479" s="5">
        <v>2150</v>
      </c>
      <c r="C479" s="5"/>
      <c r="D479" s="5">
        <f t="shared" si="154"/>
        <v>2150</v>
      </c>
      <c r="E479" s="5"/>
      <c r="F479" s="5">
        <f t="shared" si="155"/>
        <v>2150</v>
      </c>
      <c r="G479" s="20">
        <v>-91875</v>
      </c>
      <c r="J479" s="10" t="s">
        <v>19</v>
      </c>
      <c r="K479" s="5">
        <v>-675</v>
      </c>
      <c r="L479" s="5">
        <v>5725</v>
      </c>
      <c r="M479" s="5">
        <f t="shared" si="156"/>
        <v>5050</v>
      </c>
      <c r="N479" s="5">
        <v>575</v>
      </c>
      <c r="O479" s="5">
        <f t="shared" si="157"/>
        <v>4475</v>
      </c>
      <c r="P479" s="20">
        <v>-234750</v>
      </c>
      <c r="Q479">
        <v>185.85</v>
      </c>
      <c r="R479" s="10" t="s">
        <v>19</v>
      </c>
      <c r="S479" s="5">
        <v>-4450</v>
      </c>
      <c r="T479" s="5">
        <v>33100</v>
      </c>
      <c r="U479" s="5">
        <f t="shared" si="158"/>
        <v>28650</v>
      </c>
      <c r="V479" s="5">
        <v>8400</v>
      </c>
      <c r="W479" s="5">
        <f t="shared" si="159"/>
        <v>20250</v>
      </c>
      <c r="X479" s="20">
        <v>-329225</v>
      </c>
      <c r="Y479">
        <v>175.45</v>
      </c>
    </row>
    <row r="480" spans="1:25" ht="15.75" x14ac:dyDescent="0.25">
      <c r="A480" s="10" t="s">
        <v>46</v>
      </c>
      <c r="B480" s="5">
        <v>2778</v>
      </c>
      <c r="C480" s="5"/>
      <c r="D480" s="5">
        <f t="shared" si="154"/>
        <v>2778</v>
      </c>
      <c r="E480" s="5"/>
      <c r="F480" s="5">
        <f t="shared" si="155"/>
        <v>2778</v>
      </c>
      <c r="G480" s="20">
        <v>-91983.75</v>
      </c>
      <c r="J480" s="10" t="s">
        <v>46</v>
      </c>
      <c r="K480" s="5">
        <v>2303</v>
      </c>
      <c r="L480" s="5">
        <v>11043.75</v>
      </c>
      <c r="M480" s="5">
        <f t="shared" si="156"/>
        <v>13346.75</v>
      </c>
      <c r="N480" s="5">
        <v>3918.75</v>
      </c>
      <c r="O480" s="5">
        <f t="shared" si="157"/>
        <v>9428</v>
      </c>
      <c r="P480" s="20">
        <v>-257996.25</v>
      </c>
      <c r="Q480">
        <v>162.14999999999998</v>
      </c>
      <c r="R480" s="10" t="s">
        <v>46</v>
      </c>
      <c r="S480" s="5">
        <v>-4013</v>
      </c>
      <c r="T480" s="5">
        <v>34698.75</v>
      </c>
      <c r="U480" s="5">
        <f t="shared" si="158"/>
        <v>30685.75</v>
      </c>
      <c r="V480" s="5">
        <v>5177.5</v>
      </c>
      <c r="W480" s="5">
        <f t="shared" si="159"/>
        <v>25508.25</v>
      </c>
      <c r="X480" s="20">
        <v>-328177.5</v>
      </c>
      <c r="Y480">
        <v>153.94999999999999</v>
      </c>
    </row>
    <row r="481" spans="1:25" ht="15.75" x14ac:dyDescent="0.25">
      <c r="A481" s="10" t="s">
        <v>53</v>
      </c>
      <c r="B481" s="5">
        <v>1162</v>
      </c>
      <c r="C481" s="5"/>
      <c r="D481" s="5">
        <f t="shared" si="154"/>
        <v>1162</v>
      </c>
      <c r="E481" s="5"/>
      <c r="F481" s="5">
        <f t="shared" si="155"/>
        <v>1162</v>
      </c>
      <c r="G481" s="20">
        <v>-86955</v>
      </c>
      <c r="J481" s="10" t="s">
        <v>53</v>
      </c>
      <c r="K481" s="5">
        <v>8525</v>
      </c>
      <c r="L481" s="5">
        <v>7207.5</v>
      </c>
      <c r="M481" s="5">
        <f t="shared" si="156"/>
        <v>15732.5</v>
      </c>
      <c r="N481" s="5">
        <v>465</v>
      </c>
      <c r="O481" s="5">
        <f t="shared" si="157"/>
        <v>15267.5</v>
      </c>
      <c r="P481" s="20">
        <v>-172050</v>
      </c>
      <c r="Q481">
        <v>18.149999999999999</v>
      </c>
      <c r="R481" s="10" t="s">
        <v>53</v>
      </c>
      <c r="S481" s="5">
        <v>-25730</v>
      </c>
      <c r="T481" s="5">
        <v>19762.5</v>
      </c>
      <c r="U481" s="5">
        <f t="shared" si="158"/>
        <v>-5967.5</v>
      </c>
      <c r="V481" s="5">
        <v>6897.5</v>
      </c>
      <c r="W481" s="5">
        <f t="shared" si="159"/>
        <v>-12865</v>
      </c>
      <c r="X481" s="20">
        <v>-270630</v>
      </c>
      <c r="Y481">
        <v>17.7</v>
      </c>
    </row>
    <row r="482" spans="1:25" ht="15.75" x14ac:dyDescent="0.25">
      <c r="A482" s="21" t="s">
        <v>107</v>
      </c>
      <c r="B482" s="22">
        <f t="shared" ref="B482:G482" si="162">SUM(B474:B481)</f>
        <v>-20837.75</v>
      </c>
      <c r="C482" s="22">
        <f t="shared" si="162"/>
        <v>0</v>
      </c>
      <c r="D482" s="22">
        <f t="shared" si="162"/>
        <v>-20837.75</v>
      </c>
      <c r="E482" s="18">
        <f t="shared" si="162"/>
        <v>0</v>
      </c>
      <c r="F482" s="21">
        <f t="shared" si="162"/>
        <v>-20837.75</v>
      </c>
      <c r="G482" s="17">
        <f t="shared" si="162"/>
        <v>-867301.25</v>
      </c>
      <c r="J482" s="10" t="s">
        <v>93</v>
      </c>
      <c r="K482" s="5">
        <v>11115</v>
      </c>
      <c r="L482" s="5">
        <v>0</v>
      </c>
      <c r="M482" s="5">
        <f t="shared" si="156"/>
        <v>11115</v>
      </c>
      <c r="N482" s="5">
        <v>0</v>
      </c>
      <c r="O482" s="5">
        <f t="shared" si="157"/>
        <v>11115</v>
      </c>
      <c r="P482" s="20">
        <v>-269977.5</v>
      </c>
      <c r="Q482">
        <v>12.100000000000001</v>
      </c>
      <c r="R482" s="10" t="s">
        <v>93</v>
      </c>
      <c r="S482" s="5">
        <v>-24862</v>
      </c>
      <c r="T482" s="5">
        <v>42120</v>
      </c>
      <c r="U482" s="5">
        <f t="shared" si="158"/>
        <v>17258</v>
      </c>
      <c r="V482" s="5">
        <v>-23107.500000000186</v>
      </c>
      <c r="W482" s="5">
        <f t="shared" si="159"/>
        <v>40365.500000000189</v>
      </c>
      <c r="X482" s="20">
        <v>-315315</v>
      </c>
      <c r="Y482">
        <v>11.85</v>
      </c>
    </row>
    <row r="483" spans="1:25" ht="15.75" x14ac:dyDescent="0.25">
      <c r="J483" s="10" t="s">
        <v>54</v>
      </c>
      <c r="K483" s="5">
        <v>2850</v>
      </c>
      <c r="L483" s="5">
        <v>0</v>
      </c>
      <c r="M483" s="5">
        <f t="shared" si="156"/>
        <v>2850</v>
      </c>
      <c r="N483" s="5">
        <v>0</v>
      </c>
      <c r="O483" s="5">
        <f t="shared" si="157"/>
        <v>2850</v>
      </c>
      <c r="P483" s="20">
        <v>-244200</v>
      </c>
      <c r="Q483">
        <v>47.2</v>
      </c>
      <c r="R483" s="10" t="s">
        <v>54</v>
      </c>
      <c r="S483" s="5">
        <f>-3150-4200</f>
        <v>-7350</v>
      </c>
      <c r="T483" s="5">
        <v>62100</v>
      </c>
      <c r="U483" s="5">
        <f t="shared" si="158"/>
        <v>54750</v>
      </c>
      <c r="V483" s="5">
        <v>-5399.9999999997253</v>
      </c>
      <c r="W483" s="5">
        <f t="shared" si="159"/>
        <v>60149.999999999724</v>
      </c>
      <c r="X483" s="20">
        <v>-296500</v>
      </c>
      <c r="Y483">
        <v>40.4</v>
      </c>
    </row>
    <row r="484" spans="1:25" ht="15.75" x14ac:dyDescent="0.25">
      <c r="J484" s="10" t="s">
        <v>82</v>
      </c>
      <c r="K484" s="5">
        <v>14738</v>
      </c>
      <c r="L484" s="5">
        <v>0</v>
      </c>
      <c r="M484" s="5">
        <f t="shared" si="156"/>
        <v>14738</v>
      </c>
      <c r="N484" s="5">
        <v>0</v>
      </c>
      <c r="O484" s="5">
        <f t="shared" si="157"/>
        <v>14738</v>
      </c>
      <c r="P484" s="20">
        <v>-205660</v>
      </c>
      <c r="Q484">
        <v>72.599999999999994</v>
      </c>
      <c r="R484" s="10" t="s">
        <v>82</v>
      </c>
      <c r="S484" s="5">
        <v>-11813</v>
      </c>
      <c r="T484" s="5">
        <v>29412.5</v>
      </c>
      <c r="U484" s="5">
        <f t="shared" si="158"/>
        <v>17599.5</v>
      </c>
      <c r="V484" s="5">
        <v>16022.5</v>
      </c>
      <c r="W484" s="5">
        <f t="shared" si="159"/>
        <v>1577</v>
      </c>
      <c r="X484" s="20">
        <v>-305890</v>
      </c>
      <c r="Y484">
        <v>69</v>
      </c>
    </row>
    <row r="485" spans="1:25" ht="15.75" x14ac:dyDescent="0.25">
      <c r="J485" s="21" t="s">
        <v>107</v>
      </c>
      <c r="K485" s="22">
        <f t="shared" ref="K485:P485" si="163">SUM(K474:K484)</f>
        <v>39930</v>
      </c>
      <c r="L485" s="22">
        <f t="shared" si="163"/>
        <v>21279.999999999993</v>
      </c>
      <c r="M485" s="22">
        <f t="shared" si="163"/>
        <v>61209.999999999993</v>
      </c>
      <c r="N485" s="18">
        <f>SUM(N474:N484)</f>
        <v>673.75</v>
      </c>
      <c r="O485" s="21">
        <f t="shared" si="163"/>
        <v>60536.249999999993</v>
      </c>
      <c r="P485" s="17">
        <f t="shared" si="163"/>
        <v>-2610132.5</v>
      </c>
      <c r="Q485">
        <v>290</v>
      </c>
      <c r="R485" s="10" t="s">
        <v>116</v>
      </c>
      <c r="S485" s="5">
        <v>9187</v>
      </c>
      <c r="T485" s="5">
        <v>0</v>
      </c>
      <c r="U485" s="5">
        <f t="shared" si="158"/>
        <v>9187</v>
      </c>
      <c r="V485" s="5">
        <v>0</v>
      </c>
      <c r="W485" s="5">
        <f t="shared" si="159"/>
        <v>9187</v>
      </c>
      <c r="X485" s="20">
        <v>-302745</v>
      </c>
      <c r="Y485">
        <v>251.75</v>
      </c>
    </row>
    <row r="486" spans="1:25" ht="15.75" x14ac:dyDescent="0.25">
      <c r="R486" s="21" t="s">
        <v>107</v>
      </c>
      <c r="S486" s="22">
        <f t="shared" ref="S486:U486" si="164">SUM(S474:S485)</f>
        <v>-99533</v>
      </c>
      <c r="T486" s="22">
        <f t="shared" si="164"/>
        <v>398920</v>
      </c>
      <c r="U486" s="22">
        <f t="shared" si="164"/>
        <v>299387</v>
      </c>
      <c r="V486" s="18">
        <f>SUM(V474:V485)</f>
        <v>22846.250000000087</v>
      </c>
      <c r="W486" s="21">
        <f t="shared" ref="W486:X486" si="165">SUM(W474:W485)</f>
        <v>276540.74999999988</v>
      </c>
      <c r="X486" s="17">
        <f t="shared" si="165"/>
        <v>-3617210</v>
      </c>
    </row>
    <row r="490" spans="1:25" x14ac:dyDescent="0.25">
      <c r="A490" s="122">
        <v>44908</v>
      </c>
      <c r="B490" s="123"/>
      <c r="C490" s="123"/>
      <c r="D490" s="123"/>
      <c r="E490" s="123"/>
      <c r="F490" s="123"/>
      <c r="G490" s="123"/>
      <c r="J490" s="122">
        <v>44909</v>
      </c>
      <c r="K490" s="123"/>
      <c r="L490" s="123"/>
      <c r="M490" s="123"/>
      <c r="N490" s="123"/>
      <c r="O490" s="123"/>
      <c r="P490" s="123"/>
      <c r="R490" s="122">
        <v>44910</v>
      </c>
      <c r="S490" s="123"/>
      <c r="T490" s="123"/>
      <c r="U490" s="123"/>
      <c r="V490" s="123"/>
      <c r="W490" s="123"/>
      <c r="X490" s="123"/>
    </row>
    <row r="491" spans="1:25" x14ac:dyDescent="0.25">
      <c r="A491" s="6" t="s">
        <v>34</v>
      </c>
      <c r="B491" s="6" t="s">
        <v>104</v>
      </c>
      <c r="C491" s="6" t="s">
        <v>105</v>
      </c>
      <c r="D491" s="6" t="s">
        <v>112</v>
      </c>
      <c r="E491" s="6" t="s">
        <v>106</v>
      </c>
      <c r="F491" s="3" t="s">
        <v>108</v>
      </c>
      <c r="G491" s="3" t="s">
        <v>28</v>
      </c>
      <c r="H491">
        <v>33.5</v>
      </c>
      <c r="J491" s="6" t="s">
        <v>34</v>
      </c>
      <c r="K491" s="6" t="s">
        <v>104</v>
      </c>
      <c r="L491" s="6" t="s">
        <v>105</v>
      </c>
      <c r="M491" s="6" t="s">
        <v>112</v>
      </c>
      <c r="N491" s="6" t="s">
        <v>106</v>
      </c>
      <c r="O491" s="3" t="s">
        <v>108</v>
      </c>
      <c r="P491" s="3" t="s">
        <v>28</v>
      </c>
      <c r="R491" s="6" t="s">
        <v>34</v>
      </c>
      <c r="S491" s="6" t="s">
        <v>104</v>
      </c>
      <c r="T491" s="6" t="s">
        <v>105</v>
      </c>
      <c r="U491" s="6" t="s">
        <v>112</v>
      </c>
      <c r="V491" s="6" t="s">
        <v>106</v>
      </c>
      <c r="W491" s="3" t="s">
        <v>108</v>
      </c>
      <c r="X491" s="3" t="s">
        <v>28</v>
      </c>
    </row>
    <row r="492" spans="1:25" ht="15.75" x14ac:dyDescent="0.25">
      <c r="A492" s="10" t="s">
        <v>65</v>
      </c>
      <c r="B492" s="5">
        <v>14430</v>
      </c>
      <c r="C492" s="5">
        <v>-26861.25</v>
      </c>
      <c r="D492" s="5">
        <f t="shared" ref="D492:D503" si="166">+B492+C492</f>
        <v>-12431.25</v>
      </c>
      <c r="E492" s="5">
        <v>1462.5</v>
      </c>
      <c r="F492" s="5">
        <f>+B492+C492-E492</f>
        <v>-13893.75</v>
      </c>
      <c r="G492" s="20">
        <v>-370938.75</v>
      </c>
      <c r="H492">
        <v>11.05</v>
      </c>
      <c r="J492" s="10" t="s">
        <v>65</v>
      </c>
      <c r="K492" s="5">
        <v>-71711</v>
      </c>
      <c r="L492" s="5">
        <v>9750</v>
      </c>
      <c r="M492" s="5">
        <f t="shared" ref="M492:M503" si="167">+K492+L492</f>
        <v>-61961</v>
      </c>
      <c r="N492" s="5">
        <v>-15697.5</v>
      </c>
      <c r="O492" s="5">
        <f>+K492+L492-N492</f>
        <v>-46263.5</v>
      </c>
      <c r="P492" s="20">
        <v>-495543.75</v>
      </c>
      <c r="Q492">
        <v>33.049999999999997</v>
      </c>
      <c r="R492" s="10" t="s">
        <v>65</v>
      </c>
      <c r="S492" s="5">
        <v>26178</v>
      </c>
      <c r="T492" s="5">
        <v>-50553.75</v>
      </c>
      <c r="U492" s="5">
        <f>+T492+S492</f>
        <v>-24375.75</v>
      </c>
      <c r="V492" s="5">
        <v>12821.25</v>
      </c>
      <c r="W492" s="5">
        <f t="shared" ref="W492:W507" si="168">+S492+T492-V492</f>
        <v>-37197</v>
      </c>
      <c r="X492" s="20">
        <v>-651105</v>
      </c>
      <c r="Y492">
        <v>28.95</v>
      </c>
    </row>
    <row r="493" spans="1:25" ht="15.75" x14ac:dyDescent="0.25">
      <c r="A493" s="10" t="s">
        <v>79</v>
      </c>
      <c r="B493" s="5">
        <v>-5775</v>
      </c>
      <c r="C493" s="5">
        <v>38500</v>
      </c>
      <c r="D493" s="5">
        <f t="shared" si="166"/>
        <v>32725</v>
      </c>
      <c r="E493" s="5">
        <v>-2450</v>
      </c>
      <c r="F493" s="5">
        <f t="shared" ref="F493:F503" si="169">+B493+C493-E493</f>
        <v>35175</v>
      </c>
      <c r="G493" s="20">
        <v>-305200</v>
      </c>
      <c r="H493">
        <v>13.55</v>
      </c>
      <c r="J493" s="10" t="s">
        <v>79</v>
      </c>
      <c r="K493" s="5">
        <v>-9100</v>
      </c>
      <c r="L493" s="5">
        <v>-2800</v>
      </c>
      <c r="M493" s="5">
        <f t="shared" si="167"/>
        <v>-11900</v>
      </c>
      <c r="N493" s="5">
        <v>-1400</v>
      </c>
      <c r="O493" s="5">
        <f t="shared" ref="O493:O503" si="170">+K493+L493-N493</f>
        <v>-10500</v>
      </c>
      <c r="P493" s="20">
        <v>-452900</v>
      </c>
      <c r="Q493">
        <v>10.7</v>
      </c>
      <c r="R493" s="10" t="s">
        <v>79</v>
      </c>
      <c r="S493" s="5">
        <v>-15400</v>
      </c>
      <c r="T493" s="5">
        <v>55650</v>
      </c>
      <c r="U493" s="5">
        <f t="shared" ref="U493:U507" si="171">+T493+S493</f>
        <v>40250</v>
      </c>
      <c r="V493" s="5">
        <v>-9100</v>
      </c>
      <c r="W493" s="5">
        <f t="shared" si="168"/>
        <v>49350</v>
      </c>
      <c r="X493" s="20">
        <v>-499450</v>
      </c>
      <c r="Y493">
        <v>9.1999999999999993</v>
      </c>
    </row>
    <row r="494" spans="1:25" ht="15.75" x14ac:dyDescent="0.25">
      <c r="A494" s="10" t="s">
        <v>80</v>
      </c>
      <c r="B494" s="5">
        <v>51</v>
      </c>
      <c r="C494" s="5">
        <v>-400</v>
      </c>
      <c r="D494" s="5">
        <f t="shared" si="166"/>
        <v>-349</v>
      </c>
      <c r="E494" s="5">
        <v>6400</v>
      </c>
      <c r="F494" s="5">
        <f t="shared" si="169"/>
        <v>-6749</v>
      </c>
      <c r="G494" s="20">
        <v>-415200</v>
      </c>
      <c r="H494">
        <v>14.55</v>
      </c>
      <c r="J494" s="10" t="s">
        <v>80</v>
      </c>
      <c r="K494" s="5">
        <v>-800</v>
      </c>
      <c r="L494" s="5">
        <v>8600</v>
      </c>
      <c r="M494" s="5">
        <f t="shared" si="167"/>
        <v>7800</v>
      </c>
      <c r="N494" s="5">
        <v>7800</v>
      </c>
      <c r="O494" s="5">
        <f t="shared" si="170"/>
        <v>0</v>
      </c>
      <c r="P494" s="20">
        <v>-500600</v>
      </c>
      <c r="Q494">
        <v>13.2</v>
      </c>
      <c r="R494" s="10" t="s">
        <v>80</v>
      </c>
      <c r="S494" s="5">
        <v>-19400</v>
      </c>
      <c r="T494" s="5">
        <v>37800</v>
      </c>
      <c r="U494" s="5">
        <f t="shared" si="171"/>
        <v>18400</v>
      </c>
      <c r="V494" s="5">
        <v>22400</v>
      </c>
      <c r="W494" s="5">
        <f t="shared" si="168"/>
        <v>-4000</v>
      </c>
      <c r="X494" s="20">
        <v>-536400</v>
      </c>
      <c r="Y494">
        <v>11.75</v>
      </c>
    </row>
    <row r="495" spans="1:25" ht="15.75" x14ac:dyDescent="0.25">
      <c r="A495" s="10" t="s">
        <v>94</v>
      </c>
      <c r="B495" s="5">
        <v>-64350</v>
      </c>
      <c r="C495" s="5">
        <v>-26190</v>
      </c>
      <c r="D495" s="5">
        <f t="shared" si="166"/>
        <v>-90540</v>
      </c>
      <c r="E495" s="5">
        <v>7380</v>
      </c>
      <c r="F495" s="5">
        <f t="shared" si="169"/>
        <v>-97920</v>
      </c>
      <c r="G495" s="20">
        <v>-407430</v>
      </c>
      <c r="H495">
        <v>29.25</v>
      </c>
      <c r="J495" s="10" t="s">
        <v>94</v>
      </c>
      <c r="K495" s="5">
        <v>-11160</v>
      </c>
      <c r="L495" s="5">
        <v>38700</v>
      </c>
      <c r="M495" s="5">
        <f t="shared" si="167"/>
        <v>27540</v>
      </c>
      <c r="N495" s="5">
        <v>-1260</v>
      </c>
      <c r="O495" s="5">
        <f t="shared" si="170"/>
        <v>28800</v>
      </c>
      <c r="P495" s="20">
        <v>-425250</v>
      </c>
      <c r="Q495">
        <v>14.1</v>
      </c>
      <c r="R495" s="10" t="s">
        <v>94</v>
      </c>
      <c r="S495" s="5">
        <v>-42300</v>
      </c>
      <c r="T495" s="5">
        <v>-3330</v>
      </c>
      <c r="U495" s="5">
        <f t="shared" si="171"/>
        <v>-45630</v>
      </c>
      <c r="V495" s="5">
        <v>-11160</v>
      </c>
      <c r="W495" s="5">
        <f t="shared" si="168"/>
        <v>-34470</v>
      </c>
      <c r="X495" s="20">
        <v>-559710</v>
      </c>
      <c r="Y495">
        <v>13.1</v>
      </c>
    </row>
    <row r="496" spans="1:25" ht="15.75" x14ac:dyDescent="0.25">
      <c r="A496" s="10" t="s">
        <v>15</v>
      </c>
      <c r="B496" s="5">
        <v>10875</v>
      </c>
      <c r="C496" s="5">
        <v>5500</v>
      </c>
      <c r="D496" s="5">
        <f t="shared" si="166"/>
        <v>16375</v>
      </c>
      <c r="E496" s="5">
        <v>6750</v>
      </c>
      <c r="F496" s="5">
        <f t="shared" si="169"/>
        <v>9625</v>
      </c>
      <c r="G496" s="20">
        <v>-391500</v>
      </c>
      <c r="H496">
        <v>177.8</v>
      </c>
      <c r="J496" s="10" t="s">
        <v>15</v>
      </c>
      <c r="K496" s="5">
        <v>6312</v>
      </c>
      <c r="L496" s="5">
        <v>41750</v>
      </c>
      <c r="M496" s="5">
        <f t="shared" si="167"/>
        <v>48062</v>
      </c>
      <c r="N496" s="5">
        <v>-3125</v>
      </c>
      <c r="O496" s="5">
        <f t="shared" si="170"/>
        <v>51187</v>
      </c>
      <c r="P496" s="20">
        <v>-439000</v>
      </c>
      <c r="Q496">
        <v>26.05</v>
      </c>
      <c r="R496" s="10" t="s">
        <v>15</v>
      </c>
      <c r="S496" s="5">
        <v>-625</v>
      </c>
      <c r="T496" s="5">
        <v>94500</v>
      </c>
      <c r="U496" s="5">
        <f t="shared" si="171"/>
        <v>93875</v>
      </c>
      <c r="V496" s="5">
        <v>47750</v>
      </c>
      <c r="W496" s="5">
        <f t="shared" si="168"/>
        <v>46125</v>
      </c>
      <c r="X496" s="20">
        <v>-555500</v>
      </c>
      <c r="Y496">
        <v>21.85</v>
      </c>
    </row>
    <row r="497" spans="1:25" ht="15.75" x14ac:dyDescent="0.25">
      <c r="A497" s="10" t="s">
        <v>19</v>
      </c>
      <c r="B497" s="5">
        <v>-2150</v>
      </c>
      <c r="C497" s="5">
        <v>-1100</v>
      </c>
      <c r="D497" s="5">
        <f t="shared" si="166"/>
        <v>-3250</v>
      </c>
      <c r="E497" s="5">
        <v>-7200</v>
      </c>
      <c r="F497" s="5">
        <f t="shared" si="169"/>
        <v>3950</v>
      </c>
      <c r="G497" s="20">
        <v>-355225</v>
      </c>
      <c r="H497">
        <v>153.94999999999999</v>
      </c>
      <c r="J497" s="10" t="s">
        <v>19</v>
      </c>
      <c r="K497" s="5">
        <v>0</v>
      </c>
      <c r="L497" s="5">
        <v>22250</v>
      </c>
      <c r="M497" s="5">
        <f t="shared" si="167"/>
        <v>22250</v>
      </c>
      <c r="N497" s="5">
        <v>-10775</v>
      </c>
      <c r="O497" s="5">
        <f t="shared" si="170"/>
        <v>33025</v>
      </c>
      <c r="P497" s="20">
        <v>-347600</v>
      </c>
      <c r="Q497">
        <v>173.25</v>
      </c>
      <c r="R497" s="10" t="s">
        <v>19</v>
      </c>
      <c r="S497" s="5">
        <v>97550</v>
      </c>
      <c r="T497" s="5">
        <v>-10225</v>
      </c>
      <c r="U497" s="5">
        <f t="shared" si="171"/>
        <v>87325</v>
      </c>
      <c r="V497" s="5">
        <v>-1225</v>
      </c>
      <c r="W497" s="5">
        <f t="shared" si="168"/>
        <v>88550</v>
      </c>
      <c r="X497" s="20">
        <v>-345875</v>
      </c>
      <c r="Y497">
        <v>141.14999999999998</v>
      </c>
    </row>
    <row r="498" spans="1:25" ht="15.75" x14ac:dyDescent="0.25">
      <c r="A498" s="10" t="s">
        <v>46</v>
      </c>
      <c r="B498" s="5">
        <v>-3277</v>
      </c>
      <c r="C498" s="5">
        <v>14535</v>
      </c>
      <c r="D498" s="5">
        <f t="shared" si="166"/>
        <v>11258</v>
      </c>
      <c r="E498" s="5">
        <v>665</v>
      </c>
      <c r="F498" s="5">
        <f t="shared" si="169"/>
        <v>10593</v>
      </c>
      <c r="G498" s="20">
        <v>-351405</v>
      </c>
      <c r="H498">
        <v>17.7</v>
      </c>
      <c r="J498" s="10" t="s">
        <v>46</v>
      </c>
      <c r="K498" s="5">
        <v>25745</v>
      </c>
      <c r="L498" s="5">
        <v>49114.999999999993</v>
      </c>
      <c r="M498" s="5">
        <f t="shared" si="167"/>
        <v>74860</v>
      </c>
      <c r="N498" s="5">
        <v>-10830</v>
      </c>
      <c r="O498" s="5">
        <f t="shared" si="170"/>
        <v>85690</v>
      </c>
      <c r="P498" s="20">
        <v>-495710</v>
      </c>
      <c r="Q498">
        <v>137.5</v>
      </c>
      <c r="R498" s="10" t="s">
        <v>46</v>
      </c>
      <c r="S498" s="5">
        <v>-42298</v>
      </c>
      <c r="T498" s="5">
        <v>85452.5</v>
      </c>
      <c r="U498" s="5">
        <f t="shared" si="171"/>
        <v>43154.5</v>
      </c>
      <c r="V498" s="5">
        <v>-7505</v>
      </c>
      <c r="W498" s="5">
        <f t="shared" si="168"/>
        <v>50659.5</v>
      </c>
      <c r="X498" s="20">
        <v>-457995</v>
      </c>
      <c r="Y498">
        <v>100.2</v>
      </c>
    </row>
    <row r="499" spans="1:25" ht="15.75" x14ac:dyDescent="0.25">
      <c r="A499" s="10" t="s">
        <v>53</v>
      </c>
      <c r="B499" s="5">
        <v>-1240</v>
      </c>
      <c r="C499" s="5">
        <v>6587.5</v>
      </c>
      <c r="D499" s="5">
        <f t="shared" si="166"/>
        <v>5347.5</v>
      </c>
      <c r="E499" s="5">
        <v>7827.5</v>
      </c>
      <c r="F499" s="5">
        <f t="shared" si="169"/>
        <v>-2480</v>
      </c>
      <c r="G499" s="20">
        <v>-289385</v>
      </c>
      <c r="H499">
        <v>11.85</v>
      </c>
      <c r="J499" s="10" t="s">
        <v>53</v>
      </c>
      <c r="K499" s="5">
        <v>-6200</v>
      </c>
      <c r="L499" s="5">
        <v>12400</v>
      </c>
      <c r="M499" s="5">
        <f t="shared" si="167"/>
        <v>6200</v>
      </c>
      <c r="N499" s="5">
        <v>-3875</v>
      </c>
      <c r="O499" s="5">
        <f t="shared" si="170"/>
        <v>10075</v>
      </c>
      <c r="P499" s="20">
        <v>-510725</v>
      </c>
      <c r="Q499">
        <v>16.649999999999999</v>
      </c>
      <c r="R499" s="10" t="s">
        <v>53</v>
      </c>
      <c r="S499" s="5">
        <v>-41075</v>
      </c>
      <c r="T499" s="5">
        <v>82305</v>
      </c>
      <c r="U499" s="5">
        <f t="shared" si="171"/>
        <v>41230</v>
      </c>
      <c r="V499" s="5">
        <v>-2480</v>
      </c>
      <c r="W499" s="5">
        <f t="shared" si="168"/>
        <v>43710</v>
      </c>
      <c r="X499" s="20">
        <v>-513980</v>
      </c>
      <c r="Y499">
        <v>14.25</v>
      </c>
    </row>
    <row r="500" spans="1:25" ht="15.75" x14ac:dyDescent="0.25">
      <c r="A500" s="10" t="s">
        <v>93</v>
      </c>
      <c r="B500" s="5">
        <v>-7897</v>
      </c>
      <c r="C500" s="5">
        <v>26325</v>
      </c>
      <c r="D500" s="5">
        <f t="shared" si="166"/>
        <v>18428</v>
      </c>
      <c r="E500" s="5">
        <v>9067.5</v>
      </c>
      <c r="F500" s="5">
        <f t="shared" si="169"/>
        <v>9360.5</v>
      </c>
      <c r="G500" s="20">
        <v>-329940</v>
      </c>
      <c r="H500">
        <v>40.4</v>
      </c>
      <c r="J500" s="10" t="s">
        <v>93</v>
      </c>
      <c r="K500" s="5">
        <v>4972</v>
      </c>
      <c r="L500" s="5">
        <v>21645</v>
      </c>
      <c r="M500" s="5">
        <f t="shared" si="167"/>
        <v>26617</v>
      </c>
      <c r="N500" s="5">
        <v>4095</v>
      </c>
      <c r="O500" s="5">
        <f t="shared" si="170"/>
        <v>22522</v>
      </c>
      <c r="P500" s="20">
        <v>-400432.5</v>
      </c>
      <c r="Q500">
        <v>10.8</v>
      </c>
      <c r="R500" s="10" t="s">
        <v>93</v>
      </c>
      <c r="S500" s="5">
        <v>3217</v>
      </c>
      <c r="T500" s="5">
        <v>106762.5</v>
      </c>
      <c r="U500" s="5">
        <f t="shared" si="171"/>
        <v>109979.5</v>
      </c>
      <c r="V500" s="5">
        <v>9360</v>
      </c>
      <c r="W500" s="5">
        <f t="shared" si="168"/>
        <v>100619.5</v>
      </c>
      <c r="X500" s="20">
        <v>-513922.5</v>
      </c>
      <c r="Y500">
        <v>8.8999999999999986</v>
      </c>
    </row>
    <row r="501" spans="1:25" ht="15.75" x14ac:dyDescent="0.25">
      <c r="A501" s="10" t="s">
        <v>54</v>
      </c>
      <c r="B501" s="5">
        <v>-6990</v>
      </c>
      <c r="C501" s="5">
        <v>-1400</v>
      </c>
      <c r="D501" s="5">
        <f t="shared" si="166"/>
        <v>-8390</v>
      </c>
      <c r="E501" s="5">
        <v>-2500</v>
      </c>
      <c r="F501" s="5">
        <f t="shared" si="169"/>
        <v>-5890</v>
      </c>
      <c r="G501" s="20">
        <v>-340500</v>
      </c>
      <c r="H501">
        <v>69</v>
      </c>
      <c r="J501" s="10" t="s">
        <v>54</v>
      </c>
      <c r="K501" s="5">
        <v>-3750</v>
      </c>
      <c r="L501" s="5">
        <v>11150</v>
      </c>
      <c r="M501" s="5">
        <f t="shared" si="167"/>
        <v>7400</v>
      </c>
      <c r="N501" s="5">
        <v>-7350</v>
      </c>
      <c r="O501" s="5">
        <f t="shared" si="170"/>
        <v>14750</v>
      </c>
      <c r="P501" s="20">
        <v>-410100</v>
      </c>
      <c r="Q501">
        <v>39.4</v>
      </c>
      <c r="R501" s="10" t="s">
        <v>54</v>
      </c>
      <c r="S501" s="5">
        <v>66850</v>
      </c>
      <c r="T501" s="5">
        <v>-36650</v>
      </c>
      <c r="U501" s="5">
        <f t="shared" si="171"/>
        <v>30200</v>
      </c>
      <c r="V501" s="5">
        <v>5600.0000000000018</v>
      </c>
      <c r="W501" s="5">
        <f t="shared" si="168"/>
        <v>24600</v>
      </c>
      <c r="X501" s="20">
        <v>-454150</v>
      </c>
      <c r="Y501">
        <v>31.4</v>
      </c>
    </row>
    <row r="502" spans="1:25" ht="15.75" x14ac:dyDescent="0.25">
      <c r="A502" s="10" t="s">
        <v>82</v>
      </c>
      <c r="B502" s="5">
        <v>-1121</v>
      </c>
      <c r="C502" s="5">
        <v>8222.5</v>
      </c>
      <c r="D502" s="5">
        <f t="shared" si="166"/>
        <v>7101.5</v>
      </c>
      <c r="E502" s="5">
        <v>845</v>
      </c>
      <c r="F502" s="5">
        <f t="shared" si="169"/>
        <v>6256.5</v>
      </c>
      <c r="G502" s="20">
        <v>-366990</v>
      </c>
      <c r="H502">
        <v>251.75</v>
      </c>
      <c r="J502" s="10" t="s">
        <v>82</v>
      </c>
      <c r="K502" s="5">
        <v>4030</v>
      </c>
      <c r="L502" s="5">
        <v>-62611.25</v>
      </c>
      <c r="M502" s="5">
        <f t="shared" si="167"/>
        <v>-58581.25</v>
      </c>
      <c r="N502" s="5">
        <v>-3038.75</v>
      </c>
      <c r="O502" s="5">
        <f t="shared" si="170"/>
        <v>-55542.5</v>
      </c>
      <c r="P502" s="20">
        <v>-401375</v>
      </c>
      <c r="Q502">
        <v>72.900000000000006</v>
      </c>
      <c r="R502" s="10" t="s">
        <v>82</v>
      </c>
      <c r="S502" s="5">
        <v>-108696</v>
      </c>
      <c r="T502" s="5">
        <v>34774.999999999985</v>
      </c>
      <c r="U502" s="5">
        <f t="shared" si="171"/>
        <v>-73921.000000000015</v>
      </c>
      <c r="V502" s="5">
        <v>-5525</v>
      </c>
      <c r="W502" s="5">
        <f t="shared" si="168"/>
        <v>-68396.000000000015</v>
      </c>
      <c r="X502" s="20">
        <v>-566020</v>
      </c>
      <c r="Y502">
        <v>65.599999999999994</v>
      </c>
    </row>
    <row r="503" spans="1:25" ht="15.75" x14ac:dyDescent="0.25">
      <c r="A503" s="10" t="s">
        <v>116</v>
      </c>
      <c r="B503" s="5">
        <v>-1701</v>
      </c>
      <c r="C503" s="5">
        <v>-6555</v>
      </c>
      <c r="D503" s="5">
        <f t="shared" si="166"/>
        <v>-8256</v>
      </c>
      <c r="E503" s="5">
        <v>7260</v>
      </c>
      <c r="F503" s="5">
        <f t="shared" si="169"/>
        <v>-15516</v>
      </c>
      <c r="G503" s="20">
        <v>-342615</v>
      </c>
      <c r="J503" s="10" t="s">
        <v>116</v>
      </c>
      <c r="K503" s="5">
        <v>11910</v>
      </c>
      <c r="L503" s="5">
        <v>-19470</v>
      </c>
      <c r="M503" s="5">
        <f t="shared" si="167"/>
        <v>-7560</v>
      </c>
      <c r="N503" s="5">
        <v>5970</v>
      </c>
      <c r="O503" s="5">
        <f t="shared" si="170"/>
        <v>-13530</v>
      </c>
      <c r="P503" s="20">
        <v>-522225</v>
      </c>
      <c r="Q503">
        <v>252.75</v>
      </c>
      <c r="R503" s="10" t="s">
        <v>116</v>
      </c>
      <c r="S503" s="5">
        <v>-93022</v>
      </c>
      <c r="T503" s="5">
        <v>107490</v>
      </c>
      <c r="U503" s="5">
        <f t="shared" si="171"/>
        <v>14468</v>
      </c>
      <c r="V503" s="5">
        <v>2340.0000000000009</v>
      </c>
      <c r="W503" s="5">
        <f t="shared" si="168"/>
        <v>12128</v>
      </c>
      <c r="X503" s="20">
        <v>-550620</v>
      </c>
      <c r="Y503">
        <v>205.55</v>
      </c>
    </row>
    <row r="504" spans="1:25" ht="15.75" x14ac:dyDescent="0.25">
      <c r="A504" s="10"/>
      <c r="B504" s="5"/>
      <c r="C504" s="5"/>
      <c r="D504" s="5"/>
      <c r="E504" s="5"/>
      <c r="F504" s="5"/>
      <c r="G504" s="20"/>
      <c r="J504" s="10"/>
      <c r="K504" s="5"/>
      <c r="L504" s="5"/>
      <c r="M504" s="5"/>
      <c r="N504" s="5"/>
      <c r="O504" s="5"/>
      <c r="P504" s="20"/>
      <c r="R504" s="10" t="s">
        <v>84</v>
      </c>
      <c r="S504" s="5">
        <v>3330</v>
      </c>
      <c r="T504" s="5">
        <v>0</v>
      </c>
      <c r="U504" s="5">
        <f t="shared" si="171"/>
        <v>3330</v>
      </c>
      <c r="V504" s="5"/>
      <c r="W504" s="5">
        <f t="shared" si="168"/>
        <v>3330</v>
      </c>
      <c r="X504" s="20">
        <v>-484065</v>
      </c>
      <c r="Y504">
        <v>18.299999999999997</v>
      </c>
    </row>
    <row r="505" spans="1:25" ht="15.75" x14ac:dyDescent="0.25">
      <c r="A505" s="10"/>
      <c r="B505" s="5"/>
      <c r="C505" s="5"/>
      <c r="D505" s="5"/>
      <c r="E505" s="5"/>
      <c r="F505" s="5"/>
      <c r="G505" s="20"/>
      <c r="J505" s="10"/>
      <c r="K505" s="5"/>
      <c r="L505" s="5"/>
      <c r="M505" s="5"/>
      <c r="N505" s="5"/>
      <c r="O505" s="5"/>
      <c r="P505" s="20"/>
      <c r="R505" s="10" t="s">
        <v>90</v>
      </c>
      <c r="S505" s="5">
        <v>91120</v>
      </c>
      <c r="T505" s="5">
        <v>0</v>
      </c>
      <c r="U505" s="5">
        <f t="shared" si="171"/>
        <v>91120</v>
      </c>
      <c r="V505" s="5"/>
      <c r="W505" s="5">
        <f t="shared" si="168"/>
        <v>91120</v>
      </c>
      <c r="X505" s="20">
        <v>-457040</v>
      </c>
      <c r="Y505">
        <v>20.100000000000001</v>
      </c>
    </row>
    <row r="506" spans="1:25" ht="15.75" x14ac:dyDescent="0.25">
      <c r="A506" s="10"/>
      <c r="B506" s="5"/>
      <c r="C506" s="5"/>
      <c r="D506" s="5"/>
      <c r="E506" s="5"/>
      <c r="F506" s="5"/>
      <c r="G506" s="20"/>
      <c r="J506" s="10"/>
      <c r="K506" s="5"/>
      <c r="L506" s="5"/>
      <c r="M506" s="5"/>
      <c r="N506" s="5"/>
      <c r="O506" s="5"/>
      <c r="P506" s="20"/>
      <c r="R506" s="10" t="s">
        <v>67</v>
      </c>
      <c r="S506" s="5">
        <v>13000</v>
      </c>
      <c r="T506" s="5">
        <v>0</v>
      </c>
      <c r="U506" s="5">
        <f t="shared" si="171"/>
        <v>13000</v>
      </c>
      <c r="V506" s="5"/>
      <c r="W506" s="5">
        <f t="shared" si="168"/>
        <v>13000</v>
      </c>
      <c r="X506" s="20">
        <v>-464100</v>
      </c>
      <c r="Y506">
        <v>15.8</v>
      </c>
    </row>
    <row r="507" spans="1:25" ht="15.75" x14ac:dyDescent="0.25">
      <c r="A507" s="10"/>
      <c r="B507" s="5"/>
      <c r="C507" s="5"/>
      <c r="D507" s="5"/>
      <c r="E507" s="5"/>
      <c r="F507" s="5"/>
      <c r="G507" s="20"/>
      <c r="J507" s="10"/>
      <c r="K507" s="5"/>
      <c r="L507" s="5"/>
      <c r="M507" s="5"/>
      <c r="N507" s="5"/>
      <c r="O507" s="5"/>
      <c r="P507" s="20"/>
      <c r="R507" s="10" t="s">
        <v>91</v>
      </c>
      <c r="S507" s="5">
        <v>8250</v>
      </c>
      <c r="T507" s="5">
        <v>0</v>
      </c>
      <c r="U507" s="5">
        <f t="shared" si="171"/>
        <v>8250</v>
      </c>
      <c r="V507" s="5"/>
      <c r="W507" s="5">
        <f t="shared" si="168"/>
        <v>8250</v>
      </c>
      <c r="X507" s="20">
        <v>-415650</v>
      </c>
    </row>
    <row r="508" spans="1:25" ht="15.75" x14ac:dyDescent="0.25">
      <c r="A508" s="21" t="s">
        <v>107</v>
      </c>
      <c r="B508" s="22">
        <f t="shared" ref="B508:D508" si="172">SUM(B492:B503)</f>
        <v>-69145</v>
      </c>
      <c r="C508" s="22">
        <f t="shared" si="172"/>
        <v>37163.75</v>
      </c>
      <c r="D508" s="22">
        <f t="shared" si="172"/>
        <v>-31981.25</v>
      </c>
      <c r="E508" s="18">
        <f>SUM(E492:E503)</f>
        <v>35507.5</v>
      </c>
      <c r="F508" s="21">
        <f t="shared" ref="F508:G508" si="173">SUM(F492:F503)</f>
        <v>-67488.75</v>
      </c>
      <c r="G508" s="17">
        <f t="shared" si="173"/>
        <v>-4266328.75</v>
      </c>
      <c r="J508" s="21" t="s">
        <v>107</v>
      </c>
      <c r="K508" s="22">
        <f t="shared" ref="K508:M508" si="174">SUM(K492:K503)</f>
        <v>-49752</v>
      </c>
      <c r="L508" s="22">
        <f t="shared" si="174"/>
        <v>130478.75</v>
      </c>
      <c r="M508" s="22">
        <f t="shared" si="174"/>
        <v>80726.75</v>
      </c>
      <c r="N508" s="18">
        <f>SUM(N492:N503)</f>
        <v>-39486.25</v>
      </c>
      <c r="O508" s="21">
        <f t="shared" ref="O508:P508" si="175">SUM(O492:O503)</f>
        <v>120213</v>
      </c>
      <c r="P508" s="17">
        <f t="shared" si="175"/>
        <v>-5401461.25</v>
      </c>
      <c r="R508" s="21" t="s">
        <v>107</v>
      </c>
      <c r="S508" s="22">
        <f t="shared" ref="S508:X508" si="176">SUM(S492:S507)</f>
        <v>-53321</v>
      </c>
      <c r="T508" s="22">
        <f t="shared" si="176"/>
        <v>503976.25</v>
      </c>
      <c r="U508" s="22">
        <f t="shared" si="176"/>
        <v>450655.25</v>
      </c>
      <c r="V508" s="18">
        <f t="shared" si="176"/>
        <v>63276.25</v>
      </c>
      <c r="W508" s="21">
        <f t="shared" si="176"/>
        <v>387379</v>
      </c>
      <c r="X508" s="17">
        <f t="shared" si="176"/>
        <v>-8025582.5</v>
      </c>
    </row>
    <row r="513" spans="1:17" x14ac:dyDescent="0.25">
      <c r="A513" s="122">
        <v>44914</v>
      </c>
      <c r="B513" s="123"/>
      <c r="C513" s="123"/>
      <c r="D513" s="123"/>
      <c r="E513" s="123"/>
      <c r="F513" s="123"/>
      <c r="G513" s="123"/>
      <c r="J513" s="122">
        <v>44915</v>
      </c>
      <c r="K513" s="123"/>
      <c r="L513" s="123"/>
      <c r="M513" s="123"/>
      <c r="N513" s="123"/>
      <c r="O513" s="123"/>
      <c r="P513" s="123"/>
    </row>
    <row r="514" spans="1:17" x14ac:dyDescent="0.25">
      <c r="A514" s="6" t="s">
        <v>34</v>
      </c>
      <c r="B514" s="6" t="s">
        <v>104</v>
      </c>
      <c r="C514" s="6" t="s">
        <v>105</v>
      </c>
      <c r="D514" s="6" t="s">
        <v>112</v>
      </c>
      <c r="E514" s="6" t="s">
        <v>106</v>
      </c>
      <c r="F514" s="3" t="s">
        <v>108</v>
      </c>
      <c r="G514" s="3" t="s">
        <v>28</v>
      </c>
      <c r="J514" s="6" t="s">
        <v>34</v>
      </c>
      <c r="K514" s="6" t="s">
        <v>104</v>
      </c>
      <c r="L514" s="6" t="s">
        <v>105</v>
      </c>
      <c r="M514" s="6" t="s">
        <v>112</v>
      </c>
      <c r="N514" s="6" t="s">
        <v>106</v>
      </c>
      <c r="O514" s="3" t="s">
        <v>108</v>
      </c>
      <c r="P514" s="3" t="s">
        <v>28</v>
      </c>
    </row>
    <row r="515" spans="1:17" ht="15.75" x14ac:dyDescent="0.25">
      <c r="A515" s="10" t="s">
        <v>65</v>
      </c>
      <c r="B515" s="5">
        <v>2145</v>
      </c>
      <c r="C515" s="7">
        <v>-38902.5</v>
      </c>
      <c r="D515" s="5">
        <f>+C515+B515</f>
        <v>-36757.5</v>
      </c>
      <c r="E515" s="5">
        <v>-68932.5</v>
      </c>
      <c r="F515" s="5">
        <f t="shared" ref="F515:F530" si="177">+B515+C515-E515</f>
        <v>32175</v>
      </c>
      <c r="G515" s="20">
        <v>-532545</v>
      </c>
      <c r="H515">
        <v>26.1</v>
      </c>
      <c r="J515" s="10" t="s">
        <v>65</v>
      </c>
      <c r="K515" s="5">
        <v>-88627</v>
      </c>
      <c r="L515" s="7">
        <v>77415</v>
      </c>
      <c r="M515" s="5">
        <f>+L515+K515</f>
        <v>-11212</v>
      </c>
      <c r="N515" s="5">
        <v>9945</v>
      </c>
      <c r="O515" s="5">
        <f t="shared" ref="O515:O530" si="178">+K515+L515-N515</f>
        <v>-21157</v>
      </c>
      <c r="P515" s="20">
        <v>-538687.5</v>
      </c>
      <c r="Q515" s="25">
        <v>24.5</v>
      </c>
    </row>
    <row r="516" spans="1:17" ht="15.75" x14ac:dyDescent="0.25">
      <c r="A516" s="10" t="s">
        <v>79</v>
      </c>
      <c r="B516" s="5">
        <v>-39900</v>
      </c>
      <c r="C516" s="7">
        <v>177100</v>
      </c>
      <c r="D516" s="5">
        <f t="shared" ref="D516:D530" si="179">+C516+B516</f>
        <v>137200</v>
      </c>
      <c r="E516" s="5">
        <v>49350</v>
      </c>
      <c r="F516" s="5">
        <f t="shared" si="177"/>
        <v>87850</v>
      </c>
      <c r="G516" s="20">
        <v>-354200</v>
      </c>
      <c r="H516">
        <v>8.15</v>
      </c>
      <c r="J516" s="10" t="s">
        <v>79</v>
      </c>
      <c r="K516" s="5">
        <v>-33950</v>
      </c>
      <c r="L516" s="7">
        <v>35700</v>
      </c>
      <c r="M516" s="5">
        <f t="shared" ref="M516:M530" si="180">+L516+K516</f>
        <v>1750</v>
      </c>
      <c r="N516" s="5">
        <v>12250</v>
      </c>
      <c r="O516" s="5">
        <f t="shared" si="178"/>
        <v>-10500</v>
      </c>
      <c r="P516" s="20">
        <v>-597100</v>
      </c>
      <c r="Q516" s="25">
        <v>8.1</v>
      </c>
    </row>
    <row r="517" spans="1:17" ht="15.75" x14ac:dyDescent="0.25">
      <c r="A517" s="10" t="s">
        <v>80</v>
      </c>
      <c r="B517" s="5">
        <v>-68800</v>
      </c>
      <c r="C517" s="7">
        <v>148600</v>
      </c>
      <c r="D517" s="5">
        <f t="shared" si="179"/>
        <v>79800</v>
      </c>
      <c r="E517" s="5">
        <v>-8800</v>
      </c>
      <c r="F517" s="5">
        <f t="shared" si="177"/>
        <v>88600</v>
      </c>
      <c r="G517" s="20">
        <v>-524800</v>
      </c>
      <c r="H517">
        <v>10.3</v>
      </c>
      <c r="J517" s="10" t="s">
        <v>80</v>
      </c>
      <c r="K517" s="5">
        <v>-13200</v>
      </c>
      <c r="L517" s="7">
        <v>93600.000000000015</v>
      </c>
      <c r="M517" s="5">
        <f t="shared" si="180"/>
        <v>80400.000000000015</v>
      </c>
      <c r="N517" s="5">
        <v>37800</v>
      </c>
      <c r="O517" s="5">
        <f t="shared" si="178"/>
        <v>42600.000000000015</v>
      </c>
      <c r="P517" s="20">
        <v>-486000</v>
      </c>
      <c r="Q517" s="25">
        <v>8.9</v>
      </c>
    </row>
    <row r="518" spans="1:17" ht="15.75" x14ac:dyDescent="0.25">
      <c r="A518" s="10" t="s">
        <v>94</v>
      </c>
      <c r="B518" s="5">
        <v>-20160</v>
      </c>
      <c r="C518" s="7">
        <v>133290</v>
      </c>
      <c r="D518" s="5">
        <f t="shared" si="179"/>
        <v>113130</v>
      </c>
      <c r="E518" s="5">
        <v>6840</v>
      </c>
      <c r="F518" s="5">
        <f t="shared" si="177"/>
        <v>106290</v>
      </c>
      <c r="G518" s="20">
        <v>-534870</v>
      </c>
      <c r="H518">
        <v>11.4</v>
      </c>
      <c r="J518" s="10" t="s">
        <v>94</v>
      </c>
      <c r="K518" s="5">
        <v>-47520</v>
      </c>
      <c r="L518" s="7">
        <v>126810</v>
      </c>
      <c r="M518" s="5">
        <f t="shared" si="180"/>
        <v>79290</v>
      </c>
      <c r="N518" s="5">
        <v>8640</v>
      </c>
      <c r="O518" s="5">
        <f t="shared" si="178"/>
        <v>70650</v>
      </c>
      <c r="P518" s="20">
        <v>-574110</v>
      </c>
      <c r="Q518" s="25">
        <v>10.100000000000001</v>
      </c>
    </row>
    <row r="519" spans="1:17" ht="15.75" x14ac:dyDescent="0.25">
      <c r="A519" s="10" t="s">
        <v>15</v>
      </c>
      <c r="B519" s="5">
        <v>-1188</v>
      </c>
      <c r="C519" s="7">
        <v>111500</v>
      </c>
      <c r="D519" s="5">
        <f t="shared" si="179"/>
        <v>110312</v>
      </c>
      <c r="E519" s="5">
        <v>34250</v>
      </c>
      <c r="F519" s="5">
        <f t="shared" si="177"/>
        <v>76062</v>
      </c>
      <c r="G519" s="20">
        <v>-514250</v>
      </c>
      <c r="H519">
        <v>19.100000000000001</v>
      </c>
      <c r="J519" s="10" t="s">
        <v>15</v>
      </c>
      <c r="K519" s="5">
        <v>-38687</v>
      </c>
      <c r="L519" s="7">
        <v>71000</v>
      </c>
      <c r="M519" s="5">
        <f t="shared" si="180"/>
        <v>32313</v>
      </c>
      <c r="N519" s="5">
        <v>2250</v>
      </c>
      <c r="O519" s="5">
        <f t="shared" si="178"/>
        <v>30063</v>
      </c>
      <c r="P519" s="20">
        <v>-565000</v>
      </c>
      <c r="Q519" s="25">
        <v>18.3</v>
      </c>
    </row>
    <row r="520" spans="1:17" ht="15.75" x14ac:dyDescent="0.25">
      <c r="A520" s="10" t="s">
        <v>19</v>
      </c>
      <c r="B520" s="5">
        <v>23362</v>
      </c>
      <c r="C520" s="7">
        <v>90175</v>
      </c>
      <c r="D520" s="5">
        <f t="shared" si="179"/>
        <v>113537</v>
      </c>
      <c r="E520" s="5">
        <v>4650.0000000000018</v>
      </c>
      <c r="F520" s="5">
        <f t="shared" si="177"/>
        <v>108887</v>
      </c>
      <c r="G520" s="20">
        <v>-523950</v>
      </c>
      <c r="H520">
        <v>116.45</v>
      </c>
      <c r="J520" s="10" t="s">
        <v>19</v>
      </c>
      <c r="K520" s="5">
        <v>-46825</v>
      </c>
      <c r="L520" s="7">
        <v>94350</v>
      </c>
      <c r="M520" s="5">
        <f t="shared" si="180"/>
        <v>47525</v>
      </c>
      <c r="N520" s="5">
        <v>20050</v>
      </c>
      <c r="O520" s="5">
        <f t="shared" si="178"/>
        <v>27475</v>
      </c>
      <c r="P520" s="20">
        <v>-439400</v>
      </c>
      <c r="Q520" s="25">
        <v>108.5</v>
      </c>
    </row>
    <row r="521" spans="1:17" ht="15.75" x14ac:dyDescent="0.25">
      <c r="A521" s="10" t="s">
        <v>46</v>
      </c>
      <c r="B521" s="5">
        <v>-13323</v>
      </c>
      <c r="C521" s="7">
        <v>-151168.75</v>
      </c>
      <c r="D521" s="5">
        <f t="shared" si="179"/>
        <v>-164491.75</v>
      </c>
      <c r="E521" s="5">
        <v>-10592.5</v>
      </c>
      <c r="F521" s="5">
        <f t="shared" si="177"/>
        <v>-153899.25</v>
      </c>
      <c r="G521" s="20">
        <v>-657590</v>
      </c>
      <c r="H521">
        <v>98.55</v>
      </c>
      <c r="J521" s="10" t="s">
        <v>46</v>
      </c>
      <c r="K521" s="5">
        <v>-52178</v>
      </c>
      <c r="L521" s="7">
        <v>92435</v>
      </c>
      <c r="M521" s="5">
        <f t="shared" si="180"/>
        <v>40257</v>
      </c>
      <c r="N521" s="5">
        <v>3847.5</v>
      </c>
      <c r="O521" s="5">
        <f t="shared" si="178"/>
        <v>36409.5</v>
      </c>
      <c r="P521" s="20">
        <v>-479940</v>
      </c>
      <c r="Q521" s="25">
        <v>92.5</v>
      </c>
    </row>
    <row r="522" spans="1:17" ht="15.75" x14ac:dyDescent="0.25">
      <c r="A522" s="10" t="s">
        <v>53</v>
      </c>
      <c r="B522" s="5">
        <v>-49212</v>
      </c>
      <c r="C522" s="7">
        <v>84320</v>
      </c>
      <c r="D522" s="5">
        <f t="shared" si="179"/>
        <v>35108</v>
      </c>
      <c r="E522" s="5">
        <v>11625</v>
      </c>
      <c r="F522" s="5">
        <f t="shared" si="177"/>
        <v>23483</v>
      </c>
      <c r="G522" s="20">
        <v>-610855</v>
      </c>
      <c r="H522">
        <v>13.25</v>
      </c>
      <c r="J522" s="10" t="s">
        <v>53</v>
      </c>
      <c r="K522" s="5">
        <v>7672</v>
      </c>
      <c r="L522" s="7">
        <v>96255</v>
      </c>
      <c r="M522" s="5">
        <f t="shared" si="180"/>
        <v>103927</v>
      </c>
      <c r="N522" s="5">
        <v>8525</v>
      </c>
      <c r="O522" s="5">
        <f t="shared" si="178"/>
        <v>95402</v>
      </c>
      <c r="P522" s="20">
        <v>-507315</v>
      </c>
      <c r="Q522" s="25">
        <v>11.9</v>
      </c>
    </row>
    <row r="523" spans="1:17" ht="15.75" x14ac:dyDescent="0.25">
      <c r="A523" s="10" t="s">
        <v>93</v>
      </c>
      <c r="B523" s="5">
        <v>-17842</v>
      </c>
      <c r="C523" s="7">
        <v>138645</v>
      </c>
      <c r="D523" s="5">
        <f t="shared" si="179"/>
        <v>120803</v>
      </c>
      <c r="E523" s="5">
        <v>14625</v>
      </c>
      <c r="F523" s="5">
        <f t="shared" si="177"/>
        <v>106178</v>
      </c>
      <c r="G523" s="20">
        <v>-635310</v>
      </c>
      <c r="H523">
        <v>7.6</v>
      </c>
      <c r="J523" s="10" t="s">
        <v>93</v>
      </c>
      <c r="K523" s="5">
        <v>-78390</v>
      </c>
      <c r="L523" s="7">
        <v>32174.999999999996</v>
      </c>
      <c r="M523" s="5">
        <f t="shared" si="180"/>
        <v>-46215</v>
      </c>
      <c r="N523" s="5">
        <v>9945</v>
      </c>
      <c r="O523" s="5">
        <f t="shared" si="178"/>
        <v>-56160</v>
      </c>
      <c r="P523" s="20">
        <v>-580905</v>
      </c>
      <c r="Q523" s="25">
        <v>7.3</v>
      </c>
    </row>
    <row r="524" spans="1:17" ht="15.75" x14ac:dyDescent="0.25">
      <c r="A524" s="10" t="s">
        <v>54</v>
      </c>
      <c r="B524" s="5">
        <v>-80250</v>
      </c>
      <c r="C524" s="7">
        <v>90550</v>
      </c>
      <c r="D524" s="5">
        <f t="shared" si="179"/>
        <v>10300</v>
      </c>
      <c r="E524" s="5">
        <v>150.00000000000182</v>
      </c>
      <c r="F524" s="5">
        <f t="shared" si="177"/>
        <v>10149.999999999998</v>
      </c>
      <c r="G524" s="20">
        <v>-624750</v>
      </c>
      <c r="H524">
        <v>28.1</v>
      </c>
      <c r="J524" s="10" t="s">
        <v>54</v>
      </c>
      <c r="K524" s="5">
        <v>-62700</v>
      </c>
      <c r="L524" s="7">
        <v>119900</v>
      </c>
      <c r="M524" s="5">
        <f t="shared" si="180"/>
        <v>57200</v>
      </c>
      <c r="N524" s="5">
        <v>-37000</v>
      </c>
      <c r="O524" s="5">
        <f t="shared" si="178"/>
        <v>94200</v>
      </c>
      <c r="P524" s="20">
        <v>-565600</v>
      </c>
      <c r="Q524" s="25">
        <v>23.6</v>
      </c>
    </row>
    <row r="525" spans="1:17" ht="15.75" x14ac:dyDescent="0.25">
      <c r="A525" s="10" t="s">
        <v>82</v>
      </c>
      <c r="B525" s="5">
        <v>-32640</v>
      </c>
      <c r="C525" s="7">
        <v>138807.5</v>
      </c>
      <c r="D525" s="5">
        <f t="shared" si="179"/>
        <v>106167.5</v>
      </c>
      <c r="E525" s="5">
        <v>-2632.5</v>
      </c>
      <c r="F525" s="5">
        <f t="shared" si="177"/>
        <v>108800</v>
      </c>
      <c r="G525" s="20">
        <v>-553182.5</v>
      </c>
      <c r="H525">
        <v>56.75</v>
      </c>
      <c r="J525" s="10" t="s">
        <v>82</v>
      </c>
      <c r="K525" s="5">
        <v>18947</v>
      </c>
      <c r="L525" s="7">
        <v>4095</v>
      </c>
      <c r="M525" s="5">
        <f t="shared" si="180"/>
        <v>23042</v>
      </c>
      <c r="N525" s="5">
        <v>14251.25</v>
      </c>
      <c r="O525" s="5">
        <f t="shared" si="178"/>
        <v>8790.75</v>
      </c>
      <c r="P525" s="20">
        <v>-581880</v>
      </c>
      <c r="Q525" s="25">
        <v>52.05</v>
      </c>
    </row>
    <row r="526" spans="1:17" ht="15.75" x14ac:dyDescent="0.25">
      <c r="A526" s="10" t="s">
        <v>116</v>
      </c>
      <c r="B526" s="5">
        <v>-29205</v>
      </c>
      <c r="C526" s="7">
        <v>145755</v>
      </c>
      <c r="D526" s="5">
        <f t="shared" si="179"/>
        <v>116550</v>
      </c>
      <c r="E526" s="5">
        <v>12870</v>
      </c>
      <c r="F526" s="5">
        <f t="shared" si="177"/>
        <v>103680</v>
      </c>
      <c r="G526" s="20">
        <v>-531015</v>
      </c>
      <c r="H526">
        <v>171.55</v>
      </c>
      <c r="J526" s="10" t="s">
        <v>116</v>
      </c>
      <c r="K526" s="5">
        <v>-31297</v>
      </c>
      <c r="L526" s="7">
        <v>80520</v>
      </c>
      <c r="M526" s="5">
        <f t="shared" si="180"/>
        <v>49223</v>
      </c>
      <c r="N526" s="5">
        <v>13065</v>
      </c>
      <c r="O526" s="5">
        <f t="shared" si="178"/>
        <v>36158</v>
      </c>
      <c r="P526" s="20">
        <v>-554160</v>
      </c>
      <c r="Q526" s="25">
        <v>163</v>
      </c>
    </row>
    <row r="527" spans="1:17" ht="15.75" x14ac:dyDescent="0.25">
      <c r="A527" s="10" t="s">
        <v>84</v>
      </c>
      <c r="B527" s="5">
        <v>-24840</v>
      </c>
      <c r="C527" s="7">
        <v>129960</v>
      </c>
      <c r="D527" s="5">
        <f t="shared" si="179"/>
        <v>105120</v>
      </c>
      <c r="E527" s="5">
        <v>15570</v>
      </c>
      <c r="F527" s="5">
        <f t="shared" si="177"/>
        <v>89550</v>
      </c>
      <c r="G527" s="20">
        <v>-432045</v>
      </c>
      <c r="H527">
        <v>15.850000000000001</v>
      </c>
      <c r="J527" s="10" t="s">
        <v>84</v>
      </c>
      <c r="K527" s="5">
        <v>-39825</v>
      </c>
      <c r="L527" s="7">
        <v>100170</v>
      </c>
      <c r="M527" s="5">
        <f t="shared" si="180"/>
        <v>60345</v>
      </c>
      <c r="N527" s="5">
        <v>22230</v>
      </c>
      <c r="O527" s="5">
        <f t="shared" si="178"/>
        <v>38115</v>
      </c>
      <c r="P527" s="20">
        <v>-426825</v>
      </c>
      <c r="Q527" s="25">
        <v>14.649999999999999</v>
      </c>
    </row>
    <row r="528" spans="1:17" ht="15.75" x14ac:dyDescent="0.25">
      <c r="A528" s="10" t="s">
        <v>90</v>
      </c>
      <c r="B528" s="5">
        <v>-2800</v>
      </c>
      <c r="C528" s="26">
        <v>61120</v>
      </c>
      <c r="D528" s="5">
        <f t="shared" si="179"/>
        <v>58320</v>
      </c>
      <c r="E528" s="5">
        <v>28720</v>
      </c>
      <c r="F528" s="5">
        <f t="shared" si="177"/>
        <v>29600</v>
      </c>
      <c r="G528" s="20">
        <v>-302720</v>
      </c>
      <c r="H528">
        <v>18</v>
      </c>
      <c r="J528" s="10" t="s">
        <v>90</v>
      </c>
      <c r="K528" s="5">
        <v>0</v>
      </c>
      <c r="L528" s="26">
        <v>-52400</v>
      </c>
      <c r="M528" s="5">
        <f t="shared" si="180"/>
        <v>-52400</v>
      </c>
      <c r="N528" s="5">
        <v>-22400</v>
      </c>
      <c r="O528" s="5">
        <f t="shared" si="178"/>
        <v>-30000</v>
      </c>
      <c r="P528" s="20">
        <v>-647680</v>
      </c>
      <c r="Q528" s="25">
        <v>18.2</v>
      </c>
    </row>
    <row r="529" spans="1:17" ht="15.75" x14ac:dyDescent="0.25">
      <c r="A529" s="10" t="s">
        <v>67</v>
      </c>
      <c r="B529" s="5">
        <v>-39650</v>
      </c>
      <c r="C529" s="7">
        <v>111150</v>
      </c>
      <c r="D529" s="5">
        <f t="shared" si="179"/>
        <v>71500</v>
      </c>
      <c r="E529" s="5">
        <v>29575</v>
      </c>
      <c r="F529" s="5">
        <f t="shared" si="177"/>
        <v>41925</v>
      </c>
      <c r="G529" s="20">
        <v>-527150</v>
      </c>
      <c r="H529">
        <v>13.45</v>
      </c>
      <c r="J529" s="10" t="s">
        <v>67</v>
      </c>
      <c r="K529" s="5">
        <v>-56225</v>
      </c>
      <c r="L529" s="7">
        <v>72800</v>
      </c>
      <c r="M529" s="5">
        <f t="shared" si="180"/>
        <v>16575</v>
      </c>
      <c r="N529" s="5">
        <v>-11050</v>
      </c>
      <c r="O529" s="5">
        <f t="shared" si="178"/>
        <v>27625</v>
      </c>
      <c r="P529" s="20">
        <v>-534950</v>
      </c>
      <c r="Q529" s="25">
        <v>11.65</v>
      </c>
    </row>
    <row r="530" spans="1:17" ht="15.75" x14ac:dyDescent="0.25">
      <c r="A530" s="10" t="s">
        <v>91</v>
      </c>
      <c r="B530" s="5">
        <v>-87000</v>
      </c>
      <c r="C530" s="7">
        <v>70350</v>
      </c>
      <c r="D530" s="5">
        <f t="shared" si="179"/>
        <v>-16650</v>
      </c>
      <c r="E530" s="5">
        <v>56850</v>
      </c>
      <c r="F530" s="5">
        <f t="shared" si="177"/>
        <v>-73500</v>
      </c>
      <c r="G530" s="20">
        <v>-461100</v>
      </c>
      <c r="H530">
        <v>15.600000000000001</v>
      </c>
      <c r="J530" s="10" t="s">
        <v>91</v>
      </c>
      <c r="K530" s="5">
        <v>-111600</v>
      </c>
      <c r="L530" s="7">
        <f>-191400+148800+69900</f>
        <v>27300</v>
      </c>
      <c r="M530" s="5">
        <f t="shared" si="180"/>
        <v>-84300</v>
      </c>
      <c r="N530" s="5">
        <v>-25350</v>
      </c>
      <c r="O530" s="5">
        <f t="shared" si="178"/>
        <v>-58950</v>
      </c>
      <c r="P530" s="20">
        <v>-513300</v>
      </c>
      <c r="Q530" s="25">
        <v>18.8</v>
      </c>
    </row>
    <row r="531" spans="1:17" ht="15.75" x14ac:dyDescent="0.25">
      <c r="A531" s="21" t="s">
        <v>107</v>
      </c>
      <c r="B531" s="22">
        <f t="shared" ref="B531" si="181">SUM(B515:B530)</f>
        <v>-481303</v>
      </c>
      <c r="C531" s="22">
        <f t="shared" ref="C531" si="182">SUM(C515:C530)</f>
        <v>1441251.25</v>
      </c>
      <c r="D531" s="22">
        <f t="shared" ref="D531" si="183">SUM(D515:D530)</f>
        <v>959948.25</v>
      </c>
      <c r="E531" s="18">
        <f t="shared" ref="E531" si="184">SUM(E515:E530)</f>
        <v>174117.5</v>
      </c>
      <c r="F531" s="21">
        <f t="shared" ref="F531" si="185">SUM(F515:F530)</f>
        <v>785830.75</v>
      </c>
      <c r="G531" s="17">
        <f t="shared" ref="G531" si="186">SUM(G515:G530)</f>
        <v>-8320332.5</v>
      </c>
      <c r="J531" s="21" t="s">
        <v>107</v>
      </c>
      <c r="K531" s="22">
        <f t="shared" ref="K531" si="187">SUM(K515:K530)</f>
        <v>-674405</v>
      </c>
      <c r="L531" s="22">
        <f t="shared" ref="L531:P531" si="188">SUM(L515:L530)</f>
        <v>1072125</v>
      </c>
      <c r="M531" s="22">
        <f t="shared" si="188"/>
        <v>397720</v>
      </c>
      <c r="N531" s="18">
        <f t="shared" si="188"/>
        <v>66998.75</v>
      </c>
      <c r="O531" s="21">
        <f t="shared" si="188"/>
        <v>330721.25</v>
      </c>
      <c r="P531" s="17">
        <f t="shared" si="188"/>
        <v>-8592852.5</v>
      </c>
    </row>
    <row r="535" spans="1:17" x14ac:dyDescent="0.25">
      <c r="A535" s="139">
        <v>44938</v>
      </c>
      <c r="B535" s="140"/>
      <c r="C535" s="140"/>
      <c r="D535" s="140"/>
    </row>
    <row r="536" spans="1:17" x14ac:dyDescent="0.25">
      <c r="A536" s="140"/>
      <c r="B536" s="140"/>
      <c r="C536" s="140"/>
      <c r="D536" s="140"/>
    </row>
    <row r="537" spans="1:17" x14ac:dyDescent="0.25">
      <c r="A537" s="140"/>
      <c r="B537" s="140"/>
      <c r="C537" s="140"/>
      <c r="D537" s="140"/>
    </row>
    <row r="539" spans="1:17" x14ac:dyDescent="0.25">
      <c r="A539" s="122">
        <v>44938</v>
      </c>
      <c r="B539" s="123"/>
      <c r="C539" s="123"/>
      <c r="D539" s="123"/>
      <c r="E539" s="123"/>
      <c r="F539" s="123"/>
      <c r="G539" s="123"/>
      <c r="J539" s="122">
        <v>44939</v>
      </c>
      <c r="K539" s="123"/>
      <c r="L539" s="123"/>
      <c r="M539" s="123"/>
      <c r="N539" s="123"/>
      <c r="O539" s="123"/>
      <c r="P539" s="123"/>
    </row>
    <row r="540" spans="1:17" x14ac:dyDescent="0.25">
      <c r="A540" s="6" t="s">
        <v>34</v>
      </c>
      <c r="B540" s="6" t="s">
        <v>104</v>
      </c>
      <c r="C540" s="6" t="s">
        <v>105</v>
      </c>
      <c r="D540" s="6" t="s">
        <v>112</v>
      </c>
      <c r="E540" s="6" t="s">
        <v>106</v>
      </c>
      <c r="F540" s="3" t="s">
        <v>108</v>
      </c>
      <c r="G540" s="3" t="s">
        <v>28</v>
      </c>
      <c r="J540" s="6" t="s">
        <v>34</v>
      </c>
      <c r="K540" s="6" t="s">
        <v>104</v>
      </c>
      <c r="L540" s="6" t="s">
        <v>105</v>
      </c>
      <c r="M540" s="6" t="s">
        <v>112</v>
      </c>
      <c r="N540" s="6" t="s">
        <v>106</v>
      </c>
      <c r="O540" s="3" t="s">
        <v>108</v>
      </c>
      <c r="P540" s="3" t="s">
        <v>28</v>
      </c>
    </row>
    <row r="541" spans="1:17" ht="15.75" x14ac:dyDescent="0.25">
      <c r="A541" s="10" t="s">
        <v>65</v>
      </c>
      <c r="B541" s="5">
        <v>-292</v>
      </c>
      <c r="C541" s="7"/>
      <c r="D541" s="5">
        <f>+C541+B541</f>
        <v>-292</v>
      </c>
      <c r="E541" s="5"/>
      <c r="F541" s="5">
        <f t="shared" ref="F541:F554" si="189">+B541+C541-E541</f>
        <v>-292</v>
      </c>
      <c r="G541" s="20">
        <v>-262567.5</v>
      </c>
      <c r="J541" s="10" t="s">
        <v>65</v>
      </c>
      <c r="K541" s="5">
        <v>-22473</v>
      </c>
      <c r="L541" s="7">
        <v>47385</v>
      </c>
      <c r="M541" s="5">
        <f>+L541+K541</f>
        <v>24912</v>
      </c>
      <c r="N541" s="5">
        <v>6240</v>
      </c>
      <c r="O541" s="5">
        <f t="shared" ref="O541:O554" si="190">+K541+L541-N541</f>
        <v>18672</v>
      </c>
      <c r="P541" s="20">
        <v>-512313.75</v>
      </c>
    </row>
    <row r="542" spans="1:17" ht="15.75" x14ac:dyDescent="0.25">
      <c r="A542" s="10" t="s">
        <v>79</v>
      </c>
      <c r="B542" s="5">
        <v>-18550</v>
      </c>
      <c r="C542" s="7"/>
      <c r="D542" s="5">
        <f t="shared" ref="D542:D554" si="191">+C542+B542</f>
        <v>-18550</v>
      </c>
      <c r="E542" s="5"/>
      <c r="F542" s="5">
        <f t="shared" si="189"/>
        <v>-18550</v>
      </c>
      <c r="G542" s="20">
        <v>-219275</v>
      </c>
      <c r="J542" s="10" t="s">
        <v>79</v>
      </c>
      <c r="K542" s="5">
        <v>75250</v>
      </c>
      <c r="L542" s="7">
        <v>-172200</v>
      </c>
      <c r="M542" s="5">
        <f t="shared" ref="M542:M554" si="192">+L542+K542</f>
        <v>-96950</v>
      </c>
      <c r="N542" s="5">
        <v>-3325</v>
      </c>
      <c r="O542" s="5">
        <f t="shared" si="190"/>
        <v>-93625</v>
      </c>
      <c r="P542" s="20">
        <v>-483000</v>
      </c>
    </row>
    <row r="543" spans="1:17" ht="15.75" x14ac:dyDescent="0.25">
      <c r="A543" s="10" t="s">
        <v>80</v>
      </c>
      <c r="B543" s="5">
        <v>-1600</v>
      </c>
      <c r="C543" s="7"/>
      <c r="D543" s="5">
        <f t="shared" si="191"/>
        <v>-1600</v>
      </c>
      <c r="E543" s="5"/>
      <c r="F543" s="5">
        <f t="shared" si="189"/>
        <v>-1600</v>
      </c>
      <c r="G543" s="20">
        <v>-195200</v>
      </c>
      <c r="J543" s="10" t="s">
        <v>80</v>
      </c>
      <c r="K543" s="5">
        <f>-400+3500</f>
        <v>3100</v>
      </c>
      <c r="L543" s="7">
        <v>33200</v>
      </c>
      <c r="M543" s="5">
        <f t="shared" si="192"/>
        <v>36300</v>
      </c>
      <c r="N543" s="5">
        <v>800</v>
      </c>
      <c r="O543" s="5">
        <f t="shared" si="190"/>
        <v>35500</v>
      </c>
      <c r="P543" s="20">
        <v>-508800</v>
      </c>
    </row>
    <row r="544" spans="1:17" ht="15.75" x14ac:dyDescent="0.25">
      <c r="A544" s="10" t="s">
        <v>94</v>
      </c>
      <c r="B544" s="5">
        <v>-10620</v>
      </c>
      <c r="C544" s="7"/>
      <c r="D544" s="5">
        <f t="shared" si="191"/>
        <v>-10620</v>
      </c>
      <c r="E544" s="5"/>
      <c r="F544" s="5">
        <f t="shared" si="189"/>
        <v>-10620</v>
      </c>
      <c r="G544" s="20">
        <v>-194400</v>
      </c>
      <c r="J544" s="10" t="s">
        <v>94</v>
      </c>
      <c r="K544" s="5">
        <v>-2610</v>
      </c>
      <c r="L544" s="7">
        <v>20520</v>
      </c>
      <c r="M544" s="5">
        <f t="shared" si="192"/>
        <v>17910</v>
      </c>
      <c r="N544" s="5">
        <v>-10080</v>
      </c>
      <c r="O544" s="5">
        <f t="shared" si="190"/>
        <v>27990</v>
      </c>
      <c r="P544" s="20">
        <v>-449550</v>
      </c>
    </row>
    <row r="545" spans="1:16" ht="15.75" x14ac:dyDescent="0.25">
      <c r="A545" s="10" t="s">
        <v>53</v>
      </c>
      <c r="B545" s="5">
        <v>-8600</v>
      </c>
      <c r="C545" s="7"/>
      <c r="D545" s="5">
        <f t="shared" si="191"/>
        <v>-8600</v>
      </c>
      <c r="E545" s="5"/>
      <c r="F545" s="5">
        <f t="shared" si="189"/>
        <v>-8600</v>
      </c>
      <c r="G545" s="20">
        <v>-270600</v>
      </c>
      <c r="J545" s="10" t="s">
        <v>53</v>
      </c>
      <c r="K545" s="5">
        <v>7200</v>
      </c>
      <c r="L545" s="7">
        <v>31400</v>
      </c>
      <c r="M545" s="5">
        <f t="shared" si="192"/>
        <v>38600</v>
      </c>
      <c r="N545" s="5">
        <v>-400</v>
      </c>
      <c r="O545" s="5">
        <f t="shared" si="190"/>
        <v>39000</v>
      </c>
      <c r="P545" s="20">
        <v>-440700</v>
      </c>
    </row>
    <row r="546" spans="1:16" ht="15.75" x14ac:dyDescent="0.25">
      <c r="A546" s="10" t="s">
        <v>93</v>
      </c>
      <c r="B546" s="5">
        <v>-3217</v>
      </c>
      <c r="C546" s="7"/>
      <c r="D546" s="5">
        <f t="shared" si="191"/>
        <v>-3217</v>
      </c>
      <c r="E546" s="5"/>
      <c r="F546" s="5">
        <f t="shared" si="189"/>
        <v>-3217</v>
      </c>
      <c r="G546" s="20">
        <v>-210600</v>
      </c>
      <c r="J546" s="10" t="s">
        <v>93</v>
      </c>
      <c r="K546" s="5">
        <v>-7020</v>
      </c>
      <c r="L546" s="7">
        <v>19305</v>
      </c>
      <c r="M546" s="5">
        <f t="shared" si="192"/>
        <v>12285</v>
      </c>
      <c r="N546" s="5">
        <v>-2340</v>
      </c>
      <c r="O546" s="5">
        <f t="shared" si="190"/>
        <v>14625</v>
      </c>
      <c r="P546" s="20">
        <v>-446062.5</v>
      </c>
    </row>
    <row r="547" spans="1:16" ht="15.75" x14ac:dyDescent="0.25">
      <c r="A547" s="10" t="s">
        <v>54</v>
      </c>
      <c r="B547" s="5">
        <v>-2100</v>
      </c>
      <c r="C547" s="7"/>
      <c r="D547" s="5">
        <f t="shared" si="191"/>
        <v>-2100</v>
      </c>
      <c r="E547" s="5"/>
      <c r="F547" s="5">
        <f t="shared" si="189"/>
        <v>-2100</v>
      </c>
      <c r="G547" s="20">
        <v>-221000</v>
      </c>
      <c r="J547" s="10" t="s">
        <v>54</v>
      </c>
      <c r="K547" s="5">
        <v>-100</v>
      </c>
      <c r="L547" s="7">
        <v>16050</v>
      </c>
      <c r="M547" s="5">
        <f t="shared" si="192"/>
        <v>15950</v>
      </c>
      <c r="N547" s="5">
        <v>1550</v>
      </c>
      <c r="O547" s="5">
        <f t="shared" si="190"/>
        <v>14400</v>
      </c>
      <c r="P547" s="20">
        <v>-523100</v>
      </c>
    </row>
    <row r="548" spans="1:16" ht="15.75" x14ac:dyDescent="0.25">
      <c r="A548" s="10" t="s">
        <v>116</v>
      </c>
      <c r="B548" s="5">
        <v>-13305</v>
      </c>
      <c r="C548" s="7"/>
      <c r="D548" s="5">
        <f t="shared" si="191"/>
        <v>-13305</v>
      </c>
      <c r="E548" s="5"/>
      <c r="F548" s="5">
        <f t="shared" si="189"/>
        <v>-13305</v>
      </c>
      <c r="G548" s="20">
        <v>-236805</v>
      </c>
      <c r="J548" s="10" t="s">
        <v>116</v>
      </c>
      <c r="K548" s="5">
        <v>-52590</v>
      </c>
      <c r="L548" s="7">
        <v>26475</v>
      </c>
      <c r="M548" s="5">
        <f t="shared" si="192"/>
        <v>-26115</v>
      </c>
      <c r="N548" s="5">
        <v>-1935</v>
      </c>
      <c r="O548" s="5">
        <f t="shared" si="190"/>
        <v>-24180</v>
      </c>
      <c r="P548" s="20">
        <v>-439335</v>
      </c>
    </row>
    <row r="549" spans="1:16" ht="15.75" x14ac:dyDescent="0.25">
      <c r="A549" s="10" t="s">
        <v>84</v>
      </c>
      <c r="B549" s="5">
        <v>-1265</v>
      </c>
      <c r="C549" s="7"/>
      <c r="D549" s="5">
        <f t="shared" si="191"/>
        <v>-1265</v>
      </c>
      <c r="E549" s="5"/>
      <c r="F549" s="5">
        <f t="shared" si="189"/>
        <v>-1265</v>
      </c>
      <c r="G549" s="20">
        <v>-225555</v>
      </c>
      <c r="J549" s="10" t="s">
        <v>84</v>
      </c>
      <c r="K549" s="5">
        <v>-4070</v>
      </c>
      <c r="L549" s="7">
        <v>30965</v>
      </c>
      <c r="M549" s="5">
        <f t="shared" si="192"/>
        <v>26895</v>
      </c>
      <c r="N549" s="5">
        <v>3190</v>
      </c>
      <c r="O549" s="5">
        <f t="shared" si="190"/>
        <v>23705</v>
      </c>
      <c r="P549" s="20">
        <v>-458920</v>
      </c>
    </row>
    <row r="550" spans="1:16" ht="15.75" x14ac:dyDescent="0.25">
      <c r="A550" s="10" t="s">
        <v>90</v>
      </c>
      <c r="B550" s="5">
        <v>-6240</v>
      </c>
      <c r="C550" s="7"/>
      <c r="D550" s="5">
        <f t="shared" si="191"/>
        <v>-6240</v>
      </c>
      <c r="E550" s="5"/>
      <c r="F550" s="5">
        <f t="shared" si="189"/>
        <v>-6240</v>
      </c>
      <c r="G550" s="20">
        <v>-213280</v>
      </c>
      <c r="J550" s="10" t="s">
        <v>90</v>
      </c>
      <c r="K550" s="5">
        <v>30720</v>
      </c>
      <c r="L550" s="7">
        <v>37440</v>
      </c>
      <c r="M550" s="5">
        <f t="shared" si="192"/>
        <v>68160</v>
      </c>
      <c r="N550" s="5">
        <v>-1120</v>
      </c>
      <c r="O550" s="5">
        <f t="shared" si="190"/>
        <v>69280</v>
      </c>
      <c r="P550" s="20">
        <v>-454720</v>
      </c>
    </row>
    <row r="551" spans="1:16" ht="15.75" x14ac:dyDescent="0.25">
      <c r="A551" s="10" t="s">
        <v>67</v>
      </c>
      <c r="B551" s="5">
        <v>4900</v>
      </c>
      <c r="C551" s="7"/>
      <c r="D551" s="5">
        <f t="shared" si="191"/>
        <v>4900</v>
      </c>
      <c r="E551" s="5"/>
      <c r="F551" s="5">
        <f t="shared" si="189"/>
        <v>4900</v>
      </c>
      <c r="G551" s="20">
        <v>-191100</v>
      </c>
      <c r="J551" s="10" t="s">
        <v>67</v>
      </c>
      <c r="K551" s="5">
        <v>-2200</v>
      </c>
      <c r="L551" s="7">
        <v>44200</v>
      </c>
      <c r="M551" s="5">
        <f t="shared" si="192"/>
        <v>42000</v>
      </c>
      <c r="N551" s="5">
        <v>9500</v>
      </c>
      <c r="O551" s="5">
        <f t="shared" si="190"/>
        <v>32500</v>
      </c>
      <c r="P551" s="20">
        <v>-450000</v>
      </c>
    </row>
    <row r="552" spans="1:16" ht="15.75" x14ac:dyDescent="0.25">
      <c r="A552" s="10" t="s">
        <v>42</v>
      </c>
      <c r="B552" s="5">
        <v>1050</v>
      </c>
      <c r="C552" s="7"/>
      <c r="D552" s="5">
        <f t="shared" si="191"/>
        <v>1050</v>
      </c>
      <c r="E552" s="5"/>
      <c r="F552" s="5">
        <f t="shared" si="189"/>
        <v>1050</v>
      </c>
      <c r="G552" s="20">
        <v>-197250</v>
      </c>
      <c r="J552" s="10" t="s">
        <v>42</v>
      </c>
      <c r="K552" s="5">
        <v>-3975</v>
      </c>
      <c r="L552" s="7">
        <v>36675</v>
      </c>
      <c r="M552" s="5">
        <f t="shared" si="192"/>
        <v>32700</v>
      </c>
      <c r="N552" s="5">
        <v>1800</v>
      </c>
      <c r="O552" s="5">
        <f t="shared" si="190"/>
        <v>30900</v>
      </c>
      <c r="P552" s="20">
        <v>-450975</v>
      </c>
    </row>
    <row r="553" spans="1:16" ht="15.75" x14ac:dyDescent="0.25">
      <c r="A553" s="10" t="s">
        <v>83</v>
      </c>
      <c r="B553" s="5">
        <v>-6885</v>
      </c>
      <c r="C553" s="7"/>
      <c r="D553" s="5">
        <f t="shared" si="191"/>
        <v>-6885</v>
      </c>
      <c r="E553" s="5"/>
      <c r="F553" s="5">
        <f t="shared" si="189"/>
        <v>-6885</v>
      </c>
      <c r="G553" s="20">
        <v>-207360</v>
      </c>
      <c r="J553" s="10" t="s">
        <v>83</v>
      </c>
      <c r="K553" s="5">
        <v>-14040</v>
      </c>
      <c r="L553" s="7">
        <v>-5535</v>
      </c>
      <c r="M553" s="5">
        <f t="shared" si="192"/>
        <v>-19575</v>
      </c>
      <c r="N553" s="5">
        <v>-945</v>
      </c>
      <c r="O553" s="5">
        <f t="shared" si="190"/>
        <v>-18630</v>
      </c>
      <c r="P553" s="20">
        <v>-468720</v>
      </c>
    </row>
    <row r="554" spans="1:16" ht="15.75" x14ac:dyDescent="0.25">
      <c r="A554" s="10" t="s">
        <v>55</v>
      </c>
      <c r="B554" s="5">
        <v>1600</v>
      </c>
      <c r="C554" s="7"/>
      <c r="D554" s="5">
        <f t="shared" si="191"/>
        <v>1600</v>
      </c>
      <c r="E554" s="5"/>
      <c r="F554" s="5">
        <f t="shared" si="189"/>
        <v>1600</v>
      </c>
      <c r="G554" s="20">
        <v>-211000</v>
      </c>
      <c r="J554" s="10" t="s">
        <v>55</v>
      </c>
      <c r="K554" s="5">
        <v>-18900</v>
      </c>
      <c r="L554" s="7">
        <v>43200</v>
      </c>
      <c r="M554" s="5">
        <f t="shared" si="192"/>
        <v>24300</v>
      </c>
      <c r="N554" s="5">
        <v>5800</v>
      </c>
      <c r="O554" s="5">
        <f t="shared" si="190"/>
        <v>18500</v>
      </c>
      <c r="P554" s="20">
        <v>-457800</v>
      </c>
    </row>
    <row r="555" spans="1:16" ht="15.75" x14ac:dyDescent="0.25">
      <c r="A555" s="21" t="s">
        <v>107</v>
      </c>
      <c r="B555" s="22">
        <f t="shared" ref="B555:G555" si="193">SUM(B541:B554)</f>
        <v>-65124</v>
      </c>
      <c r="C555" s="22">
        <f t="shared" si="193"/>
        <v>0</v>
      </c>
      <c r="D555" s="22">
        <f t="shared" si="193"/>
        <v>-65124</v>
      </c>
      <c r="E555" s="18">
        <f t="shared" si="193"/>
        <v>0</v>
      </c>
      <c r="F555" s="21">
        <f t="shared" si="193"/>
        <v>-65124</v>
      </c>
      <c r="G555" s="17">
        <f t="shared" si="193"/>
        <v>-3055992.5</v>
      </c>
      <c r="J555" s="21" t="s">
        <v>107</v>
      </c>
      <c r="K555" s="22">
        <f>SUM(K541:K554)</f>
        <v>-11708</v>
      </c>
      <c r="L555" s="22">
        <f t="shared" ref="L555" si="194">SUM(L541:L554)</f>
        <v>209080</v>
      </c>
      <c r="M555" s="22">
        <f t="shared" ref="M555" si="195">SUM(M541:M554)</f>
        <v>197372</v>
      </c>
      <c r="N555" s="18">
        <f t="shared" ref="N555" si="196">SUM(N541:N554)</f>
        <v>8735</v>
      </c>
      <c r="O555" s="21">
        <f t="shared" ref="O555" si="197">SUM(O541:O554)</f>
        <v>188637</v>
      </c>
      <c r="P555" s="17">
        <f t="shared" ref="P555" si="198">SUM(P541:P554)</f>
        <v>-6543996.25</v>
      </c>
    </row>
    <row r="559" spans="1:16" x14ac:dyDescent="0.25">
      <c r="A559" s="122">
        <v>44942</v>
      </c>
      <c r="B559" s="123"/>
      <c r="C559" s="123"/>
      <c r="D559" s="123"/>
      <c r="E559" s="123"/>
      <c r="F559" s="123"/>
      <c r="G559" s="123"/>
      <c r="J559" s="122">
        <v>44943</v>
      </c>
      <c r="K559" s="123"/>
      <c r="L559" s="123"/>
      <c r="M559" s="123"/>
      <c r="N559" s="123"/>
      <c r="O559" s="123"/>
      <c r="P559" s="123"/>
    </row>
    <row r="560" spans="1:16" x14ac:dyDescent="0.25">
      <c r="A560" s="6" t="s">
        <v>34</v>
      </c>
      <c r="B560" s="6" t="s">
        <v>104</v>
      </c>
      <c r="C560" s="6" t="s">
        <v>105</v>
      </c>
      <c r="D560" s="6" t="s">
        <v>112</v>
      </c>
      <c r="E560" s="6" t="s">
        <v>106</v>
      </c>
      <c r="F560" s="3" t="s">
        <v>108</v>
      </c>
      <c r="G560" s="3" t="s">
        <v>28</v>
      </c>
      <c r="J560" s="6" t="s">
        <v>34</v>
      </c>
      <c r="K560" s="6" t="s">
        <v>104</v>
      </c>
      <c r="L560" s="6" t="s">
        <v>105</v>
      </c>
      <c r="M560" s="6" t="s">
        <v>112</v>
      </c>
      <c r="N560" s="6" t="s">
        <v>106</v>
      </c>
      <c r="O560" s="3" t="s">
        <v>108</v>
      </c>
      <c r="P560" s="3" t="s">
        <v>28</v>
      </c>
    </row>
    <row r="561" spans="1:16" ht="15.75" x14ac:dyDescent="0.25">
      <c r="A561" s="10" t="s">
        <v>65</v>
      </c>
      <c r="B561" s="5">
        <v>-6386</v>
      </c>
      <c r="C561" s="7">
        <v>35636.25</v>
      </c>
      <c r="D561" s="5">
        <f>+C561+B561</f>
        <v>29250.25</v>
      </c>
      <c r="E561" s="5">
        <v>20475</v>
      </c>
      <c r="F561" s="5">
        <f t="shared" ref="F561:F573" si="199">+B561+C561-E561</f>
        <v>8775.25</v>
      </c>
      <c r="G561" s="20">
        <v>-513825</v>
      </c>
      <c r="J561" s="10" t="s">
        <v>65</v>
      </c>
      <c r="K561" s="5">
        <v>81579</v>
      </c>
      <c r="L561" s="7">
        <v>-58743.75</v>
      </c>
      <c r="M561" s="5">
        <f>+L561+K561</f>
        <v>22835.25</v>
      </c>
      <c r="N561" s="5">
        <v>-12285</v>
      </c>
      <c r="O561" s="5">
        <f t="shared" ref="O561:O573" si="200">+K561+L561-N561</f>
        <v>35120.25</v>
      </c>
      <c r="P561" s="20">
        <v>-518895</v>
      </c>
    </row>
    <row r="562" spans="1:16" ht="15.75" x14ac:dyDescent="0.25">
      <c r="A562" s="10" t="s">
        <v>79</v>
      </c>
      <c r="B562" s="5">
        <v>74375</v>
      </c>
      <c r="C562" s="7">
        <v>26775.000000000029</v>
      </c>
      <c r="D562" s="5">
        <f t="shared" ref="D562:D573" si="201">+C562+B562</f>
        <v>101150.00000000003</v>
      </c>
      <c r="E562" s="5">
        <v>16275</v>
      </c>
      <c r="F562" s="5">
        <f t="shared" si="199"/>
        <v>84875.000000000029</v>
      </c>
      <c r="G562" s="20">
        <v>-453600</v>
      </c>
      <c r="J562" s="10" t="s">
        <v>79</v>
      </c>
      <c r="K562" s="5">
        <v>-15050</v>
      </c>
      <c r="L562" s="7">
        <v>30275</v>
      </c>
      <c r="M562" s="5">
        <f t="shared" ref="M562:M573" si="202">+L562+K562</f>
        <v>15225</v>
      </c>
      <c r="N562" s="5">
        <v>4900</v>
      </c>
      <c r="O562" s="5">
        <f t="shared" si="200"/>
        <v>10325</v>
      </c>
      <c r="P562" s="20">
        <v>-525000</v>
      </c>
    </row>
    <row r="563" spans="1:16" ht="15.75" x14ac:dyDescent="0.25">
      <c r="A563" s="10" t="s">
        <v>80</v>
      </c>
      <c r="B563" s="5">
        <v>-11000</v>
      </c>
      <c r="C563" s="7">
        <v>64200</v>
      </c>
      <c r="D563" s="5">
        <f t="shared" si="201"/>
        <v>53200</v>
      </c>
      <c r="E563" s="5">
        <v>23200</v>
      </c>
      <c r="F563" s="5">
        <f t="shared" si="199"/>
        <v>30000</v>
      </c>
      <c r="G563" s="20">
        <v>-446200</v>
      </c>
      <c r="J563" s="10" t="s">
        <v>80</v>
      </c>
      <c r="K563" s="5">
        <v>-18538</v>
      </c>
      <c r="L563" s="7">
        <v>67600</v>
      </c>
      <c r="M563" s="5">
        <f t="shared" si="202"/>
        <v>49062</v>
      </c>
      <c r="N563" s="5">
        <v>8400</v>
      </c>
      <c r="O563" s="5">
        <f t="shared" si="200"/>
        <v>40662</v>
      </c>
      <c r="P563" s="20">
        <v>-471800</v>
      </c>
    </row>
    <row r="564" spans="1:16" ht="15.75" x14ac:dyDescent="0.25">
      <c r="A564" s="10" t="s">
        <v>53</v>
      </c>
      <c r="B564" s="5">
        <v>15191</v>
      </c>
      <c r="C564" s="7">
        <v>75700</v>
      </c>
      <c r="D564" s="5">
        <f t="shared" si="201"/>
        <v>90891</v>
      </c>
      <c r="E564" s="5">
        <v>1900</v>
      </c>
      <c r="F564" s="5">
        <f t="shared" si="199"/>
        <v>88991</v>
      </c>
      <c r="G564" s="20">
        <v>-474800</v>
      </c>
      <c r="J564" s="10" t="s">
        <v>53</v>
      </c>
      <c r="K564" s="5">
        <v>-38400</v>
      </c>
      <c r="L564" s="7">
        <v>120800</v>
      </c>
      <c r="M564" s="5">
        <f t="shared" si="202"/>
        <v>82400</v>
      </c>
      <c r="N564" s="5">
        <v>7400</v>
      </c>
      <c r="O564" s="5">
        <f t="shared" si="200"/>
        <v>75000</v>
      </c>
      <c r="P564" s="20">
        <v>-543100</v>
      </c>
    </row>
    <row r="565" spans="1:16" ht="15.75" x14ac:dyDescent="0.25">
      <c r="A565" s="10" t="s">
        <v>93</v>
      </c>
      <c r="B565" s="5">
        <v>-35392</v>
      </c>
      <c r="C565" s="7">
        <v>109395</v>
      </c>
      <c r="D565" s="5">
        <f t="shared" si="201"/>
        <v>74003</v>
      </c>
      <c r="E565" s="5">
        <v>16380</v>
      </c>
      <c r="F565" s="5">
        <f t="shared" si="199"/>
        <v>57623</v>
      </c>
      <c r="G565" s="20">
        <v>-490815</v>
      </c>
      <c r="J565" s="10" t="s">
        <v>93</v>
      </c>
      <c r="K565" s="5">
        <v>52357</v>
      </c>
      <c r="L565" s="7">
        <v>5850.0000000000291</v>
      </c>
      <c r="M565" s="5">
        <f t="shared" si="202"/>
        <v>58207.000000000029</v>
      </c>
      <c r="N565" s="5">
        <v>31590</v>
      </c>
      <c r="O565" s="5">
        <f t="shared" si="200"/>
        <v>26617.000000000029</v>
      </c>
      <c r="P565" s="20">
        <v>-513045</v>
      </c>
    </row>
    <row r="566" spans="1:16" ht="15.75" x14ac:dyDescent="0.25">
      <c r="A566" s="10" t="s">
        <v>54</v>
      </c>
      <c r="B566" s="5">
        <v>-40150</v>
      </c>
      <c r="C566" s="7">
        <v>90200</v>
      </c>
      <c r="D566" s="5">
        <f t="shared" si="201"/>
        <v>50050</v>
      </c>
      <c r="E566" s="5">
        <v>-900</v>
      </c>
      <c r="F566" s="5">
        <f t="shared" si="199"/>
        <v>50950</v>
      </c>
      <c r="G566" s="20">
        <v>-498500</v>
      </c>
      <c r="J566" s="10" t="s">
        <v>54</v>
      </c>
      <c r="K566" s="5">
        <v>6500</v>
      </c>
      <c r="L566" s="7">
        <v>-15000</v>
      </c>
      <c r="M566" s="5">
        <f t="shared" si="202"/>
        <v>-8500</v>
      </c>
      <c r="N566" s="5">
        <v>-1700</v>
      </c>
      <c r="O566" s="5">
        <f t="shared" si="200"/>
        <v>-6800</v>
      </c>
      <c r="P566" s="20">
        <v>-546200</v>
      </c>
    </row>
    <row r="567" spans="1:16" ht="15.75" x14ac:dyDescent="0.25">
      <c r="A567" s="10" t="s">
        <v>116</v>
      </c>
      <c r="B567" s="5">
        <v>-57472</v>
      </c>
      <c r="C567" s="7">
        <v>33465</v>
      </c>
      <c r="D567" s="5">
        <f t="shared" si="201"/>
        <v>-24007</v>
      </c>
      <c r="E567" s="5">
        <v>-5850</v>
      </c>
      <c r="F567" s="5">
        <f t="shared" si="199"/>
        <v>-18157</v>
      </c>
      <c r="G567" s="20">
        <v>-503100</v>
      </c>
      <c r="J567" s="10" t="s">
        <v>116</v>
      </c>
      <c r="K567" s="5">
        <v>-1065</v>
      </c>
      <c r="L567" s="7">
        <v>74745</v>
      </c>
      <c r="M567" s="5">
        <f t="shared" si="202"/>
        <v>73680</v>
      </c>
      <c r="N567" s="5">
        <v>-14805</v>
      </c>
      <c r="O567" s="5">
        <f t="shared" si="200"/>
        <v>88485</v>
      </c>
      <c r="P567" s="20">
        <v>-459300</v>
      </c>
    </row>
    <row r="568" spans="1:16" ht="15.75" x14ac:dyDescent="0.25">
      <c r="A568" s="10" t="s">
        <v>84</v>
      </c>
      <c r="B568" s="5">
        <v>18810</v>
      </c>
      <c r="C568" s="7">
        <v>80025</v>
      </c>
      <c r="D568" s="5">
        <f t="shared" si="201"/>
        <v>98835</v>
      </c>
      <c r="E568" s="5">
        <v>-6160</v>
      </c>
      <c r="F568" s="5">
        <f t="shared" si="199"/>
        <v>104995</v>
      </c>
      <c r="G568" s="20">
        <v>-443740</v>
      </c>
      <c r="J568" s="10" t="s">
        <v>84</v>
      </c>
      <c r="K568" s="5">
        <v>-17875</v>
      </c>
      <c r="L568" s="7">
        <v>119900</v>
      </c>
      <c r="M568" s="5">
        <f t="shared" si="202"/>
        <v>102025</v>
      </c>
      <c r="N568" s="5">
        <v>22660</v>
      </c>
      <c r="O568" s="5">
        <f t="shared" si="200"/>
        <v>79365</v>
      </c>
      <c r="P568" s="20">
        <v>-412390</v>
      </c>
    </row>
    <row r="569" spans="1:16" ht="15.75" x14ac:dyDescent="0.25">
      <c r="A569" s="10" t="s">
        <v>90</v>
      </c>
      <c r="B569" s="5">
        <v>-38160</v>
      </c>
      <c r="C569" s="7">
        <v>140960</v>
      </c>
      <c r="D569" s="5">
        <f t="shared" si="201"/>
        <v>102800</v>
      </c>
      <c r="E569" s="5">
        <v>75520</v>
      </c>
      <c r="F569" s="5">
        <f t="shared" si="199"/>
        <v>27280</v>
      </c>
      <c r="G569" s="20">
        <v>-577680</v>
      </c>
      <c r="J569" s="10" t="s">
        <v>90</v>
      </c>
      <c r="K569" s="5">
        <v>-36720</v>
      </c>
      <c r="L569" s="7">
        <v>59120</v>
      </c>
      <c r="M569" s="5">
        <f t="shared" si="202"/>
        <v>22400</v>
      </c>
      <c r="N569" s="5">
        <v>13840</v>
      </c>
      <c r="O569" s="5">
        <f t="shared" si="200"/>
        <v>8560</v>
      </c>
      <c r="P569" s="20">
        <v>-566640</v>
      </c>
    </row>
    <row r="570" spans="1:16" ht="15.75" x14ac:dyDescent="0.25">
      <c r="A570" s="10" t="s">
        <v>67</v>
      </c>
      <c r="B570" s="5">
        <v>-23400</v>
      </c>
      <c r="C570" s="7">
        <v>81900</v>
      </c>
      <c r="D570" s="5">
        <f t="shared" si="201"/>
        <v>58500</v>
      </c>
      <c r="E570" s="5">
        <v>18800</v>
      </c>
      <c r="F570" s="5">
        <f t="shared" si="199"/>
        <v>39700</v>
      </c>
      <c r="G570" s="20">
        <v>-527900</v>
      </c>
      <c r="J570" s="10" t="s">
        <v>67</v>
      </c>
      <c r="K570" s="5">
        <v>-12700</v>
      </c>
      <c r="L570" s="7">
        <v>71300</v>
      </c>
      <c r="M570" s="5">
        <f t="shared" si="202"/>
        <v>58600</v>
      </c>
      <c r="N570" s="5">
        <v>-900</v>
      </c>
      <c r="O570" s="5">
        <f t="shared" si="200"/>
        <v>59500</v>
      </c>
      <c r="P570" s="20">
        <v>-581500</v>
      </c>
    </row>
    <row r="571" spans="1:16" ht="15.75" x14ac:dyDescent="0.25">
      <c r="A571" s="10" t="s">
        <v>42</v>
      </c>
      <c r="B571" s="5">
        <v>64725</v>
      </c>
      <c r="C571" s="7">
        <v>57900</v>
      </c>
      <c r="D571" s="5">
        <f t="shared" si="201"/>
        <v>122625</v>
      </c>
      <c r="E571" s="5">
        <v>-6150</v>
      </c>
      <c r="F571" s="5">
        <f t="shared" si="199"/>
        <v>128775</v>
      </c>
      <c r="G571" s="20">
        <v>-430050</v>
      </c>
      <c r="J571" s="10" t="s">
        <v>42</v>
      </c>
      <c r="K571" s="5">
        <v>-39300</v>
      </c>
      <c r="L571" s="7">
        <v>70050</v>
      </c>
      <c r="M571" s="5">
        <f t="shared" si="202"/>
        <v>30750</v>
      </c>
      <c r="N571" s="5">
        <v>19500</v>
      </c>
      <c r="O571" s="5">
        <f t="shared" si="200"/>
        <v>11250</v>
      </c>
      <c r="P571" s="20">
        <v>-552900</v>
      </c>
    </row>
    <row r="572" spans="1:16" ht="15.75" x14ac:dyDescent="0.25">
      <c r="A572" s="10" t="s">
        <v>83</v>
      </c>
      <c r="B572" s="5">
        <v>-44280</v>
      </c>
      <c r="C572" s="7">
        <v>99630</v>
      </c>
      <c r="D572" s="5">
        <f t="shared" si="201"/>
        <v>55350</v>
      </c>
      <c r="E572" s="5">
        <v>5670</v>
      </c>
      <c r="F572" s="5">
        <f t="shared" si="199"/>
        <v>49680</v>
      </c>
      <c r="G572" s="20">
        <v>-502740</v>
      </c>
      <c r="J572" s="10" t="s">
        <v>83</v>
      </c>
      <c r="K572" s="5">
        <v>-3780</v>
      </c>
      <c r="L572" s="7">
        <v>30915</v>
      </c>
      <c r="M572" s="5">
        <f t="shared" si="202"/>
        <v>27135</v>
      </c>
      <c r="N572" s="5">
        <v>9720</v>
      </c>
      <c r="O572" s="5">
        <f t="shared" si="200"/>
        <v>17415</v>
      </c>
      <c r="P572" s="20">
        <v>-555525</v>
      </c>
    </row>
    <row r="573" spans="1:16" ht="15.75" x14ac:dyDescent="0.25">
      <c r="A573" s="10" t="s">
        <v>55</v>
      </c>
      <c r="B573" s="5">
        <v>-1628</v>
      </c>
      <c r="C573" s="7">
        <v>51500</v>
      </c>
      <c r="D573" s="5">
        <f t="shared" si="201"/>
        <v>49872</v>
      </c>
      <c r="E573" s="5">
        <v>-1300</v>
      </c>
      <c r="F573" s="5">
        <f t="shared" si="199"/>
        <v>51172</v>
      </c>
      <c r="G573" s="20">
        <v>-482700</v>
      </c>
      <c r="J573" s="10" t="s">
        <v>55</v>
      </c>
      <c r="K573" s="5">
        <v>4100</v>
      </c>
      <c r="L573" s="7">
        <v>77900</v>
      </c>
      <c r="M573" s="5">
        <f t="shared" si="202"/>
        <v>82000</v>
      </c>
      <c r="N573" s="5">
        <v>-20300</v>
      </c>
      <c r="O573" s="5">
        <f t="shared" si="200"/>
        <v>102300</v>
      </c>
      <c r="P573" s="20">
        <v>-443500</v>
      </c>
    </row>
    <row r="574" spans="1:16" ht="15.75" x14ac:dyDescent="0.25">
      <c r="A574" s="21" t="s">
        <v>107</v>
      </c>
      <c r="B574" s="22">
        <f t="shared" ref="B574:G574" si="203">SUM(B561:B573)</f>
        <v>-84767</v>
      </c>
      <c r="C574" s="22">
        <f t="shared" si="203"/>
        <v>947286.25</v>
      </c>
      <c r="D574" s="22">
        <f t="shared" si="203"/>
        <v>862519.25</v>
      </c>
      <c r="E574" s="18">
        <f t="shared" si="203"/>
        <v>157860</v>
      </c>
      <c r="F574" s="21">
        <f t="shared" si="203"/>
        <v>704659.25</v>
      </c>
      <c r="G574" s="17">
        <f t="shared" si="203"/>
        <v>-6345650</v>
      </c>
      <c r="J574" s="21" t="s">
        <v>107</v>
      </c>
      <c r="K574" s="22">
        <f t="shared" ref="K574" si="204">SUM(K561:K573)</f>
        <v>-38892</v>
      </c>
      <c r="L574" s="22">
        <f t="shared" ref="L574" si="205">SUM(L561:L573)</f>
        <v>654711.25</v>
      </c>
      <c r="M574" s="22">
        <f t="shared" ref="M574" si="206">SUM(M561:M573)</f>
        <v>615819.25</v>
      </c>
      <c r="N574" s="18">
        <f t="shared" ref="N574" si="207">SUM(N561:N573)</f>
        <v>68020</v>
      </c>
      <c r="O574" s="21">
        <f t="shared" ref="O574" si="208">SUM(O561:O573)</f>
        <v>547799.25</v>
      </c>
      <c r="P574" s="17">
        <f t="shared" ref="P574" si="209">SUM(P561:P573)</f>
        <v>-6689795</v>
      </c>
    </row>
    <row r="580" spans="1:16" x14ac:dyDescent="0.25">
      <c r="A580" s="122">
        <v>44944</v>
      </c>
      <c r="B580" s="123"/>
      <c r="C580" s="123"/>
      <c r="D580" s="123"/>
      <c r="E580" s="123"/>
      <c r="F580" s="123"/>
      <c r="G580" s="123"/>
      <c r="J580" s="122">
        <v>44945</v>
      </c>
      <c r="K580" s="123"/>
      <c r="L580" s="123"/>
      <c r="M580" s="123"/>
      <c r="N580" s="123"/>
      <c r="O580" s="123"/>
      <c r="P580" s="123"/>
    </row>
    <row r="581" spans="1:16" x14ac:dyDescent="0.25">
      <c r="A581" s="6" t="s">
        <v>34</v>
      </c>
      <c r="B581" s="6" t="s">
        <v>104</v>
      </c>
      <c r="C581" s="6" t="s">
        <v>105</v>
      </c>
      <c r="D581" s="6" t="s">
        <v>112</v>
      </c>
      <c r="E581" s="6" t="s">
        <v>106</v>
      </c>
      <c r="F581" s="3" t="s">
        <v>108</v>
      </c>
      <c r="G581" s="3" t="s">
        <v>28</v>
      </c>
      <c r="J581" s="6" t="s">
        <v>34</v>
      </c>
      <c r="K581" s="6" t="s">
        <v>104</v>
      </c>
      <c r="L581" s="6" t="s">
        <v>105</v>
      </c>
      <c r="M581" s="6" t="s">
        <v>112</v>
      </c>
      <c r="N581" s="6" t="s">
        <v>106</v>
      </c>
      <c r="O581" s="3" t="s">
        <v>108</v>
      </c>
      <c r="P581" s="3" t="s">
        <v>28</v>
      </c>
    </row>
    <row r="582" spans="1:16" ht="15.75" x14ac:dyDescent="0.25">
      <c r="A582" s="10" t="s">
        <v>65</v>
      </c>
      <c r="B582" s="5">
        <v>-390</v>
      </c>
      <c r="C582" s="7">
        <v>24570</v>
      </c>
      <c r="D582" s="5">
        <f>+C582+B582</f>
        <v>24180</v>
      </c>
      <c r="E582" s="5">
        <v>28713.75</v>
      </c>
      <c r="F582" s="5">
        <f t="shared" ref="F582:F594" si="210">+B582+C582-E582</f>
        <v>-4533.75</v>
      </c>
      <c r="G582" s="20">
        <v>-552435</v>
      </c>
      <c r="J582" s="10" t="s">
        <v>65</v>
      </c>
      <c r="K582" s="5">
        <v>-283871</v>
      </c>
      <c r="L582" s="7">
        <v>58841.25</v>
      </c>
      <c r="M582" s="5">
        <f>+L582+K582</f>
        <v>-225029.75</v>
      </c>
      <c r="N582" s="5">
        <v>18622.5</v>
      </c>
      <c r="O582" s="5">
        <f t="shared" ref="O582:O594" si="211">+K582+L582-N582</f>
        <v>-243652.25</v>
      </c>
      <c r="P582" s="20">
        <v>-228345</v>
      </c>
    </row>
    <row r="583" spans="1:16" ht="15.75" x14ac:dyDescent="0.25">
      <c r="A583" s="10" t="s">
        <v>79</v>
      </c>
      <c r="B583" s="5">
        <v>-43575</v>
      </c>
      <c r="C583" s="7">
        <v>44800</v>
      </c>
      <c r="D583" s="5">
        <f t="shared" ref="D583:D594" si="212">+C583+B583</f>
        <v>1225</v>
      </c>
      <c r="E583" s="5">
        <v>10675</v>
      </c>
      <c r="F583" s="5">
        <f t="shared" si="210"/>
        <v>-9450</v>
      </c>
      <c r="G583" s="20">
        <v>-551075</v>
      </c>
      <c r="J583" s="10" t="s">
        <v>79</v>
      </c>
      <c r="K583" s="5">
        <v>20300</v>
      </c>
      <c r="L583" s="7">
        <v>20475</v>
      </c>
      <c r="M583" s="5">
        <f t="shared" ref="M583:M594" si="213">+L583+K583</f>
        <v>40775</v>
      </c>
      <c r="N583" s="5">
        <v>-28000</v>
      </c>
      <c r="O583" s="5">
        <f t="shared" si="211"/>
        <v>68775</v>
      </c>
      <c r="P583" s="20">
        <v>-402850</v>
      </c>
    </row>
    <row r="584" spans="1:16" ht="15.75" x14ac:dyDescent="0.25">
      <c r="A584" s="10" t="s">
        <v>80</v>
      </c>
      <c r="B584" s="5">
        <v>8000</v>
      </c>
      <c r="C584" s="7">
        <v>67999.999999999985</v>
      </c>
      <c r="D584" s="5">
        <f t="shared" si="212"/>
        <v>75999.999999999985</v>
      </c>
      <c r="E584" s="5">
        <v>4000</v>
      </c>
      <c r="F584" s="5">
        <f t="shared" si="210"/>
        <v>71999.999999999985</v>
      </c>
      <c r="G584" s="20">
        <v>-435600</v>
      </c>
      <c r="J584" s="10" t="s">
        <v>80</v>
      </c>
      <c r="K584" s="5">
        <v>-21600</v>
      </c>
      <c r="L584" s="7">
        <v>58000</v>
      </c>
      <c r="M584" s="5">
        <f t="shared" si="213"/>
        <v>36400</v>
      </c>
      <c r="N584" s="5">
        <v>27200</v>
      </c>
      <c r="O584" s="5">
        <f t="shared" si="211"/>
        <v>9200</v>
      </c>
      <c r="P584" s="20">
        <v>-396400</v>
      </c>
    </row>
    <row r="585" spans="1:16" ht="15.75" x14ac:dyDescent="0.25">
      <c r="A585" s="10" t="s">
        <v>53</v>
      </c>
      <c r="B585" s="5">
        <v>-24300</v>
      </c>
      <c r="C585" s="7">
        <v>-129100</v>
      </c>
      <c r="D585" s="5">
        <f t="shared" si="212"/>
        <v>-153400</v>
      </c>
      <c r="E585" s="5">
        <v>-8900</v>
      </c>
      <c r="F585" s="5">
        <f t="shared" si="210"/>
        <v>-144500</v>
      </c>
      <c r="G585" s="20">
        <v>-552100</v>
      </c>
      <c r="J585" s="10" t="s">
        <v>53</v>
      </c>
      <c r="K585" s="5">
        <v>126500</v>
      </c>
      <c r="L585" s="7">
        <v>-47000</v>
      </c>
      <c r="M585" s="5">
        <f t="shared" si="213"/>
        <v>79500</v>
      </c>
      <c r="N585" s="5">
        <v>18100</v>
      </c>
      <c r="O585" s="5">
        <f t="shared" si="211"/>
        <v>61400</v>
      </c>
      <c r="P585" s="20">
        <v>-479500</v>
      </c>
    </row>
    <row r="586" spans="1:16" ht="15.75" x14ac:dyDescent="0.25">
      <c r="A586" s="10" t="s">
        <v>93</v>
      </c>
      <c r="B586" s="5">
        <v>6727</v>
      </c>
      <c r="C586" s="7">
        <v>-6435</v>
      </c>
      <c r="D586" s="5">
        <f t="shared" si="212"/>
        <v>292</v>
      </c>
      <c r="E586" s="5">
        <v>12870</v>
      </c>
      <c r="F586" s="5">
        <f t="shared" si="210"/>
        <v>-12578</v>
      </c>
      <c r="G586" s="20">
        <v>-532350</v>
      </c>
      <c r="J586" s="10" t="s">
        <v>93</v>
      </c>
      <c r="K586" s="5">
        <v>-26910</v>
      </c>
      <c r="L586" s="7">
        <v>141570</v>
      </c>
      <c r="M586" s="5">
        <f t="shared" si="213"/>
        <v>114660</v>
      </c>
      <c r="N586" s="5">
        <v>5265</v>
      </c>
      <c r="O586" s="5">
        <f t="shared" si="211"/>
        <v>109395</v>
      </c>
      <c r="P586" s="20">
        <v>-369135</v>
      </c>
    </row>
    <row r="587" spans="1:16" ht="15.75" x14ac:dyDescent="0.25">
      <c r="A587" s="10" t="s">
        <v>54</v>
      </c>
      <c r="B587" s="5">
        <v>-46550</v>
      </c>
      <c r="C587" s="7">
        <v>35350</v>
      </c>
      <c r="D587" s="5">
        <f t="shared" si="212"/>
        <v>-11200</v>
      </c>
      <c r="E587" s="5">
        <v>-6600</v>
      </c>
      <c r="F587" s="5">
        <f t="shared" si="210"/>
        <v>-4600</v>
      </c>
      <c r="G587" s="20">
        <v>-530000</v>
      </c>
      <c r="J587" s="10" t="s">
        <v>54</v>
      </c>
      <c r="K587" s="5">
        <v>-3900</v>
      </c>
      <c r="L587" s="7">
        <v>125500</v>
      </c>
      <c r="M587" s="5">
        <f t="shared" si="213"/>
        <v>121600</v>
      </c>
      <c r="N587" s="5">
        <v>-3750</v>
      </c>
      <c r="O587" s="5">
        <f t="shared" si="211"/>
        <v>125350</v>
      </c>
      <c r="P587" s="20">
        <v>-325250</v>
      </c>
    </row>
    <row r="588" spans="1:16" ht="15.75" x14ac:dyDescent="0.25">
      <c r="A588" s="10" t="s">
        <v>116</v>
      </c>
      <c r="B588" s="5">
        <v>6367</v>
      </c>
      <c r="C588" s="7">
        <v>70185</v>
      </c>
      <c r="D588" s="5">
        <f t="shared" si="212"/>
        <v>76552</v>
      </c>
      <c r="E588" s="5">
        <v>10920</v>
      </c>
      <c r="F588" s="5">
        <f t="shared" si="210"/>
        <v>65632</v>
      </c>
      <c r="G588" s="20">
        <v>-525915</v>
      </c>
      <c r="J588" s="10" t="s">
        <v>116</v>
      </c>
      <c r="K588" s="5">
        <v>-3495</v>
      </c>
      <c r="L588" s="7">
        <v>27720</v>
      </c>
      <c r="M588" s="5">
        <f t="shared" si="213"/>
        <v>24225</v>
      </c>
      <c r="N588" s="5">
        <v>19035</v>
      </c>
      <c r="O588" s="5">
        <f t="shared" si="211"/>
        <v>5190</v>
      </c>
      <c r="P588" s="20">
        <v>-417060</v>
      </c>
    </row>
    <row r="589" spans="1:16" ht="15.75" x14ac:dyDescent="0.25">
      <c r="A589" s="10" t="s">
        <v>84</v>
      </c>
      <c r="B589" s="5">
        <v>-15070</v>
      </c>
      <c r="C589" s="7">
        <v>97020</v>
      </c>
      <c r="D589" s="5">
        <f t="shared" si="212"/>
        <v>81950</v>
      </c>
      <c r="E589" s="5">
        <v>3080</v>
      </c>
      <c r="F589" s="5">
        <f t="shared" si="210"/>
        <v>78870</v>
      </c>
      <c r="G589" s="20">
        <v>-443190</v>
      </c>
      <c r="J589" s="10" t="s">
        <v>84</v>
      </c>
      <c r="K589" s="5">
        <v>12265</v>
      </c>
      <c r="L589" s="7">
        <v>61380</v>
      </c>
      <c r="M589" s="5">
        <f t="shared" si="213"/>
        <v>73645</v>
      </c>
      <c r="N589" s="5">
        <v>-14465</v>
      </c>
      <c r="O589" s="5">
        <f t="shared" si="211"/>
        <v>88110</v>
      </c>
      <c r="P589" s="20">
        <v>-400510</v>
      </c>
    </row>
    <row r="590" spans="1:16" ht="15.75" x14ac:dyDescent="0.25">
      <c r="A590" s="10" t="s">
        <v>90</v>
      </c>
      <c r="B590" s="5">
        <v>-23920</v>
      </c>
      <c r="C590" s="7">
        <v>60720</v>
      </c>
      <c r="D590" s="5">
        <f t="shared" si="212"/>
        <v>36800</v>
      </c>
      <c r="E590" s="5">
        <v>-27600</v>
      </c>
      <c r="F590" s="5">
        <f t="shared" si="210"/>
        <v>64400</v>
      </c>
      <c r="G590" s="20">
        <v>-585120</v>
      </c>
      <c r="J590" s="10" t="s">
        <v>90</v>
      </c>
      <c r="K590" s="5">
        <v>59920</v>
      </c>
      <c r="L590" s="7">
        <v>-50320</v>
      </c>
      <c r="M590" s="5">
        <f t="shared" si="213"/>
        <v>9600</v>
      </c>
      <c r="N590" s="5">
        <v>-8480</v>
      </c>
      <c r="O590" s="5">
        <f t="shared" si="211"/>
        <v>18080</v>
      </c>
      <c r="P590" s="20">
        <v>-401920</v>
      </c>
    </row>
    <row r="591" spans="1:16" ht="15.75" x14ac:dyDescent="0.25">
      <c r="A591" s="10" t="s">
        <v>67</v>
      </c>
      <c r="B591" s="5">
        <v>-6600</v>
      </c>
      <c r="C591" s="7">
        <v>10400</v>
      </c>
      <c r="D591" s="5">
        <f t="shared" si="212"/>
        <v>3800</v>
      </c>
      <c r="E591" s="5">
        <v>-17900</v>
      </c>
      <c r="F591" s="5">
        <f t="shared" si="210"/>
        <v>21700</v>
      </c>
      <c r="G591" s="20">
        <v>-466200</v>
      </c>
      <c r="J591" s="10" t="s">
        <v>67</v>
      </c>
      <c r="K591" s="5">
        <v>-11300</v>
      </c>
      <c r="L591" s="7">
        <v>132600</v>
      </c>
      <c r="M591" s="5">
        <f t="shared" si="213"/>
        <v>121300</v>
      </c>
      <c r="N591" s="5">
        <v>-13600</v>
      </c>
      <c r="O591" s="5">
        <f t="shared" si="211"/>
        <v>134900</v>
      </c>
      <c r="P591" s="20">
        <v>-410200</v>
      </c>
    </row>
    <row r="592" spans="1:16" ht="15.75" x14ac:dyDescent="0.25">
      <c r="A592" s="10" t="s">
        <v>42</v>
      </c>
      <c r="B592" s="5">
        <v>-9525</v>
      </c>
      <c r="C592" s="7">
        <v>43200</v>
      </c>
      <c r="D592" s="5">
        <f t="shared" si="212"/>
        <v>33675</v>
      </c>
      <c r="E592" s="5">
        <v>-7050</v>
      </c>
      <c r="F592" s="5">
        <f t="shared" si="210"/>
        <v>40725</v>
      </c>
      <c r="G592" s="20">
        <v>-598350</v>
      </c>
      <c r="J592" s="10" t="s">
        <v>42</v>
      </c>
      <c r="K592" s="5">
        <v>-26925</v>
      </c>
      <c r="L592" s="7">
        <v>85650</v>
      </c>
      <c r="M592" s="5">
        <f t="shared" si="213"/>
        <v>58725</v>
      </c>
      <c r="N592" s="5">
        <v>-15825</v>
      </c>
      <c r="O592" s="5">
        <f t="shared" si="211"/>
        <v>74550</v>
      </c>
      <c r="P592" s="20">
        <v>-442500</v>
      </c>
    </row>
    <row r="593" spans="1:16" ht="15.75" x14ac:dyDescent="0.25">
      <c r="A593" s="10" t="s">
        <v>83</v>
      </c>
      <c r="B593" s="5">
        <v>-13095</v>
      </c>
      <c r="C593" s="7">
        <v>22140</v>
      </c>
      <c r="D593" s="5">
        <f t="shared" si="212"/>
        <v>9045</v>
      </c>
      <c r="E593" s="5">
        <v>11070</v>
      </c>
      <c r="F593" s="5">
        <f t="shared" si="210"/>
        <v>-2025</v>
      </c>
      <c r="G593" s="20">
        <v>-623835</v>
      </c>
      <c r="J593" s="10" t="s">
        <v>83</v>
      </c>
      <c r="K593" s="5">
        <v>-38475</v>
      </c>
      <c r="L593" s="7">
        <v>104625</v>
      </c>
      <c r="M593" s="5">
        <f t="shared" si="213"/>
        <v>66150</v>
      </c>
      <c r="N593" s="5">
        <v>7830</v>
      </c>
      <c r="O593" s="5">
        <f t="shared" si="211"/>
        <v>58320</v>
      </c>
      <c r="P593" s="20">
        <v>-448740</v>
      </c>
    </row>
    <row r="594" spans="1:16" ht="15.75" x14ac:dyDescent="0.25">
      <c r="A594" s="10" t="s">
        <v>55</v>
      </c>
      <c r="B594" s="5">
        <v>1800</v>
      </c>
      <c r="C594" s="7">
        <v>51400</v>
      </c>
      <c r="D594" s="5">
        <f t="shared" si="212"/>
        <v>53200</v>
      </c>
      <c r="E594" s="5">
        <v>-4600</v>
      </c>
      <c r="F594" s="5">
        <f t="shared" si="210"/>
        <v>57800</v>
      </c>
      <c r="G594" s="20">
        <v>-324200</v>
      </c>
      <c r="J594" s="10" t="s">
        <v>55</v>
      </c>
      <c r="K594" s="5">
        <v>-15700</v>
      </c>
      <c r="L594" s="7">
        <v>49100</v>
      </c>
      <c r="M594" s="5">
        <f t="shared" si="213"/>
        <v>33400</v>
      </c>
      <c r="N594" s="5">
        <v>-7600</v>
      </c>
      <c r="O594" s="5">
        <f t="shared" si="211"/>
        <v>41000</v>
      </c>
      <c r="P594" s="20">
        <v>-339400</v>
      </c>
    </row>
    <row r="595" spans="1:16" ht="15.75" x14ac:dyDescent="0.25">
      <c r="A595" s="21" t="s">
        <v>107</v>
      </c>
      <c r="B595" s="22">
        <f t="shared" ref="B595:G595" si="214">SUM(B582:B594)</f>
        <v>-160131</v>
      </c>
      <c r="C595" s="22">
        <f t="shared" si="214"/>
        <v>392250</v>
      </c>
      <c r="D595" s="22">
        <f t="shared" si="214"/>
        <v>232119</v>
      </c>
      <c r="E595" s="18">
        <f t="shared" si="214"/>
        <v>8678.75</v>
      </c>
      <c r="F595" s="21">
        <f t="shared" si="214"/>
        <v>223440.25</v>
      </c>
      <c r="G595" s="17">
        <f t="shared" si="214"/>
        <v>-6720370</v>
      </c>
      <c r="J595" s="21" t="s">
        <v>107</v>
      </c>
      <c r="K595" s="22">
        <f t="shared" ref="K595:P595" si="215">SUM(K582:K594)</f>
        <v>-213191</v>
      </c>
      <c r="L595" s="22">
        <f t="shared" si="215"/>
        <v>768141.25</v>
      </c>
      <c r="M595" s="22">
        <f t="shared" si="215"/>
        <v>554950.25</v>
      </c>
      <c r="N595" s="18">
        <f t="shared" si="215"/>
        <v>4332.5</v>
      </c>
      <c r="O595" s="21">
        <f t="shared" si="215"/>
        <v>550617.75</v>
      </c>
      <c r="P595" s="17">
        <f t="shared" si="215"/>
        <v>-5061810</v>
      </c>
    </row>
    <row r="600" spans="1:16" x14ac:dyDescent="0.25">
      <c r="A600" s="122">
        <v>44946</v>
      </c>
      <c r="B600" s="123"/>
      <c r="C600" s="123"/>
      <c r="D600" s="123"/>
      <c r="E600" s="123"/>
      <c r="F600" s="123"/>
      <c r="G600" s="123"/>
      <c r="J600" s="122">
        <v>44949</v>
      </c>
      <c r="K600" s="123"/>
      <c r="L600" s="123"/>
      <c r="M600" s="123"/>
      <c r="N600" s="123"/>
      <c r="O600" s="123"/>
      <c r="P600" s="123"/>
    </row>
    <row r="601" spans="1:16" x14ac:dyDescent="0.25">
      <c r="A601" s="6" t="s">
        <v>34</v>
      </c>
      <c r="B601" s="6" t="s">
        <v>104</v>
      </c>
      <c r="C601" s="6" t="s">
        <v>105</v>
      </c>
      <c r="D601" s="6" t="s">
        <v>112</v>
      </c>
      <c r="E601" s="6" t="s">
        <v>106</v>
      </c>
      <c r="F601" s="3" t="s">
        <v>108</v>
      </c>
      <c r="G601" s="3" t="s">
        <v>28</v>
      </c>
      <c r="J601" s="6" t="s">
        <v>34</v>
      </c>
      <c r="K601" s="6" t="s">
        <v>104</v>
      </c>
      <c r="L601" s="6" t="s">
        <v>105</v>
      </c>
      <c r="M601" s="6" t="s">
        <v>112</v>
      </c>
      <c r="N601" s="6" t="s">
        <v>106</v>
      </c>
      <c r="O601" s="3" t="s">
        <v>108</v>
      </c>
      <c r="P601" s="3" t="s">
        <v>28</v>
      </c>
    </row>
    <row r="602" spans="1:16" ht="15.75" x14ac:dyDescent="0.25">
      <c r="A602" s="10" t="s">
        <v>65</v>
      </c>
      <c r="B602" s="5">
        <v>100766</v>
      </c>
      <c r="C602" s="7">
        <v>13845</v>
      </c>
      <c r="D602" s="5">
        <f>+C602+B602</f>
        <v>114611</v>
      </c>
      <c r="E602" s="5">
        <v>6045</v>
      </c>
      <c r="F602" s="5">
        <f t="shared" ref="F602:F614" si="216">+B602+C602-E602</f>
        <v>108566</v>
      </c>
      <c r="G602" s="20">
        <v>-149321.25</v>
      </c>
      <c r="J602" s="10" t="s">
        <v>65</v>
      </c>
      <c r="K602" s="5">
        <v>1185600</v>
      </c>
      <c r="L602" s="7">
        <v>-1301966.25</v>
      </c>
      <c r="M602" s="5">
        <f>+L602+K602</f>
        <v>-116366.25</v>
      </c>
      <c r="N602" s="5">
        <v>48018.75</v>
      </c>
      <c r="O602" s="5">
        <f t="shared" ref="O602:O614" si="217">+K602+L602-N602</f>
        <v>-164385</v>
      </c>
      <c r="P602" s="20">
        <v>-235170</v>
      </c>
    </row>
    <row r="603" spans="1:16" ht="15.75" x14ac:dyDescent="0.25">
      <c r="A603" s="10" t="s">
        <v>79</v>
      </c>
      <c r="B603" s="5">
        <v>186200</v>
      </c>
      <c r="C603" s="7">
        <v>14525</v>
      </c>
      <c r="D603" s="5">
        <f t="shared" ref="D603:D614" si="218">+C603+B603</f>
        <v>200725</v>
      </c>
      <c r="E603" s="5">
        <v>-7350</v>
      </c>
      <c r="F603" s="5">
        <f t="shared" si="216"/>
        <v>208075</v>
      </c>
      <c r="G603" s="20">
        <v>-374150</v>
      </c>
      <c r="J603" s="10" t="s">
        <v>79</v>
      </c>
      <c r="K603" s="5">
        <v>-72100</v>
      </c>
      <c r="L603" s="7">
        <v>113925</v>
      </c>
      <c r="M603" s="5">
        <f t="shared" ref="M603:M614" si="219">+L603+K603</f>
        <v>41825</v>
      </c>
      <c r="N603" s="5">
        <v>43050</v>
      </c>
      <c r="O603" s="5">
        <f t="shared" si="217"/>
        <v>-1225</v>
      </c>
      <c r="P603" s="20">
        <v>0</v>
      </c>
    </row>
    <row r="604" spans="1:16" ht="15.75" x14ac:dyDescent="0.25">
      <c r="A604" s="10" t="s">
        <v>80</v>
      </c>
      <c r="B604" s="5">
        <v>-11200</v>
      </c>
      <c r="C604" s="7">
        <v>160600</v>
      </c>
      <c r="D604" s="5">
        <f t="shared" si="218"/>
        <v>149400</v>
      </c>
      <c r="E604" s="5">
        <v>-5000</v>
      </c>
      <c r="F604" s="5">
        <f t="shared" si="216"/>
        <v>154400</v>
      </c>
      <c r="G604" s="20">
        <v>-370200</v>
      </c>
      <c r="J604" s="10" t="s">
        <v>80</v>
      </c>
      <c r="K604" s="5">
        <v>-90800</v>
      </c>
      <c r="L604" s="7">
        <v>235200</v>
      </c>
      <c r="M604" s="5">
        <f t="shared" si="219"/>
        <v>144400</v>
      </c>
      <c r="N604" s="5">
        <v>34200</v>
      </c>
      <c r="O604" s="5">
        <f t="shared" si="217"/>
        <v>110200</v>
      </c>
      <c r="P604" s="20">
        <v>0</v>
      </c>
    </row>
    <row r="605" spans="1:16" ht="15.75" x14ac:dyDescent="0.25">
      <c r="A605" s="10" t="s">
        <v>53</v>
      </c>
      <c r="B605" s="5">
        <v>3500</v>
      </c>
      <c r="C605" s="7">
        <v>117100</v>
      </c>
      <c r="D605" s="5">
        <f t="shared" si="218"/>
        <v>120600</v>
      </c>
      <c r="E605" s="5">
        <v>16300</v>
      </c>
      <c r="F605" s="5">
        <f t="shared" si="216"/>
        <v>104300</v>
      </c>
      <c r="G605" s="20">
        <v>-328000</v>
      </c>
      <c r="J605" s="10" t="s">
        <v>53</v>
      </c>
      <c r="K605" s="5">
        <v>-16700</v>
      </c>
      <c r="L605" s="7">
        <v>143200</v>
      </c>
      <c r="M605" s="5">
        <f t="shared" si="219"/>
        <v>126500</v>
      </c>
      <c r="N605" s="5">
        <v>51700</v>
      </c>
      <c r="O605" s="5">
        <f t="shared" si="217"/>
        <v>74800</v>
      </c>
      <c r="P605" s="20">
        <v>0</v>
      </c>
    </row>
    <row r="606" spans="1:16" ht="15.75" x14ac:dyDescent="0.25">
      <c r="A606" s="10" t="s">
        <v>93</v>
      </c>
      <c r="B606" s="5">
        <v>-55282</v>
      </c>
      <c r="C606" s="7">
        <v>189540</v>
      </c>
      <c r="D606" s="5">
        <f t="shared" si="218"/>
        <v>134258</v>
      </c>
      <c r="E606" s="5">
        <v>-292.5</v>
      </c>
      <c r="F606" s="5">
        <f t="shared" si="216"/>
        <v>134550.5</v>
      </c>
      <c r="G606" s="20">
        <v>-439335</v>
      </c>
      <c r="J606" s="10" t="s">
        <v>93</v>
      </c>
      <c r="K606" s="5">
        <v>-110272</v>
      </c>
      <c r="L606" s="7">
        <v>217620</v>
      </c>
      <c r="M606" s="5">
        <f t="shared" si="219"/>
        <v>107348</v>
      </c>
      <c r="N606" s="5">
        <v>21060</v>
      </c>
      <c r="O606" s="5">
        <f t="shared" si="217"/>
        <v>86288</v>
      </c>
      <c r="P606" s="20">
        <v>0</v>
      </c>
    </row>
    <row r="607" spans="1:16" ht="15.75" x14ac:dyDescent="0.25">
      <c r="A607" s="10" t="s">
        <v>54</v>
      </c>
      <c r="B607" s="5">
        <v>20550</v>
      </c>
      <c r="C607" s="7">
        <v>9450</v>
      </c>
      <c r="D607" s="5">
        <f t="shared" si="218"/>
        <v>30000</v>
      </c>
      <c r="E607" s="5">
        <v>-20650</v>
      </c>
      <c r="F607" s="5">
        <f t="shared" si="216"/>
        <v>50650</v>
      </c>
      <c r="G607" s="20">
        <v>-194650</v>
      </c>
      <c r="J607" s="10" t="s">
        <v>54</v>
      </c>
      <c r="K607" s="5">
        <v>8500</v>
      </c>
      <c r="L607" s="7">
        <v>-89700</v>
      </c>
      <c r="M607" s="5">
        <f t="shared" si="219"/>
        <v>-81200</v>
      </c>
      <c r="N607" s="5">
        <v>17450</v>
      </c>
      <c r="O607" s="5">
        <f t="shared" si="217"/>
        <v>-98650</v>
      </c>
      <c r="P607" s="20">
        <v>-304800</v>
      </c>
    </row>
    <row r="608" spans="1:16" ht="15.75" x14ac:dyDescent="0.25">
      <c r="A608" s="10" t="s">
        <v>116</v>
      </c>
      <c r="B608" s="5">
        <v>-103687</v>
      </c>
      <c r="C608" s="7">
        <v>-5910</v>
      </c>
      <c r="D608" s="5">
        <f t="shared" si="218"/>
        <v>-109597</v>
      </c>
      <c r="E608" s="5">
        <v>-17970</v>
      </c>
      <c r="F608" s="5">
        <f t="shared" si="216"/>
        <v>-91627</v>
      </c>
      <c r="G608" s="20">
        <v>-437220</v>
      </c>
      <c r="J608" s="10" t="s">
        <v>116</v>
      </c>
      <c r="K608" s="5">
        <v>-458107</v>
      </c>
      <c r="L608" s="7">
        <v>208965</v>
      </c>
      <c r="M608" s="5">
        <f t="shared" si="219"/>
        <v>-249142</v>
      </c>
      <c r="N608" s="5">
        <v>3300</v>
      </c>
      <c r="O608" s="5">
        <f t="shared" si="217"/>
        <v>-252442</v>
      </c>
      <c r="P608" s="20">
        <v>-288600</v>
      </c>
    </row>
    <row r="609" spans="1:16" ht="15.75" x14ac:dyDescent="0.25">
      <c r="A609" s="10" t="s">
        <v>84</v>
      </c>
      <c r="B609" s="5">
        <v>-55770</v>
      </c>
      <c r="C609" s="7">
        <v>-2090</v>
      </c>
      <c r="D609" s="5">
        <f t="shared" si="218"/>
        <v>-57860</v>
      </c>
      <c r="E609" s="5">
        <v>26345</v>
      </c>
      <c r="F609" s="5">
        <f t="shared" si="216"/>
        <v>-84205</v>
      </c>
      <c r="G609" s="20">
        <v>-207845</v>
      </c>
      <c r="J609" s="10" t="s">
        <v>84</v>
      </c>
      <c r="K609" s="5">
        <v>62370</v>
      </c>
      <c r="L609" s="7">
        <v>109285</v>
      </c>
      <c r="M609" s="5">
        <f t="shared" si="219"/>
        <v>171655</v>
      </c>
      <c r="N609" s="5">
        <v>-9130</v>
      </c>
      <c r="O609" s="5">
        <f t="shared" si="217"/>
        <v>180785</v>
      </c>
      <c r="P609" s="20">
        <v>-125840</v>
      </c>
    </row>
    <row r="610" spans="1:16" ht="15.75" x14ac:dyDescent="0.25">
      <c r="A610" s="10" t="s">
        <v>90</v>
      </c>
      <c r="B610" s="5">
        <v>-12080</v>
      </c>
      <c r="C610" s="7">
        <v>144800</v>
      </c>
      <c r="D610" s="5">
        <f t="shared" si="218"/>
        <v>132720</v>
      </c>
      <c r="E610" s="5">
        <v>1600</v>
      </c>
      <c r="F610" s="5">
        <f t="shared" si="216"/>
        <v>131120</v>
      </c>
      <c r="G610" s="20">
        <v>-435920</v>
      </c>
      <c r="J610" s="10" t="s">
        <v>90</v>
      </c>
      <c r="K610" s="5">
        <v>-84800</v>
      </c>
      <c r="L610" s="7">
        <v>94800</v>
      </c>
      <c r="M610" s="5">
        <f t="shared" si="219"/>
        <v>10000</v>
      </c>
      <c r="N610" s="5">
        <v>-24480</v>
      </c>
      <c r="O610" s="5">
        <f t="shared" si="217"/>
        <v>34480</v>
      </c>
      <c r="P610" s="20">
        <v>-209440</v>
      </c>
    </row>
    <row r="611" spans="1:16" ht="15.75" x14ac:dyDescent="0.25">
      <c r="A611" s="10" t="s">
        <v>67</v>
      </c>
      <c r="B611" s="5">
        <v>28000</v>
      </c>
      <c r="C611" s="7">
        <v>88900</v>
      </c>
      <c r="D611" s="5">
        <f t="shared" si="218"/>
        <v>116900</v>
      </c>
      <c r="E611" s="5">
        <v>23100</v>
      </c>
      <c r="F611" s="5">
        <f t="shared" si="216"/>
        <v>93800</v>
      </c>
      <c r="G611" s="20">
        <v>-208600</v>
      </c>
      <c r="J611" s="10" t="s">
        <v>67</v>
      </c>
      <c r="K611" s="5">
        <v>9400</v>
      </c>
      <c r="L611" s="7">
        <v>51800</v>
      </c>
      <c r="M611" s="5">
        <f t="shared" si="219"/>
        <v>61200</v>
      </c>
      <c r="N611" s="5">
        <v>1600</v>
      </c>
      <c r="O611" s="5">
        <f t="shared" si="217"/>
        <v>59600</v>
      </c>
      <c r="P611" s="20">
        <v>-160500</v>
      </c>
    </row>
    <row r="612" spans="1:16" ht="15.75" x14ac:dyDescent="0.25">
      <c r="A612" s="10" t="s">
        <v>42</v>
      </c>
      <c r="B612" s="5">
        <v>64875</v>
      </c>
      <c r="C612" s="7">
        <v>40050</v>
      </c>
      <c r="D612" s="5">
        <f t="shared" si="218"/>
        <v>104925</v>
      </c>
      <c r="E612" s="5">
        <v>2400</v>
      </c>
      <c r="F612" s="5">
        <f t="shared" si="216"/>
        <v>102525</v>
      </c>
      <c r="G612" s="20">
        <v>-310500</v>
      </c>
      <c r="J612" s="10" t="s">
        <v>42</v>
      </c>
      <c r="K612" s="5">
        <v>-2325</v>
      </c>
      <c r="L612" s="7">
        <v>136350</v>
      </c>
      <c r="M612" s="5">
        <f t="shared" si="219"/>
        <v>134025</v>
      </c>
      <c r="N612" s="5">
        <v>-11775</v>
      </c>
      <c r="O612" s="5">
        <f t="shared" si="217"/>
        <v>145800</v>
      </c>
      <c r="P612" s="20">
        <v>-235650</v>
      </c>
    </row>
    <row r="613" spans="1:16" ht="15.75" x14ac:dyDescent="0.25">
      <c r="A613" s="10" t="s">
        <v>83</v>
      </c>
      <c r="B613" s="5">
        <v>-56700</v>
      </c>
      <c r="C613" s="7">
        <v>118125</v>
      </c>
      <c r="D613" s="5">
        <f t="shared" si="218"/>
        <v>61425</v>
      </c>
      <c r="E613" s="5">
        <v>7155</v>
      </c>
      <c r="F613" s="5">
        <f t="shared" si="216"/>
        <v>54270</v>
      </c>
      <c r="G613" s="20">
        <v>-426735</v>
      </c>
      <c r="J613" s="10" t="s">
        <v>83</v>
      </c>
      <c r="K613" s="5">
        <v>-74790</v>
      </c>
      <c r="L613" s="7">
        <v>189810</v>
      </c>
      <c r="M613" s="5">
        <f t="shared" si="219"/>
        <v>115020</v>
      </c>
      <c r="N613" s="5">
        <v>30105</v>
      </c>
      <c r="O613" s="5">
        <f t="shared" si="217"/>
        <v>84915</v>
      </c>
      <c r="P613" s="20">
        <v>-251235</v>
      </c>
    </row>
    <row r="614" spans="1:16" ht="15.75" x14ac:dyDescent="0.25">
      <c r="A614" s="10" t="s">
        <v>55</v>
      </c>
      <c r="B614" s="5">
        <v>-105300</v>
      </c>
      <c r="C614" s="7">
        <v>74200</v>
      </c>
      <c r="D614" s="5">
        <f t="shared" si="218"/>
        <v>-31100</v>
      </c>
      <c r="E614" s="5">
        <v>1599.9999999999964</v>
      </c>
      <c r="F614" s="5">
        <f t="shared" si="216"/>
        <v>-32699.999999999996</v>
      </c>
      <c r="G614" s="20">
        <v>-175000</v>
      </c>
      <c r="J614" s="10" t="s">
        <v>55</v>
      </c>
      <c r="K614" s="5">
        <v>-2800</v>
      </c>
      <c r="L614" s="7">
        <v>36800</v>
      </c>
      <c r="M614" s="5">
        <f t="shared" si="219"/>
        <v>34000</v>
      </c>
      <c r="N614" s="5">
        <v>4300</v>
      </c>
      <c r="O614" s="5">
        <f t="shared" si="217"/>
        <v>29700</v>
      </c>
      <c r="P614" s="20">
        <v>-180600</v>
      </c>
    </row>
    <row r="615" spans="1:16" ht="15.75" x14ac:dyDescent="0.25">
      <c r="A615" s="21" t="s">
        <v>107</v>
      </c>
      <c r="B615" s="22">
        <f t="shared" ref="B615:G615" si="220">SUM(B602:B614)</f>
        <v>3872</v>
      </c>
      <c r="C615" s="22">
        <f t="shared" si="220"/>
        <v>963135</v>
      </c>
      <c r="D615" s="22">
        <f t="shared" si="220"/>
        <v>967007</v>
      </c>
      <c r="E615" s="18">
        <f t="shared" si="220"/>
        <v>33282.5</v>
      </c>
      <c r="F615" s="21">
        <f t="shared" si="220"/>
        <v>933724.5</v>
      </c>
      <c r="G615" s="17">
        <f t="shared" si="220"/>
        <v>-4057476.25</v>
      </c>
      <c r="J615" s="21" t="s">
        <v>107</v>
      </c>
      <c r="K615" s="22">
        <f t="shared" ref="K615:P615" si="221">SUM(K602:K614)</f>
        <v>353176</v>
      </c>
      <c r="L615" s="22">
        <f t="shared" si="221"/>
        <v>146088.75</v>
      </c>
      <c r="M615" s="22">
        <f t="shared" si="221"/>
        <v>499264.75</v>
      </c>
      <c r="N615" s="18">
        <f t="shared" si="221"/>
        <v>209398.75</v>
      </c>
      <c r="O615" s="21">
        <f t="shared" si="221"/>
        <v>289866</v>
      </c>
      <c r="P615" s="17">
        <f t="shared" si="221"/>
        <v>-1991835</v>
      </c>
    </row>
    <row r="621" spans="1:16" x14ac:dyDescent="0.25">
      <c r="A621" s="122">
        <v>44950</v>
      </c>
      <c r="B621" s="123"/>
      <c r="C621" s="123"/>
      <c r="D621" s="123"/>
      <c r="E621" s="123"/>
      <c r="F621" s="123"/>
      <c r="G621" s="123"/>
    </row>
    <row r="622" spans="1:16" x14ac:dyDescent="0.25">
      <c r="A622" s="6" t="s">
        <v>34</v>
      </c>
      <c r="B622" s="6" t="s">
        <v>104</v>
      </c>
      <c r="C622" s="6" t="s">
        <v>105</v>
      </c>
      <c r="D622" s="6" t="s">
        <v>112</v>
      </c>
      <c r="E622" s="6" t="s">
        <v>106</v>
      </c>
      <c r="F622" s="3" t="s">
        <v>108</v>
      </c>
      <c r="G622" s="3" t="s">
        <v>28</v>
      </c>
    </row>
    <row r="623" spans="1:16" ht="15.75" x14ac:dyDescent="0.25">
      <c r="A623" s="10" t="s">
        <v>65</v>
      </c>
      <c r="B623" s="5">
        <v>-8726</v>
      </c>
      <c r="C623" s="7">
        <v>-20085</v>
      </c>
      <c r="D623" s="5">
        <f>+C623+B623</f>
        <v>-28811</v>
      </c>
      <c r="E623" s="5">
        <v>10773.75</v>
      </c>
      <c r="F623" s="5">
        <f t="shared" ref="F623:F631" si="222">+B623+C623-E623</f>
        <v>-39584.75</v>
      </c>
      <c r="G623" s="20">
        <v>0</v>
      </c>
    </row>
    <row r="624" spans="1:16" ht="15.75" x14ac:dyDescent="0.25">
      <c r="A624" s="10" t="s">
        <v>54</v>
      </c>
      <c r="B624" s="5">
        <v>-34800</v>
      </c>
      <c r="C624" s="7">
        <v>1300</v>
      </c>
      <c r="D624" s="5">
        <f t="shared" ref="D624:D631" si="223">+C624+B624</f>
        <v>-33500</v>
      </c>
      <c r="E624" s="5">
        <v>-200</v>
      </c>
      <c r="F624" s="5">
        <f t="shared" si="222"/>
        <v>-33300</v>
      </c>
      <c r="G624" s="20">
        <v>0</v>
      </c>
    </row>
    <row r="625" spans="1:7" ht="15.75" x14ac:dyDescent="0.25">
      <c r="A625" s="10" t="s">
        <v>116</v>
      </c>
      <c r="B625" s="5">
        <v>169500</v>
      </c>
      <c r="C625" s="7">
        <v>-231105</v>
      </c>
      <c r="D625" s="5">
        <f t="shared" si="223"/>
        <v>-61605</v>
      </c>
      <c r="E625" s="5">
        <v>6172.5</v>
      </c>
      <c r="F625" s="5">
        <f t="shared" si="222"/>
        <v>-67777.5</v>
      </c>
      <c r="G625" s="20">
        <v>0</v>
      </c>
    </row>
    <row r="626" spans="1:7" ht="15.75" x14ac:dyDescent="0.25">
      <c r="A626" s="10" t="s">
        <v>84</v>
      </c>
      <c r="B626" s="5">
        <v>11715</v>
      </c>
      <c r="C626" s="7">
        <v>-12814.999999999985</v>
      </c>
      <c r="D626" s="5">
        <f t="shared" si="223"/>
        <v>-1099.9999999999854</v>
      </c>
      <c r="E626" s="5">
        <v>6600</v>
      </c>
      <c r="F626" s="5">
        <f t="shared" si="222"/>
        <v>-7699.9999999999854</v>
      </c>
      <c r="G626" s="20">
        <v>0</v>
      </c>
    </row>
    <row r="627" spans="1:7" ht="15.75" x14ac:dyDescent="0.25">
      <c r="A627" s="10" t="s">
        <v>90</v>
      </c>
      <c r="B627" s="5">
        <v>226160</v>
      </c>
      <c r="C627" s="7">
        <v>-246880</v>
      </c>
      <c r="D627" s="5">
        <f t="shared" si="223"/>
        <v>-20720</v>
      </c>
      <c r="E627" s="5">
        <v>-19440</v>
      </c>
      <c r="F627" s="5">
        <f t="shared" si="222"/>
        <v>-1280</v>
      </c>
      <c r="G627" s="20">
        <v>0</v>
      </c>
    </row>
    <row r="628" spans="1:7" ht="15.75" x14ac:dyDescent="0.25">
      <c r="A628" s="10" t="s">
        <v>67</v>
      </c>
      <c r="B628" s="5">
        <v>-127700</v>
      </c>
      <c r="C628" s="7">
        <v>-4400</v>
      </c>
      <c r="D628" s="5">
        <f t="shared" si="223"/>
        <v>-132100</v>
      </c>
      <c r="E628" s="5">
        <v>-800</v>
      </c>
      <c r="F628" s="5">
        <f t="shared" si="222"/>
        <v>-131300</v>
      </c>
      <c r="G628" s="20">
        <v>0</v>
      </c>
    </row>
    <row r="629" spans="1:7" ht="15.75" x14ac:dyDescent="0.25">
      <c r="A629" s="10" t="s">
        <v>42</v>
      </c>
      <c r="B629" s="5">
        <v>167175</v>
      </c>
      <c r="C629" s="7">
        <v>-127950</v>
      </c>
      <c r="D629" s="5">
        <f t="shared" si="223"/>
        <v>39225</v>
      </c>
      <c r="E629" s="5">
        <v>26625</v>
      </c>
      <c r="F629" s="5">
        <f t="shared" si="222"/>
        <v>12600</v>
      </c>
      <c r="G629" s="20">
        <v>0</v>
      </c>
    </row>
    <row r="630" spans="1:7" ht="15.75" x14ac:dyDescent="0.25">
      <c r="A630" s="10" t="s">
        <v>83</v>
      </c>
      <c r="B630" s="5">
        <v>6885</v>
      </c>
      <c r="C630" s="7">
        <v>27135</v>
      </c>
      <c r="D630" s="5">
        <f t="shared" si="223"/>
        <v>34020</v>
      </c>
      <c r="E630" s="5">
        <v>-15525</v>
      </c>
      <c r="F630" s="5">
        <f t="shared" si="222"/>
        <v>49545</v>
      </c>
      <c r="G630" s="20">
        <v>0</v>
      </c>
    </row>
    <row r="631" spans="1:7" ht="15.75" x14ac:dyDescent="0.25">
      <c r="A631" s="10" t="s">
        <v>55</v>
      </c>
      <c r="B631" s="5">
        <v>50100</v>
      </c>
      <c r="C631" s="7">
        <v>-61500</v>
      </c>
      <c r="D631" s="5">
        <f t="shared" si="223"/>
        <v>-11400</v>
      </c>
      <c r="E631" s="5">
        <v>16500</v>
      </c>
      <c r="F631" s="5">
        <f t="shared" si="222"/>
        <v>-27900</v>
      </c>
      <c r="G631" s="20">
        <v>0</v>
      </c>
    </row>
    <row r="632" spans="1:7" ht="15.75" x14ac:dyDescent="0.25">
      <c r="A632" s="21" t="s">
        <v>107</v>
      </c>
      <c r="B632" s="22">
        <f t="shared" ref="B632:G632" si="224">SUM(B623:B631)</f>
        <v>460309</v>
      </c>
      <c r="C632" s="22">
        <f t="shared" si="224"/>
        <v>-676300</v>
      </c>
      <c r="D632" s="22">
        <f t="shared" si="224"/>
        <v>-215991</v>
      </c>
      <c r="E632" s="18">
        <f t="shared" si="224"/>
        <v>30706.25</v>
      </c>
      <c r="F632" s="21">
        <f t="shared" si="224"/>
        <v>-246697.25</v>
      </c>
      <c r="G632" s="17">
        <f t="shared" si="224"/>
        <v>0</v>
      </c>
    </row>
    <row r="638" spans="1:7" x14ac:dyDescent="0.25">
      <c r="A638" s="132">
        <v>44966</v>
      </c>
      <c r="B638" s="133"/>
      <c r="C638" s="133"/>
      <c r="D638" s="133"/>
    </row>
    <row r="639" spans="1:7" x14ac:dyDescent="0.25">
      <c r="A639" s="133"/>
      <c r="B639" s="133"/>
      <c r="C639" s="133"/>
      <c r="D639" s="133"/>
    </row>
    <row r="640" spans="1:7" x14ac:dyDescent="0.25">
      <c r="A640" s="133"/>
      <c r="B640" s="133"/>
      <c r="C640" s="133"/>
      <c r="D640" s="133"/>
    </row>
    <row r="645" spans="1:16" ht="15.75" x14ac:dyDescent="0.25">
      <c r="A645" s="106">
        <v>44966</v>
      </c>
      <c r="B645" s="106"/>
      <c r="C645" s="106"/>
      <c r="D645" s="106"/>
      <c r="E645" s="106"/>
      <c r="F645" s="106"/>
      <c r="G645" s="106"/>
      <c r="J645" s="106">
        <v>44967</v>
      </c>
      <c r="K645" s="106"/>
      <c r="L645" s="106"/>
      <c r="M645" s="106"/>
      <c r="N645" s="106"/>
      <c r="O645" s="106"/>
      <c r="P645" s="106"/>
    </row>
    <row r="646" spans="1:16" ht="15.75" x14ac:dyDescent="0.25">
      <c r="A646" s="22" t="s">
        <v>34</v>
      </c>
      <c r="B646" s="22" t="s">
        <v>104</v>
      </c>
      <c r="C646" s="22" t="s">
        <v>105</v>
      </c>
      <c r="D646" s="22" t="s">
        <v>112</v>
      </c>
      <c r="E646" s="22" t="s">
        <v>106</v>
      </c>
      <c r="F646" s="21" t="s">
        <v>108</v>
      </c>
      <c r="G646" s="21" t="s">
        <v>28</v>
      </c>
      <c r="J646" s="22" t="s">
        <v>34</v>
      </c>
      <c r="K646" s="22" t="s">
        <v>104</v>
      </c>
      <c r="L646" s="22" t="s">
        <v>105</v>
      </c>
      <c r="M646" s="22" t="s">
        <v>112</v>
      </c>
      <c r="N646" s="22" t="s">
        <v>106</v>
      </c>
      <c r="O646" s="21" t="s">
        <v>108</v>
      </c>
      <c r="P646" s="21" t="s">
        <v>28</v>
      </c>
    </row>
    <row r="647" spans="1:16" ht="15.75" x14ac:dyDescent="0.25">
      <c r="A647" s="27" t="s">
        <v>65</v>
      </c>
      <c r="B647" s="23">
        <v>12000</v>
      </c>
      <c r="C647" s="20">
        <v>0</v>
      </c>
      <c r="D647" s="23">
        <f>+C647+B647</f>
        <v>12000</v>
      </c>
      <c r="E647" s="23">
        <v>0</v>
      </c>
      <c r="F647" s="23">
        <f t="shared" ref="F647:F658" si="225">+B647+C647-E647</f>
        <v>12000</v>
      </c>
      <c r="G647" s="23">
        <v>-147468.75</v>
      </c>
      <c r="J647" s="27" t="s">
        <v>65</v>
      </c>
      <c r="K647" s="23">
        <v>38022</v>
      </c>
      <c r="L647" s="20">
        <v>50407.5</v>
      </c>
      <c r="M647" s="23">
        <f>+L647+K647</f>
        <v>88429.5</v>
      </c>
      <c r="N647" s="23">
        <v>3315</v>
      </c>
      <c r="O647" s="23">
        <f t="shared" ref="O647:O659" si="226">+K647+L647-N647</f>
        <v>85114.5</v>
      </c>
      <c r="P647" s="23">
        <v>-413302.5</v>
      </c>
    </row>
    <row r="648" spans="1:16" ht="15.75" x14ac:dyDescent="0.25">
      <c r="A648" s="27" t="s">
        <v>90</v>
      </c>
      <c r="B648" s="23">
        <v>-4216</v>
      </c>
      <c r="C648" s="20">
        <v>0</v>
      </c>
      <c r="D648" s="23">
        <f t="shared" ref="D648:D658" si="227">+C648+B648</f>
        <v>-4216</v>
      </c>
      <c r="E648" s="23">
        <v>0</v>
      </c>
      <c r="F648" s="23">
        <f t="shared" si="225"/>
        <v>-4216</v>
      </c>
      <c r="G648" s="23">
        <v>-141680</v>
      </c>
      <c r="J648" s="27" t="s">
        <v>90</v>
      </c>
      <c r="K648" s="23">
        <v>-32320</v>
      </c>
      <c r="L648" s="20">
        <v>16720</v>
      </c>
      <c r="M648" s="23">
        <f t="shared" ref="M648:M659" si="228">+L648+K648</f>
        <v>-15600</v>
      </c>
      <c r="N648" s="23">
        <v>-2480</v>
      </c>
      <c r="O648" s="23">
        <f t="shared" si="226"/>
        <v>-13120</v>
      </c>
      <c r="P648" s="23">
        <v>-283440</v>
      </c>
    </row>
    <row r="649" spans="1:16" ht="15.75" x14ac:dyDescent="0.25">
      <c r="A649" s="27" t="s">
        <v>83</v>
      </c>
      <c r="B649" s="23">
        <v>-8775</v>
      </c>
      <c r="C649" s="20">
        <v>0</v>
      </c>
      <c r="D649" s="23">
        <f t="shared" si="227"/>
        <v>-8775</v>
      </c>
      <c r="E649" s="23">
        <v>0</v>
      </c>
      <c r="F649" s="23">
        <f t="shared" si="225"/>
        <v>-8775</v>
      </c>
      <c r="G649" s="23">
        <v>-161190</v>
      </c>
      <c r="J649" s="27" t="s">
        <v>83</v>
      </c>
      <c r="K649" s="23">
        <v>-13230</v>
      </c>
      <c r="L649" s="20">
        <v>20520</v>
      </c>
      <c r="M649" s="23">
        <f t="shared" si="228"/>
        <v>7290</v>
      </c>
      <c r="N649" s="23">
        <v>-3240</v>
      </c>
      <c r="O649" s="23">
        <f t="shared" si="226"/>
        <v>10530</v>
      </c>
      <c r="P649" s="23">
        <v>-416880</v>
      </c>
    </row>
    <row r="650" spans="1:16" ht="15.75" x14ac:dyDescent="0.25">
      <c r="A650" s="27" t="s">
        <v>59</v>
      </c>
      <c r="B650" s="23">
        <v>2550</v>
      </c>
      <c r="C650" s="20">
        <v>0</v>
      </c>
      <c r="D650" s="23">
        <f t="shared" si="227"/>
        <v>2550</v>
      </c>
      <c r="E650" s="23">
        <v>0</v>
      </c>
      <c r="F650" s="23">
        <f t="shared" si="225"/>
        <v>2550</v>
      </c>
      <c r="G650" s="23">
        <v>-164025</v>
      </c>
      <c r="J650" s="27" t="s">
        <v>59</v>
      </c>
      <c r="K650" s="23">
        <v>-26037</v>
      </c>
      <c r="L650" s="20">
        <v>8525</v>
      </c>
      <c r="M650" s="23">
        <f t="shared" si="228"/>
        <v>-17512</v>
      </c>
      <c r="N650" s="23">
        <v>-1575</v>
      </c>
      <c r="O650" s="23">
        <f t="shared" si="226"/>
        <v>-15937</v>
      </c>
      <c r="P650" s="23">
        <v>-425950</v>
      </c>
    </row>
    <row r="651" spans="1:16" ht="15.75" x14ac:dyDescent="0.25">
      <c r="A651" s="27" t="s">
        <v>77</v>
      </c>
      <c r="B651" s="23">
        <v>-16882</v>
      </c>
      <c r="C651" s="20">
        <v>0</v>
      </c>
      <c r="D651" s="23">
        <f t="shared" si="227"/>
        <v>-16882</v>
      </c>
      <c r="E651" s="23">
        <v>0</v>
      </c>
      <c r="F651" s="23">
        <f t="shared" si="225"/>
        <v>-16882</v>
      </c>
      <c r="G651" s="23">
        <v>-162075</v>
      </c>
      <c r="J651" s="27" t="s">
        <v>77</v>
      </c>
      <c r="K651" s="23">
        <v>3495</v>
      </c>
      <c r="L651" s="20">
        <v>16995</v>
      </c>
      <c r="M651" s="23">
        <f t="shared" si="228"/>
        <v>20490</v>
      </c>
      <c r="N651" s="23">
        <v>-11077.5</v>
      </c>
      <c r="O651" s="23">
        <f t="shared" si="226"/>
        <v>31567.5</v>
      </c>
      <c r="P651" s="23">
        <v>-442500</v>
      </c>
    </row>
    <row r="652" spans="1:16" ht="15.75" x14ac:dyDescent="0.25">
      <c r="A652" s="27" t="s">
        <v>27</v>
      </c>
      <c r="B652" s="23">
        <v>-25230</v>
      </c>
      <c r="C652" s="20">
        <v>0</v>
      </c>
      <c r="D652" s="23">
        <f t="shared" si="227"/>
        <v>-25230</v>
      </c>
      <c r="E652" s="23">
        <v>0</v>
      </c>
      <c r="F652" s="23">
        <f t="shared" si="225"/>
        <v>-25230</v>
      </c>
      <c r="G652" s="23">
        <v>-178205</v>
      </c>
      <c r="J652" s="27" t="s">
        <v>27</v>
      </c>
      <c r="K652" s="23">
        <v>-19937</v>
      </c>
      <c r="L652" s="20">
        <v>-7685</v>
      </c>
      <c r="M652" s="23">
        <f t="shared" si="228"/>
        <v>-27622</v>
      </c>
      <c r="N652" s="23">
        <v>-14210</v>
      </c>
      <c r="O652" s="23">
        <f t="shared" si="226"/>
        <v>-13412</v>
      </c>
      <c r="P652" s="23">
        <v>-190530</v>
      </c>
    </row>
    <row r="653" spans="1:16" ht="15.75" x14ac:dyDescent="0.25">
      <c r="A653" s="27" t="s">
        <v>56</v>
      </c>
      <c r="B653" s="23">
        <v>-7000</v>
      </c>
      <c r="C653" s="20">
        <v>0</v>
      </c>
      <c r="D653" s="23">
        <f t="shared" si="227"/>
        <v>-7000</v>
      </c>
      <c r="E653" s="23">
        <v>0</v>
      </c>
      <c r="F653" s="23">
        <f t="shared" si="225"/>
        <v>-7000</v>
      </c>
      <c r="G653" s="23">
        <v>-148250</v>
      </c>
      <c r="J653" s="27" t="s">
        <v>56</v>
      </c>
      <c r="K653" s="23">
        <v>7825</v>
      </c>
      <c r="L653" s="20">
        <v>27800</v>
      </c>
      <c r="M653" s="23">
        <f t="shared" si="228"/>
        <v>35625</v>
      </c>
      <c r="N653" s="23">
        <v>-4850</v>
      </c>
      <c r="O653" s="23">
        <f t="shared" si="226"/>
        <v>40475</v>
      </c>
      <c r="P653" s="23">
        <v>-431600</v>
      </c>
    </row>
    <row r="654" spans="1:16" ht="15.75" x14ac:dyDescent="0.25">
      <c r="A654" s="27" t="s">
        <v>84</v>
      </c>
      <c r="B654" s="23">
        <v>7040</v>
      </c>
      <c r="C654" s="20">
        <v>0</v>
      </c>
      <c r="D654" s="23">
        <f t="shared" si="227"/>
        <v>7040</v>
      </c>
      <c r="E654" s="23">
        <v>0</v>
      </c>
      <c r="F654" s="23">
        <f t="shared" si="225"/>
        <v>7040</v>
      </c>
      <c r="G654" s="23">
        <v>-140580</v>
      </c>
      <c r="J654" s="27" t="s">
        <v>84</v>
      </c>
      <c r="K654" s="23">
        <v>-10945</v>
      </c>
      <c r="L654" s="20">
        <v>22550</v>
      </c>
      <c r="M654" s="23">
        <f t="shared" si="228"/>
        <v>11605</v>
      </c>
      <c r="N654" s="23">
        <v>7150</v>
      </c>
      <c r="O654" s="23">
        <f t="shared" si="226"/>
        <v>4455</v>
      </c>
      <c r="P654" s="23">
        <v>-364540</v>
      </c>
    </row>
    <row r="655" spans="1:16" ht="15.75" x14ac:dyDescent="0.25">
      <c r="A655" s="27" t="s">
        <v>74</v>
      </c>
      <c r="B655" s="23">
        <v>-13695</v>
      </c>
      <c r="C655" s="20">
        <v>0</v>
      </c>
      <c r="D655" s="23">
        <f t="shared" si="227"/>
        <v>-13695</v>
      </c>
      <c r="E655" s="23">
        <v>0</v>
      </c>
      <c r="F655" s="23">
        <f t="shared" si="225"/>
        <v>-13695</v>
      </c>
      <c r="G655" s="23">
        <v>-143880</v>
      </c>
      <c r="J655" s="27" t="s">
        <v>74</v>
      </c>
      <c r="K655" s="23">
        <v>17737</v>
      </c>
      <c r="L655" s="20">
        <v>-130460</v>
      </c>
      <c r="M655" s="23">
        <f t="shared" si="228"/>
        <v>-112723</v>
      </c>
      <c r="N655" s="23">
        <v>-7590</v>
      </c>
      <c r="O655" s="23">
        <f t="shared" si="226"/>
        <v>-105133</v>
      </c>
      <c r="P655" s="23">
        <v>-462550</v>
      </c>
    </row>
    <row r="656" spans="1:16" ht="15.75" x14ac:dyDescent="0.25">
      <c r="A656" s="27" t="s">
        <v>80</v>
      </c>
      <c r="B656" s="23">
        <v>-4400</v>
      </c>
      <c r="C656" s="20">
        <v>0</v>
      </c>
      <c r="D656" s="23">
        <f t="shared" si="227"/>
        <v>-4400</v>
      </c>
      <c r="E656" s="23">
        <v>0</v>
      </c>
      <c r="F656" s="23">
        <f t="shared" si="225"/>
        <v>-4400</v>
      </c>
      <c r="G656" s="23">
        <v>-148200</v>
      </c>
      <c r="J656" s="27" t="s">
        <v>80</v>
      </c>
      <c r="K656" s="23">
        <v>46600</v>
      </c>
      <c r="L656" s="20">
        <v>37000.000000000007</v>
      </c>
      <c r="M656" s="23">
        <f t="shared" si="228"/>
        <v>83600</v>
      </c>
      <c r="N656" s="23">
        <v>3800</v>
      </c>
      <c r="O656" s="23">
        <f t="shared" si="226"/>
        <v>79800</v>
      </c>
      <c r="P656" s="23">
        <v>-441400</v>
      </c>
    </row>
    <row r="657" spans="1:16" ht="15.75" x14ac:dyDescent="0.25">
      <c r="A657" s="27" t="s">
        <v>42</v>
      </c>
      <c r="B657" s="23">
        <v>-3975</v>
      </c>
      <c r="C657" s="20">
        <v>0</v>
      </c>
      <c r="D657" s="23">
        <f t="shared" si="227"/>
        <v>-3975</v>
      </c>
      <c r="E657" s="23">
        <v>0</v>
      </c>
      <c r="F657" s="23">
        <f t="shared" si="225"/>
        <v>-3975</v>
      </c>
      <c r="G657" s="23">
        <v>-160050</v>
      </c>
      <c r="J657" s="27" t="s">
        <v>42</v>
      </c>
      <c r="K657" s="23">
        <v>7725</v>
      </c>
      <c r="L657" s="20">
        <v>32775</v>
      </c>
      <c r="M657" s="23">
        <f t="shared" si="228"/>
        <v>40500</v>
      </c>
      <c r="N657" s="23">
        <v>-825</v>
      </c>
      <c r="O657" s="23">
        <f t="shared" si="226"/>
        <v>41325</v>
      </c>
      <c r="P657" s="23">
        <v>-420150</v>
      </c>
    </row>
    <row r="658" spans="1:16" ht="15.75" x14ac:dyDescent="0.25">
      <c r="A658" s="27" t="s">
        <v>43</v>
      </c>
      <c r="B658" s="23">
        <v>-15437</v>
      </c>
      <c r="C658" s="20">
        <v>0</v>
      </c>
      <c r="D658" s="23">
        <f t="shared" si="227"/>
        <v>-15437</v>
      </c>
      <c r="E658" s="23">
        <v>0</v>
      </c>
      <c r="F658" s="23">
        <f t="shared" si="225"/>
        <v>-15437</v>
      </c>
      <c r="G658" s="23">
        <v>-148000</v>
      </c>
      <c r="J658" s="27" t="s">
        <v>43</v>
      </c>
      <c r="K658" s="23">
        <v>-21687</v>
      </c>
      <c r="L658" s="20">
        <v>18687.5</v>
      </c>
      <c r="M658" s="23">
        <f t="shared" si="228"/>
        <v>-2999.5</v>
      </c>
      <c r="N658" s="23">
        <v>-9000</v>
      </c>
      <c r="O658" s="23">
        <f t="shared" si="226"/>
        <v>6000.5</v>
      </c>
      <c r="P658" s="23">
        <v>-413750</v>
      </c>
    </row>
    <row r="659" spans="1:16" ht="15.75" x14ac:dyDescent="0.25">
      <c r="A659" s="21" t="s">
        <v>107</v>
      </c>
      <c r="B659" s="22">
        <f t="shared" ref="B659:G659" si="229">SUM(B647:B658)</f>
        <v>-78020</v>
      </c>
      <c r="C659" s="22">
        <f t="shared" si="229"/>
        <v>0</v>
      </c>
      <c r="D659" s="22">
        <f t="shared" si="229"/>
        <v>-78020</v>
      </c>
      <c r="E659" s="18">
        <f t="shared" si="229"/>
        <v>0</v>
      </c>
      <c r="F659" s="21">
        <f t="shared" si="229"/>
        <v>-78020</v>
      </c>
      <c r="G659" s="17">
        <f t="shared" si="229"/>
        <v>-1843603.75</v>
      </c>
      <c r="J659" s="27" t="s">
        <v>81</v>
      </c>
      <c r="K659" s="23">
        <v>54885</v>
      </c>
      <c r="L659" s="20">
        <v>0</v>
      </c>
      <c r="M659" s="23">
        <f t="shared" si="228"/>
        <v>54885</v>
      </c>
      <c r="N659" s="23">
        <v>0</v>
      </c>
      <c r="O659" s="23">
        <f t="shared" si="226"/>
        <v>54885</v>
      </c>
      <c r="P659" s="23">
        <v>-389900</v>
      </c>
    </row>
    <row r="660" spans="1:16" ht="15.75" x14ac:dyDescent="0.25">
      <c r="J660" s="21" t="s">
        <v>107</v>
      </c>
      <c r="K660" s="22">
        <f t="shared" ref="K660:P660" si="230">SUM(K647:K659)</f>
        <v>52133</v>
      </c>
      <c r="L660" s="22">
        <f t="shared" si="230"/>
        <v>113835</v>
      </c>
      <c r="M660" s="22">
        <f t="shared" si="230"/>
        <v>165968</v>
      </c>
      <c r="N660" s="18">
        <f t="shared" si="230"/>
        <v>-40582.5</v>
      </c>
      <c r="O660" s="21">
        <f t="shared" si="230"/>
        <v>206550.5</v>
      </c>
      <c r="P660" s="17">
        <f t="shared" si="230"/>
        <v>-5096492.5</v>
      </c>
    </row>
    <row r="664" spans="1:16" ht="15.75" x14ac:dyDescent="0.25">
      <c r="J664" s="106">
        <v>44970</v>
      </c>
      <c r="K664" s="106"/>
      <c r="L664" s="106"/>
      <c r="M664" s="106"/>
      <c r="N664" s="106"/>
      <c r="O664" s="106"/>
      <c r="P664" s="106"/>
    </row>
    <row r="665" spans="1:16" ht="15.75" x14ac:dyDescent="0.25">
      <c r="A665" s="106">
        <v>44971</v>
      </c>
      <c r="B665" s="106"/>
      <c r="C665" s="106"/>
      <c r="D665" s="106"/>
      <c r="E665" s="106"/>
      <c r="F665" s="106"/>
      <c r="G665" s="106"/>
      <c r="J665" s="22" t="s">
        <v>34</v>
      </c>
      <c r="K665" s="22" t="s">
        <v>104</v>
      </c>
      <c r="L665" s="22" t="s">
        <v>105</v>
      </c>
      <c r="M665" s="22" t="s">
        <v>112</v>
      </c>
      <c r="N665" s="22" t="s">
        <v>106</v>
      </c>
      <c r="O665" s="21" t="s">
        <v>108</v>
      </c>
      <c r="P665" s="21" t="s">
        <v>28</v>
      </c>
    </row>
    <row r="666" spans="1:16" ht="15.75" x14ac:dyDescent="0.25">
      <c r="A666" s="22" t="s">
        <v>34</v>
      </c>
      <c r="B666" s="22" t="s">
        <v>104</v>
      </c>
      <c r="C666" s="22" t="s">
        <v>105</v>
      </c>
      <c r="D666" s="22" t="s">
        <v>112</v>
      </c>
      <c r="E666" s="22" t="s">
        <v>106</v>
      </c>
      <c r="F666" s="21" t="s">
        <v>108</v>
      </c>
      <c r="G666" s="21" t="s">
        <v>28</v>
      </c>
      <c r="J666" s="27" t="s">
        <v>65</v>
      </c>
      <c r="K666" s="23">
        <v>-35880</v>
      </c>
      <c r="L666" s="20">
        <v>34271.25</v>
      </c>
      <c r="M666" s="23">
        <f>+L666+K666</f>
        <v>-1608.75</v>
      </c>
      <c r="N666" s="23">
        <v>26032.5</v>
      </c>
      <c r="O666" s="23">
        <f t="shared" ref="O666:O678" si="231">+K666+L666-N666</f>
        <v>-27641.25</v>
      </c>
      <c r="P666" s="23">
        <v>-406672.5</v>
      </c>
    </row>
    <row r="667" spans="1:16" ht="15.75" x14ac:dyDescent="0.25">
      <c r="A667" s="27" t="s">
        <v>65</v>
      </c>
      <c r="B667" s="23">
        <v>-6825</v>
      </c>
      <c r="C667" s="20">
        <v>64155</v>
      </c>
      <c r="D667" s="23">
        <f>+C667+B667</f>
        <v>57330</v>
      </c>
      <c r="E667" s="23">
        <v>7848.7499999999991</v>
      </c>
      <c r="F667" s="23">
        <f t="shared" ref="F667:F680" si="232">+B667+C667-E667</f>
        <v>49481.25</v>
      </c>
      <c r="G667" s="23">
        <v>-381078.75</v>
      </c>
      <c r="J667" s="27" t="s">
        <v>90</v>
      </c>
      <c r="K667" s="23">
        <v>-46560</v>
      </c>
      <c r="L667" s="20">
        <v>113200</v>
      </c>
      <c r="M667" s="23">
        <f t="shared" ref="M667:M678" si="233">+L667+K667</f>
        <v>66640</v>
      </c>
      <c r="N667" s="23">
        <v>19440</v>
      </c>
      <c r="O667" s="23">
        <f t="shared" si="231"/>
        <v>47200</v>
      </c>
      <c r="P667" s="23">
        <v>-343440</v>
      </c>
    </row>
    <row r="668" spans="1:16" ht="15.75" x14ac:dyDescent="0.25">
      <c r="A668" s="27" t="s">
        <v>90</v>
      </c>
      <c r="B668" s="23">
        <v>-46960</v>
      </c>
      <c r="C668" s="20">
        <v>59200</v>
      </c>
      <c r="D668" s="23">
        <f t="shared" ref="D668:D680" si="234">+C668+B668</f>
        <v>12240</v>
      </c>
      <c r="E668" s="23">
        <v>-12000</v>
      </c>
      <c r="F668" s="23">
        <f t="shared" si="232"/>
        <v>24240</v>
      </c>
      <c r="G668" s="23">
        <v>-375840</v>
      </c>
      <c r="J668" s="27" t="s">
        <v>83</v>
      </c>
      <c r="K668" s="23">
        <v>25650</v>
      </c>
      <c r="L668" s="20">
        <v>-27000.000000000015</v>
      </c>
      <c r="M668" s="23">
        <f t="shared" si="233"/>
        <v>-1350.0000000000146</v>
      </c>
      <c r="N668" s="23">
        <v>18495</v>
      </c>
      <c r="O668" s="23">
        <f t="shared" si="231"/>
        <v>-19845.000000000015</v>
      </c>
      <c r="P668" s="23">
        <v>-350460</v>
      </c>
    </row>
    <row r="669" spans="1:16" ht="15.75" x14ac:dyDescent="0.25">
      <c r="A669" s="27" t="s">
        <v>83</v>
      </c>
      <c r="B669" s="23">
        <v>-34155</v>
      </c>
      <c r="C669" s="20">
        <v>60750</v>
      </c>
      <c r="D669" s="23">
        <f t="shared" si="234"/>
        <v>26595</v>
      </c>
      <c r="E669" s="23">
        <v>4860</v>
      </c>
      <c r="F669" s="23">
        <f t="shared" si="232"/>
        <v>21735</v>
      </c>
      <c r="G669" s="23">
        <v>-402300</v>
      </c>
      <c r="J669" s="27" t="s">
        <v>59</v>
      </c>
      <c r="K669" s="23">
        <v>4775</v>
      </c>
      <c r="L669" s="20">
        <v>37600</v>
      </c>
      <c r="M669" s="23">
        <f t="shared" si="233"/>
        <v>42375</v>
      </c>
      <c r="N669" s="23">
        <v>9906.25</v>
      </c>
      <c r="O669" s="23">
        <f t="shared" si="231"/>
        <v>32468.75</v>
      </c>
      <c r="P669" s="23">
        <v>-387850</v>
      </c>
    </row>
    <row r="670" spans="1:16" ht="15.75" x14ac:dyDescent="0.25">
      <c r="A670" s="27" t="s">
        <v>59</v>
      </c>
      <c r="B670" s="23">
        <v>-28387</v>
      </c>
      <c r="C670" s="20">
        <v>84668.75</v>
      </c>
      <c r="D670" s="23">
        <f t="shared" si="234"/>
        <v>56281.75</v>
      </c>
      <c r="E670" s="23">
        <v>-9300</v>
      </c>
      <c r="F670" s="23">
        <f t="shared" si="232"/>
        <v>65581.75</v>
      </c>
      <c r="G670" s="23">
        <v>-352500</v>
      </c>
      <c r="J670" s="27" t="s">
        <v>77</v>
      </c>
      <c r="K670" s="23">
        <v>71760</v>
      </c>
      <c r="L670" s="20">
        <v>-417540</v>
      </c>
      <c r="M670" s="23">
        <f t="shared" si="233"/>
        <v>-345780</v>
      </c>
      <c r="N670" s="23">
        <v>13687.5</v>
      </c>
      <c r="O670" s="23">
        <f t="shared" si="231"/>
        <v>-359467.5</v>
      </c>
      <c r="P670" s="23">
        <v>-307065</v>
      </c>
    </row>
    <row r="671" spans="1:16" ht="15.75" x14ac:dyDescent="0.25">
      <c r="A671" s="27" t="s">
        <v>77</v>
      </c>
      <c r="B671" s="23">
        <v>-6075</v>
      </c>
      <c r="C671" s="20">
        <v>73875</v>
      </c>
      <c r="D671" s="23">
        <f t="shared" si="234"/>
        <v>67800</v>
      </c>
      <c r="E671" s="23">
        <v>-8310</v>
      </c>
      <c r="F671" s="23">
        <f t="shared" si="232"/>
        <v>76110</v>
      </c>
      <c r="G671" s="23">
        <v>-378810</v>
      </c>
      <c r="J671" s="27" t="s">
        <v>27</v>
      </c>
      <c r="K671" s="23">
        <v>-61697</v>
      </c>
      <c r="L671" s="20">
        <v>-50025</v>
      </c>
      <c r="M671" s="23">
        <f t="shared" si="233"/>
        <v>-111722</v>
      </c>
      <c r="N671" s="23">
        <v>-1087.5</v>
      </c>
      <c r="O671" s="23">
        <f t="shared" si="231"/>
        <v>-110634.5</v>
      </c>
      <c r="P671" s="23">
        <v>-361050</v>
      </c>
    </row>
    <row r="672" spans="1:16" ht="15.75" x14ac:dyDescent="0.25">
      <c r="A672" s="27" t="s">
        <v>27</v>
      </c>
      <c r="B672" s="23">
        <v>-181322</v>
      </c>
      <c r="C672" s="20">
        <v>32915</v>
      </c>
      <c r="D672" s="23">
        <f t="shared" si="234"/>
        <v>-148407</v>
      </c>
      <c r="E672" s="23">
        <v>12687.5</v>
      </c>
      <c r="F672" s="23">
        <f t="shared" si="232"/>
        <v>-161094.5</v>
      </c>
      <c r="G672" s="23">
        <v>-363950</v>
      </c>
      <c r="J672" s="27" t="s">
        <v>56</v>
      </c>
      <c r="K672" s="23">
        <v>12800</v>
      </c>
      <c r="L672" s="20">
        <v>42750</v>
      </c>
      <c r="M672" s="23">
        <f t="shared" si="233"/>
        <v>55550</v>
      </c>
      <c r="N672" s="23">
        <v>775</v>
      </c>
      <c r="O672" s="23">
        <f t="shared" si="231"/>
        <v>54775</v>
      </c>
      <c r="P672" s="23">
        <v>-362200</v>
      </c>
    </row>
    <row r="673" spans="1:16" ht="15.75" x14ac:dyDescent="0.25">
      <c r="A673" s="27" t="s">
        <v>56</v>
      </c>
      <c r="B673" s="23">
        <v>-8775</v>
      </c>
      <c r="C673" s="20">
        <v>90025</v>
      </c>
      <c r="D673" s="23">
        <f t="shared" si="234"/>
        <v>81250</v>
      </c>
      <c r="E673" s="23">
        <v>-3825</v>
      </c>
      <c r="F673" s="23">
        <f t="shared" si="232"/>
        <v>85075</v>
      </c>
      <c r="G673" s="23">
        <v>-382875</v>
      </c>
      <c r="J673" s="27" t="s">
        <v>84</v>
      </c>
      <c r="K673" s="23">
        <v>27665</v>
      </c>
      <c r="L673" s="20">
        <v>12540</v>
      </c>
      <c r="M673" s="23">
        <f t="shared" si="233"/>
        <v>40205</v>
      </c>
      <c r="N673" s="23">
        <v>-2860</v>
      </c>
      <c r="O673" s="23">
        <f t="shared" si="231"/>
        <v>43065</v>
      </c>
      <c r="P673" s="23">
        <v>-206250</v>
      </c>
    </row>
    <row r="674" spans="1:16" ht="15.75" x14ac:dyDescent="0.25">
      <c r="A674" s="27" t="s">
        <v>84</v>
      </c>
      <c r="B674" s="23">
        <v>-11000</v>
      </c>
      <c r="C674" s="20">
        <v>32945</v>
      </c>
      <c r="D674" s="23">
        <f t="shared" si="234"/>
        <v>21945</v>
      </c>
      <c r="E674" s="23">
        <v>1760</v>
      </c>
      <c r="F674" s="23">
        <f t="shared" si="232"/>
        <v>20185</v>
      </c>
      <c r="G674" s="23">
        <v>-276870</v>
      </c>
      <c r="J674" s="27" t="s">
        <v>74</v>
      </c>
      <c r="K674" s="23">
        <v>2997</v>
      </c>
      <c r="L674" s="20">
        <v>29810.000000000015</v>
      </c>
      <c r="M674" s="23">
        <f t="shared" si="233"/>
        <v>32807.000000000015</v>
      </c>
      <c r="N674" s="23">
        <v>29150</v>
      </c>
      <c r="O674" s="23">
        <f t="shared" si="231"/>
        <v>3657.0000000000146</v>
      </c>
      <c r="P674" s="23">
        <v>-381205</v>
      </c>
    </row>
    <row r="675" spans="1:16" ht="15.75" x14ac:dyDescent="0.25">
      <c r="A675" s="27" t="s">
        <v>74</v>
      </c>
      <c r="B675" s="23">
        <v>-852</v>
      </c>
      <c r="C675" s="20">
        <v>27665</v>
      </c>
      <c r="D675" s="23">
        <f t="shared" si="234"/>
        <v>26813</v>
      </c>
      <c r="E675" s="23">
        <v>-20900</v>
      </c>
      <c r="F675" s="23">
        <f t="shared" si="232"/>
        <v>47713</v>
      </c>
      <c r="G675" s="23">
        <v>-322850</v>
      </c>
      <c r="J675" s="27" t="s">
        <v>80</v>
      </c>
      <c r="K675" s="23">
        <v>-15800</v>
      </c>
      <c r="L675" s="20">
        <v>53000</v>
      </c>
      <c r="M675" s="23">
        <f t="shared" si="233"/>
        <v>37200</v>
      </c>
      <c r="N675" s="23">
        <v>-4000</v>
      </c>
      <c r="O675" s="23">
        <f t="shared" si="231"/>
        <v>41200</v>
      </c>
      <c r="P675" s="23">
        <v>-355400</v>
      </c>
    </row>
    <row r="676" spans="1:16" ht="15.75" x14ac:dyDescent="0.25">
      <c r="A676" s="27" t="s">
        <v>80</v>
      </c>
      <c r="B676" s="23">
        <v>-66200</v>
      </c>
      <c r="C676" s="20">
        <v>71000</v>
      </c>
      <c r="D676" s="23">
        <f t="shared" si="234"/>
        <v>4800</v>
      </c>
      <c r="E676" s="23">
        <v>-600</v>
      </c>
      <c r="F676" s="23">
        <f t="shared" si="232"/>
        <v>5400</v>
      </c>
      <c r="G676" s="23">
        <v>-370000</v>
      </c>
      <c r="J676" s="27" t="s">
        <v>42</v>
      </c>
      <c r="K676" s="23">
        <v>-3150</v>
      </c>
      <c r="L676" s="20">
        <v>23550</v>
      </c>
      <c r="M676" s="23">
        <f t="shared" si="233"/>
        <v>20400</v>
      </c>
      <c r="N676" s="23">
        <v>9000</v>
      </c>
      <c r="O676" s="23">
        <f t="shared" si="231"/>
        <v>11400</v>
      </c>
      <c r="P676" s="23">
        <v>-409050</v>
      </c>
    </row>
    <row r="677" spans="1:16" ht="15.75" x14ac:dyDescent="0.25">
      <c r="A677" s="27" t="s">
        <v>42</v>
      </c>
      <c r="B677" s="23">
        <v>-14100</v>
      </c>
      <c r="C677" s="20">
        <v>94950</v>
      </c>
      <c r="D677" s="23">
        <f t="shared" si="234"/>
        <v>80850</v>
      </c>
      <c r="E677" s="23">
        <v>-2100</v>
      </c>
      <c r="F677" s="23">
        <f t="shared" si="232"/>
        <v>82950</v>
      </c>
      <c r="G677" s="23">
        <v>-377700</v>
      </c>
      <c r="J677" s="27" t="s">
        <v>43</v>
      </c>
      <c r="K677" s="23">
        <v>-207750</v>
      </c>
      <c r="L677" s="20">
        <v>-39875</v>
      </c>
      <c r="M677" s="23">
        <f t="shared" si="233"/>
        <v>-247625</v>
      </c>
      <c r="N677" s="23">
        <v>-5562.5</v>
      </c>
      <c r="O677" s="23">
        <f t="shared" si="231"/>
        <v>-242062.5</v>
      </c>
      <c r="P677" s="23">
        <v>-374000</v>
      </c>
    </row>
    <row r="678" spans="1:16" ht="15.75" x14ac:dyDescent="0.25">
      <c r="A678" s="27" t="s">
        <v>43</v>
      </c>
      <c r="B678" s="23">
        <v>-61312</v>
      </c>
      <c r="C678" s="20">
        <v>42000</v>
      </c>
      <c r="D678" s="23">
        <f t="shared" si="234"/>
        <v>-19312</v>
      </c>
      <c r="E678" s="23">
        <v>-5750</v>
      </c>
      <c r="F678" s="23">
        <f t="shared" si="232"/>
        <v>-13562</v>
      </c>
      <c r="G678" s="23">
        <v>-400750</v>
      </c>
      <c r="J678" s="27" t="s">
        <v>81</v>
      </c>
      <c r="K678" s="23">
        <v>-51415</v>
      </c>
      <c r="L678" s="20">
        <v>80010</v>
      </c>
      <c r="M678" s="23">
        <f t="shared" si="233"/>
        <v>28595</v>
      </c>
      <c r="N678" s="23">
        <v>17290</v>
      </c>
      <c r="O678" s="23">
        <f t="shared" si="231"/>
        <v>11305</v>
      </c>
      <c r="P678" s="23">
        <v>-349930</v>
      </c>
    </row>
    <row r="679" spans="1:16" ht="15.75" x14ac:dyDescent="0.25">
      <c r="A679" s="27" t="s">
        <v>81</v>
      </c>
      <c r="B679" s="23">
        <v>-22540</v>
      </c>
      <c r="C679" s="20">
        <v>55720</v>
      </c>
      <c r="D679" s="23">
        <f t="shared" si="234"/>
        <v>33180</v>
      </c>
      <c r="E679" s="23">
        <v>-3500</v>
      </c>
      <c r="F679" s="23">
        <f t="shared" si="232"/>
        <v>36680</v>
      </c>
      <c r="G679" s="23">
        <v>-286685</v>
      </c>
      <c r="J679" s="21" t="s">
        <v>107</v>
      </c>
      <c r="K679" s="22">
        <f>SUM(K666:K678)</f>
        <v>-276605</v>
      </c>
      <c r="L679" s="22">
        <f t="shared" ref="L679:P679" si="235">SUM(L666:L678)</f>
        <v>-107708.75</v>
      </c>
      <c r="M679" s="22">
        <f t="shared" si="235"/>
        <v>-384313.75</v>
      </c>
      <c r="N679" s="18">
        <f t="shared" si="235"/>
        <v>130266.25</v>
      </c>
      <c r="O679" s="21">
        <f t="shared" si="235"/>
        <v>-514580</v>
      </c>
      <c r="P679" s="17">
        <f t="shared" si="235"/>
        <v>-4594572.5</v>
      </c>
    </row>
    <row r="680" spans="1:16" ht="15.75" x14ac:dyDescent="0.25">
      <c r="A680" s="27" t="s">
        <v>17</v>
      </c>
      <c r="B680" s="23">
        <v>-19543</v>
      </c>
      <c r="C680" s="20">
        <v>0</v>
      </c>
      <c r="D680" s="23">
        <f t="shared" si="234"/>
        <v>-19543</v>
      </c>
      <c r="E680" s="23">
        <v>0</v>
      </c>
      <c r="F680" s="23">
        <f t="shared" si="232"/>
        <v>-19543</v>
      </c>
      <c r="G680" s="23">
        <v>-135150</v>
      </c>
    </row>
    <row r="681" spans="1:16" ht="15.75" x14ac:dyDescent="0.25">
      <c r="A681" s="21" t="s">
        <v>107</v>
      </c>
      <c r="B681" s="22">
        <f t="shared" ref="B681:G681" si="236">SUM(B667:B680)</f>
        <v>-508046</v>
      </c>
      <c r="C681" s="18">
        <f t="shared" si="236"/>
        <v>789868.75</v>
      </c>
      <c r="D681" s="22">
        <f t="shared" si="236"/>
        <v>281822.75</v>
      </c>
      <c r="E681" s="18">
        <f t="shared" si="236"/>
        <v>-39128.75</v>
      </c>
      <c r="F681" s="21">
        <f t="shared" si="236"/>
        <v>320951.5</v>
      </c>
      <c r="G681" s="17">
        <f t="shared" si="236"/>
        <v>-4807358.75</v>
      </c>
    </row>
    <row r="685" spans="1:16" ht="15.75" x14ac:dyDescent="0.25">
      <c r="A685" s="106">
        <v>44972</v>
      </c>
      <c r="B685" s="106"/>
      <c r="C685" s="106"/>
      <c r="D685" s="106"/>
      <c r="E685" s="106"/>
      <c r="F685" s="106"/>
      <c r="G685" s="106"/>
      <c r="J685" s="106">
        <v>44973</v>
      </c>
      <c r="K685" s="106"/>
      <c r="L685" s="106"/>
      <c r="M685" s="106"/>
      <c r="N685" s="106"/>
      <c r="O685" s="106"/>
      <c r="P685" s="106"/>
    </row>
    <row r="686" spans="1:16" ht="15.75" x14ac:dyDescent="0.25">
      <c r="A686" s="22" t="s">
        <v>34</v>
      </c>
      <c r="B686" s="22" t="s">
        <v>104</v>
      </c>
      <c r="C686" s="22" t="s">
        <v>105</v>
      </c>
      <c r="D686" s="22" t="s">
        <v>112</v>
      </c>
      <c r="E686" s="22" t="s">
        <v>106</v>
      </c>
      <c r="F686" s="21" t="s">
        <v>108</v>
      </c>
      <c r="G686" s="21" t="s">
        <v>28</v>
      </c>
      <c r="J686" s="22" t="s">
        <v>34</v>
      </c>
      <c r="K686" s="22" t="s">
        <v>104</v>
      </c>
      <c r="L686" s="22" t="s">
        <v>105</v>
      </c>
      <c r="M686" s="22" t="s">
        <v>112</v>
      </c>
      <c r="N686" s="22" t="s">
        <v>106</v>
      </c>
      <c r="O686" s="21" t="s">
        <v>108</v>
      </c>
      <c r="P686" s="21" t="s">
        <v>28</v>
      </c>
    </row>
    <row r="687" spans="1:16" ht="15.75" x14ac:dyDescent="0.25">
      <c r="A687" s="27" t="s">
        <v>65</v>
      </c>
      <c r="B687" s="23">
        <v>-21450</v>
      </c>
      <c r="C687" s="20">
        <v>33686.25</v>
      </c>
      <c r="D687" s="23">
        <f>+C687+B687</f>
        <v>12236.25</v>
      </c>
      <c r="E687" s="23">
        <v>-19061.25</v>
      </c>
      <c r="F687" s="23">
        <f t="shared" ref="F687:F700" si="237">+B687+C687-E687</f>
        <v>31297.5</v>
      </c>
      <c r="G687" s="23">
        <v>-445428.75</v>
      </c>
      <c r="J687" s="27" t="s">
        <v>65</v>
      </c>
      <c r="K687" s="23">
        <v>-2876</v>
      </c>
      <c r="L687" s="20">
        <v>25740</v>
      </c>
      <c r="M687" s="23">
        <f>+L687+K687</f>
        <v>22864</v>
      </c>
      <c r="N687" s="23">
        <v>10773.75</v>
      </c>
      <c r="O687" s="23">
        <f t="shared" ref="O687:O699" si="238">+K687+L687-N687</f>
        <v>12090.25</v>
      </c>
      <c r="P687" s="23">
        <v>-387075</v>
      </c>
    </row>
    <row r="688" spans="1:16" ht="15.75" x14ac:dyDescent="0.25">
      <c r="A688" s="27" t="s">
        <v>90</v>
      </c>
      <c r="B688" s="23">
        <v>5360</v>
      </c>
      <c r="C688" s="20">
        <v>65920</v>
      </c>
      <c r="D688" s="23">
        <f t="shared" ref="D688:D700" si="239">+C688+B688</f>
        <v>71280</v>
      </c>
      <c r="E688" s="23">
        <v>3120</v>
      </c>
      <c r="F688" s="23">
        <f t="shared" si="237"/>
        <v>68160</v>
      </c>
      <c r="G688" s="23">
        <v>-453040</v>
      </c>
      <c r="J688" s="27" t="s">
        <v>90</v>
      </c>
      <c r="K688" s="23">
        <v>-33200</v>
      </c>
      <c r="L688" s="20">
        <v>34160</v>
      </c>
      <c r="M688" s="23">
        <f t="shared" ref="M688:M699" si="240">+L688+K688</f>
        <v>960</v>
      </c>
      <c r="N688" s="23">
        <v>2800</v>
      </c>
      <c r="O688" s="23">
        <f t="shared" si="238"/>
        <v>-1840</v>
      </c>
      <c r="P688" s="23">
        <v>-451360</v>
      </c>
    </row>
    <row r="689" spans="1:16" ht="15.75" x14ac:dyDescent="0.25">
      <c r="A689" s="27" t="s">
        <v>83</v>
      </c>
      <c r="B689" s="23">
        <v>6075</v>
      </c>
      <c r="C689" s="20">
        <v>82080</v>
      </c>
      <c r="D689" s="23">
        <f t="shared" si="239"/>
        <v>88155</v>
      </c>
      <c r="E689" s="23">
        <v>4859.9999999999982</v>
      </c>
      <c r="F689" s="23">
        <f t="shared" si="237"/>
        <v>83295</v>
      </c>
      <c r="G689" s="23">
        <v>-369090</v>
      </c>
      <c r="J689" s="27" t="s">
        <v>83</v>
      </c>
      <c r="K689" s="23">
        <v>-4725</v>
      </c>
      <c r="L689" s="20">
        <v>61020</v>
      </c>
      <c r="M689" s="23">
        <f t="shared" si="240"/>
        <v>56295</v>
      </c>
      <c r="N689" s="23">
        <v>8370</v>
      </c>
      <c r="O689" s="23">
        <f t="shared" si="238"/>
        <v>47925</v>
      </c>
      <c r="P689" s="23">
        <v>-441450</v>
      </c>
    </row>
    <row r="690" spans="1:16" ht="15.75" x14ac:dyDescent="0.25">
      <c r="A690" s="27" t="s">
        <v>59</v>
      </c>
      <c r="B690" s="23">
        <v>-31737</v>
      </c>
      <c r="C690" s="20">
        <v>49937.5</v>
      </c>
      <c r="D690" s="23">
        <f t="shared" si="239"/>
        <v>18200.5</v>
      </c>
      <c r="E690" s="23">
        <v>1900</v>
      </c>
      <c r="F690" s="23">
        <f t="shared" si="237"/>
        <v>16300.5</v>
      </c>
      <c r="G690" s="23">
        <v>-417275</v>
      </c>
      <c r="J690" s="27" t="s">
        <v>59</v>
      </c>
      <c r="K690" s="23">
        <v>-139887</v>
      </c>
      <c r="L690" s="20">
        <v>9843.7500000000073</v>
      </c>
      <c r="M690" s="23">
        <f t="shared" si="240"/>
        <v>-130043.25</v>
      </c>
      <c r="N690" s="23">
        <v>34050</v>
      </c>
      <c r="O690" s="23">
        <f t="shared" si="238"/>
        <v>-164093.25</v>
      </c>
      <c r="P690" s="23">
        <v>-412050</v>
      </c>
    </row>
    <row r="691" spans="1:16" ht="15.75" x14ac:dyDescent="0.25">
      <c r="A691" s="27" t="s">
        <v>77</v>
      </c>
      <c r="B691" s="23">
        <v>2197</v>
      </c>
      <c r="C691" s="20">
        <v>26009.999999999993</v>
      </c>
      <c r="D691" s="23">
        <f t="shared" si="239"/>
        <v>28206.999999999993</v>
      </c>
      <c r="E691" s="23">
        <v>-6960</v>
      </c>
      <c r="F691" s="23">
        <f t="shared" si="237"/>
        <v>35166.999999999993</v>
      </c>
      <c r="G691" s="23">
        <v>-467790</v>
      </c>
      <c r="J691" s="27" t="s">
        <v>77</v>
      </c>
      <c r="K691" s="23">
        <v>82432</v>
      </c>
      <c r="L691" s="20">
        <v>-31635</v>
      </c>
      <c r="M691" s="23">
        <f t="shared" si="240"/>
        <v>50797</v>
      </c>
      <c r="N691" s="23">
        <v>10980</v>
      </c>
      <c r="O691" s="23">
        <f t="shared" si="238"/>
        <v>39817</v>
      </c>
      <c r="P691" s="23">
        <v>-482535</v>
      </c>
    </row>
    <row r="692" spans="1:16" ht="15.75" x14ac:dyDescent="0.25">
      <c r="A692" s="27" t="s">
        <v>27</v>
      </c>
      <c r="B692" s="23">
        <v>-103892</v>
      </c>
      <c r="C692" s="20">
        <v>-13050</v>
      </c>
      <c r="D692" s="23">
        <f t="shared" si="239"/>
        <v>-116942</v>
      </c>
      <c r="E692" s="23">
        <v>6670</v>
      </c>
      <c r="F692" s="23">
        <f t="shared" si="237"/>
        <v>-123612</v>
      </c>
      <c r="G692" s="23">
        <v>0</v>
      </c>
      <c r="J692" s="27" t="s">
        <v>56</v>
      </c>
      <c r="K692" s="23">
        <v>-25200</v>
      </c>
      <c r="L692" s="20">
        <v>-97250</v>
      </c>
      <c r="M692" s="23">
        <f t="shared" si="240"/>
        <v>-122450</v>
      </c>
      <c r="N692" s="23">
        <v>-21050</v>
      </c>
      <c r="O692" s="23">
        <f t="shared" si="238"/>
        <v>-101400</v>
      </c>
      <c r="P692" s="23">
        <v>-521000</v>
      </c>
    </row>
    <row r="693" spans="1:16" ht="15.75" x14ac:dyDescent="0.25">
      <c r="A693" s="27" t="s">
        <v>56</v>
      </c>
      <c r="B693" s="23">
        <v>-14475</v>
      </c>
      <c r="C693" s="20">
        <v>-37250</v>
      </c>
      <c r="D693" s="23">
        <f t="shared" si="239"/>
        <v>-51725</v>
      </c>
      <c r="E693" s="23">
        <v>-22525</v>
      </c>
      <c r="F693" s="23">
        <f t="shared" si="237"/>
        <v>-29200</v>
      </c>
      <c r="G693" s="23">
        <v>-363650</v>
      </c>
      <c r="J693" s="27" t="s">
        <v>84</v>
      </c>
      <c r="K693" s="23">
        <v>-7865</v>
      </c>
      <c r="L693" s="20">
        <v>98450</v>
      </c>
      <c r="M693" s="23">
        <f t="shared" si="240"/>
        <v>90585</v>
      </c>
      <c r="N693" s="23">
        <v>7260</v>
      </c>
      <c r="O693" s="23">
        <f t="shared" si="238"/>
        <v>83325</v>
      </c>
      <c r="P693" s="23">
        <v>-282040</v>
      </c>
    </row>
    <row r="694" spans="1:16" ht="15.75" x14ac:dyDescent="0.25">
      <c r="A694" s="27" t="s">
        <v>84</v>
      </c>
      <c r="B694" s="23">
        <v>-14960</v>
      </c>
      <c r="C694" s="20">
        <v>40205</v>
      </c>
      <c r="D694" s="23">
        <f t="shared" si="239"/>
        <v>25245</v>
      </c>
      <c r="E694" s="23">
        <v>-3025</v>
      </c>
      <c r="F694" s="23">
        <f t="shared" si="237"/>
        <v>28270</v>
      </c>
      <c r="G694" s="23">
        <v>-358710</v>
      </c>
      <c r="J694" s="27" t="s">
        <v>74</v>
      </c>
      <c r="K694" s="23">
        <v>-20322</v>
      </c>
      <c r="L694" s="20">
        <v>25960</v>
      </c>
      <c r="M694" s="23">
        <f t="shared" si="240"/>
        <v>5638</v>
      </c>
      <c r="N694" s="23">
        <v>22880</v>
      </c>
      <c r="O694" s="23">
        <f t="shared" si="238"/>
        <v>-17242</v>
      </c>
      <c r="P694" s="23">
        <v>-398640</v>
      </c>
    </row>
    <row r="695" spans="1:16" ht="15.75" x14ac:dyDescent="0.25">
      <c r="A695" s="27" t="s">
        <v>74</v>
      </c>
      <c r="B695" s="23">
        <v>-4895</v>
      </c>
      <c r="C695" s="20">
        <v>51535</v>
      </c>
      <c r="D695" s="23">
        <f t="shared" si="239"/>
        <v>46640</v>
      </c>
      <c r="E695" s="23">
        <v>-6215.0000000000036</v>
      </c>
      <c r="F695" s="23">
        <f t="shared" si="237"/>
        <v>52855</v>
      </c>
      <c r="G695" s="23">
        <v>-392810</v>
      </c>
      <c r="J695" s="27" t="s">
        <v>80</v>
      </c>
      <c r="K695" s="23">
        <v>-36800</v>
      </c>
      <c r="L695" s="20">
        <v>34400</v>
      </c>
      <c r="M695" s="23">
        <f t="shared" si="240"/>
        <v>-2400</v>
      </c>
      <c r="N695" s="23">
        <v>1000</v>
      </c>
      <c r="O695" s="23">
        <f t="shared" si="238"/>
        <v>-3400</v>
      </c>
      <c r="P695" s="23">
        <v>-462000</v>
      </c>
    </row>
    <row r="696" spans="1:16" ht="15.75" x14ac:dyDescent="0.25">
      <c r="A696" s="27" t="s">
        <v>80</v>
      </c>
      <c r="B696" s="23">
        <v>-8000</v>
      </c>
      <c r="C696" s="20">
        <v>66200</v>
      </c>
      <c r="D696" s="23">
        <f t="shared" si="239"/>
        <v>58200</v>
      </c>
      <c r="E696" s="23">
        <v>-7800</v>
      </c>
      <c r="F696" s="23">
        <f t="shared" si="237"/>
        <v>66000</v>
      </c>
      <c r="G696" s="23">
        <v>-455000</v>
      </c>
      <c r="J696" s="27" t="s">
        <v>42</v>
      </c>
      <c r="K696" s="23">
        <v>-56925</v>
      </c>
      <c r="L696" s="20">
        <v>64950</v>
      </c>
      <c r="M696" s="23">
        <f t="shared" si="240"/>
        <v>8025</v>
      </c>
      <c r="N696" s="23">
        <v>1200</v>
      </c>
      <c r="O696" s="23">
        <f t="shared" si="238"/>
        <v>6825</v>
      </c>
      <c r="P696" s="23">
        <v>-472050</v>
      </c>
    </row>
    <row r="697" spans="1:16" ht="15.75" x14ac:dyDescent="0.25">
      <c r="A697" s="27" t="s">
        <v>42</v>
      </c>
      <c r="B697" s="23">
        <v>-11550</v>
      </c>
      <c r="C697" s="20">
        <v>66900</v>
      </c>
      <c r="D697" s="23">
        <f t="shared" si="239"/>
        <v>55350</v>
      </c>
      <c r="E697" s="23">
        <v>9900</v>
      </c>
      <c r="F697" s="23">
        <f t="shared" si="237"/>
        <v>45450</v>
      </c>
      <c r="G697" s="23">
        <v>-521550</v>
      </c>
      <c r="J697" s="27" t="s">
        <v>43</v>
      </c>
      <c r="K697" s="23">
        <v>-53187</v>
      </c>
      <c r="L697" s="20">
        <v>43125</v>
      </c>
      <c r="M697" s="23">
        <f t="shared" si="240"/>
        <v>-10062</v>
      </c>
      <c r="N697" s="23">
        <v>-12125</v>
      </c>
      <c r="O697" s="23">
        <f t="shared" si="238"/>
        <v>2063</v>
      </c>
      <c r="P697" s="23">
        <v>-339750</v>
      </c>
    </row>
    <row r="698" spans="1:16" ht="15.75" x14ac:dyDescent="0.25">
      <c r="A698" s="27" t="s">
        <v>43</v>
      </c>
      <c r="B698" s="23">
        <v>-3187</v>
      </c>
      <c r="C698" s="20">
        <v>92000</v>
      </c>
      <c r="D698" s="23">
        <f t="shared" si="239"/>
        <v>88813</v>
      </c>
      <c r="E698" s="23">
        <v>3500</v>
      </c>
      <c r="F698" s="23">
        <f t="shared" si="237"/>
        <v>85313</v>
      </c>
      <c r="G698" s="23">
        <v>-440000</v>
      </c>
      <c r="J698" s="27" t="s">
        <v>81</v>
      </c>
      <c r="K698" s="23">
        <v>-20965</v>
      </c>
      <c r="L698" s="20">
        <v>-10815</v>
      </c>
      <c r="M698" s="23">
        <f t="shared" si="240"/>
        <v>-31780</v>
      </c>
      <c r="N698" s="23">
        <v>4270.0000000000009</v>
      </c>
      <c r="O698" s="23">
        <f t="shared" si="238"/>
        <v>-36050</v>
      </c>
      <c r="P698" s="23">
        <v>0</v>
      </c>
    </row>
    <row r="699" spans="1:16" ht="15.75" x14ac:dyDescent="0.25">
      <c r="A699" s="27" t="s">
        <v>81</v>
      </c>
      <c r="B699" s="23">
        <v>5005</v>
      </c>
      <c r="C699" s="20">
        <v>10885</v>
      </c>
      <c r="D699" s="23">
        <f t="shared" si="239"/>
        <v>15890</v>
      </c>
      <c r="E699" s="23">
        <v>-4655</v>
      </c>
      <c r="F699" s="23">
        <f t="shared" si="237"/>
        <v>20545</v>
      </c>
      <c r="G699" s="23">
        <v>-189000</v>
      </c>
      <c r="J699" s="27" t="s">
        <v>17</v>
      </c>
      <c r="K699" s="23">
        <v>113031</v>
      </c>
      <c r="L699" s="20">
        <v>-92700</v>
      </c>
      <c r="M699" s="23">
        <f t="shared" si="240"/>
        <v>20331</v>
      </c>
      <c r="N699" s="23">
        <v>24300</v>
      </c>
      <c r="O699" s="23">
        <f t="shared" si="238"/>
        <v>-3969</v>
      </c>
      <c r="P699" s="23">
        <v>-461087.5</v>
      </c>
    </row>
    <row r="700" spans="1:16" ht="15.75" x14ac:dyDescent="0.25">
      <c r="A700" s="27" t="s">
        <v>17</v>
      </c>
      <c r="B700" s="23">
        <v>-31031</v>
      </c>
      <c r="C700" s="20">
        <v>-52800</v>
      </c>
      <c r="D700" s="23">
        <f t="shared" si="239"/>
        <v>-83831</v>
      </c>
      <c r="E700" s="23">
        <v>-5250</v>
      </c>
      <c r="F700" s="23">
        <f t="shared" si="237"/>
        <v>-78581</v>
      </c>
      <c r="G700" s="23">
        <v>-445050</v>
      </c>
      <c r="J700" s="21" t="s">
        <v>107</v>
      </c>
      <c r="K700" s="22">
        <f t="shared" ref="K700:P700" si="241">SUM(K687:K699)</f>
        <v>-206489</v>
      </c>
      <c r="L700" s="18">
        <f t="shared" si="241"/>
        <v>165248.75</v>
      </c>
      <c r="M700" s="22">
        <f t="shared" si="241"/>
        <v>-41240.25</v>
      </c>
      <c r="N700" s="18">
        <f t="shared" si="241"/>
        <v>94708.75</v>
      </c>
      <c r="O700" s="21">
        <f t="shared" si="241"/>
        <v>-135949</v>
      </c>
      <c r="P700" s="17">
        <f t="shared" si="241"/>
        <v>-5111037.5</v>
      </c>
    </row>
    <row r="701" spans="1:16" ht="15.75" x14ac:dyDescent="0.25">
      <c r="A701" s="21" t="s">
        <v>107</v>
      </c>
      <c r="B701" s="22">
        <f t="shared" ref="B701:G701" si="242">SUM(B687:B700)</f>
        <v>-226540</v>
      </c>
      <c r="C701" s="18">
        <f t="shared" si="242"/>
        <v>482258.75</v>
      </c>
      <c r="D701" s="22">
        <f t="shared" si="242"/>
        <v>255718.75</v>
      </c>
      <c r="E701" s="18">
        <f t="shared" si="242"/>
        <v>-45541.25</v>
      </c>
      <c r="F701" s="21">
        <f t="shared" si="242"/>
        <v>301260</v>
      </c>
      <c r="G701" s="17">
        <f t="shared" si="242"/>
        <v>-5318393.75</v>
      </c>
    </row>
    <row r="706" spans="1:16" ht="15.75" x14ac:dyDescent="0.25">
      <c r="A706" s="106">
        <v>44974</v>
      </c>
      <c r="B706" s="106"/>
      <c r="C706" s="106"/>
      <c r="D706" s="106"/>
      <c r="E706" s="106"/>
      <c r="F706" s="106"/>
      <c r="G706" s="106"/>
      <c r="J706" s="106">
        <v>44977</v>
      </c>
      <c r="K706" s="106"/>
      <c r="L706" s="106"/>
      <c r="M706" s="106"/>
      <c r="N706" s="106"/>
      <c r="O706" s="106"/>
      <c r="P706" s="106"/>
    </row>
    <row r="707" spans="1:16" ht="15.75" x14ac:dyDescent="0.25">
      <c r="A707" s="22" t="s">
        <v>34</v>
      </c>
      <c r="B707" s="22" t="s">
        <v>104</v>
      </c>
      <c r="C707" s="22" t="s">
        <v>105</v>
      </c>
      <c r="D707" s="22" t="s">
        <v>112</v>
      </c>
      <c r="E707" s="22" t="s">
        <v>106</v>
      </c>
      <c r="F707" s="21" t="s">
        <v>108</v>
      </c>
      <c r="G707" s="21" t="s">
        <v>28</v>
      </c>
      <c r="J707" s="22" t="s">
        <v>34</v>
      </c>
      <c r="K707" s="22" t="s">
        <v>104</v>
      </c>
      <c r="L707" s="22" t="s">
        <v>105</v>
      </c>
      <c r="M707" s="22" t="s">
        <v>112</v>
      </c>
      <c r="N707" s="22" t="s">
        <v>106</v>
      </c>
      <c r="O707" s="21" t="s">
        <v>108</v>
      </c>
      <c r="P707" s="21" t="s">
        <v>28</v>
      </c>
    </row>
    <row r="708" spans="1:16" ht="15.75" x14ac:dyDescent="0.25">
      <c r="A708" s="27" t="s">
        <v>65</v>
      </c>
      <c r="B708" s="23">
        <v>-70200</v>
      </c>
      <c r="C708" s="20">
        <v>29883.75</v>
      </c>
      <c r="D708" s="23">
        <f>+C708+B708</f>
        <v>-40316.25</v>
      </c>
      <c r="E708" s="23">
        <v>27933.75</v>
      </c>
      <c r="F708" s="23">
        <f t="shared" ref="F708:F720" si="243">+B708+C708-E708</f>
        <v>-68250</v>
      </c>
      <c r="G708" s="23">
        <v>-512216.25</v>
      </c>
      <c r="J708" s="27" t="s">
        <v>65</v>
      </c>
      <c r="K708" s="23">
        <v>-2535</v>
      </c>
      <c r="L708" s="20">
        <v>217181.25</v>
      </c>
      <c r="M708" s="23">
        <f>+L708+K708</f>
        <v>214646.25</v>
      </c>
      <c r="N708" s="23">
        <v>-1852.5</v>
      </c>
      <c r="O708" s="23">
        <f t="shared" ref="O708:O719" si="244">+K708+L708-N708</f>
        <v>216498.75</v>
      </c>
      <c r="P708" s="23">
        <v>-447915</v>
      </c>
    </row>
    <row r="709" spans="1:16" ht="15.75" x14ac:dyDescent="0.25">
      <c r="A709" s="27" t="s">
        <v>90</v>
      </c>
      <c r="B709" s="23">
        <v>66880</v>
      </c>
      <c r="C709" s="20">
        <v>191920</v>
      </c>
      <c r="D709" s="23">
        <f t="shared" ref="D709:D720" si="245">+C709+B709</f>
        <v>258800</v>
      </c>
      <c r="E709" s="23">
        <v>35360</v>
      </c>
      <c r="F709" s="23">
        <f t="shared" si="243"/>
        <v>223440</v>
      </c>
      <c r="G709" s="23">
        <v>-332400</v>
      </c>
      <c r="J709" s="27" t="s">
        <v>90</v>
      </c>
      <c r="K709" s="23">
        <v>-106640</v>
      </c>
      <c r="L709" s="20">
        <v>139840</v>
      </c>
      <c r="M709" s="23">
        <f t="shared" ref="M709:M719" si="246">+L709+K709</f>
        <v>33200</v>
      </c>
      <c r="N709" s="23">
        <v>131520</v>
      </c>
      <c r="O709" s="23">
        <f t="shared" si="244"/>
        <v>-98320</v>
      </c>
      <c r="P709" s="23">
        <v>-259680</v>
      </c>
    </row>
    <row r="710" spans="1:16" ht="15.75" x14ac:dyDescent="0.25">
      <c r="A710" s="27" t="s">
        <v>83</v>
      </c>
      <c r="B710" s="23">
        <v>-47115</v>
      </c>
      <c r="C710" s="20">
        <v>120420</v>
      </c>
      <c r="D710" s="23">
        <f t="shared" si="245"/>
        <v>73305</v>
      </c>
      <c r="E710" s="23">
        <v>17550</v>
      </c>
      <c r="F710" s="23">
        <f t="shared" si="243"/>
        <v>55755</v>
      </c>
      <c r="G710" s="23">
        <v>-450900</v>
      </c>
      <c r="J710" s="27" t="s">
        <v>83</v>
      </c>
      <c r="K710" s="23">
        <v>19305</v>
      </c>
      <c r="L710" s="20">
        <v>38340</v>
      </c>
      <c r="M710" s="23">
        <f t="shared" si="246"/>
        <v>57645</v>
      </c>
      <c r="N710" s="23">
        <v>23490</v>
      </c>
      <c r="O710" s="23">
        <f t="shared" si="244"/>
        <v>34155</v>
      </c>
      <c r="P710" s="23">
        <v>-241920</v>
      </c>
    </row>
    <row r="711" spans="1:16" ht="15.75" x14ac:dyDescent="0.25">
      <c r="A711" s="27" t="s">
        <v>59</v>
      </c>
      <c r="B711" s="23">
        <v>-35693</v>
      </c>
      <c r="C711" s="20">
        <v>159937.5</v>
      </c>
      <c r="D711" s="23">
        <f t="shared" si="245"/>
        <v>124244.5</v>
      </c>
      <c r="E711" s="23">
        <v>5506.25</v>
      </c>
      <c r="F711" s="23">
        <f t="shared" si="243"/>
        <v>118738.25</v>
      </c>
      <c r="G711" s="23">
        <v>-598350</v>
      </c>
      <c r="J711" s="27" t="s">
        <v>59</v>
      </c>
      <c r="K711" s="23">
        <v>7743</v>
      </c>
      <c r="L711" s="20">
        <v>112700</v>
      </c>
      <c r="M711" s="23">
        <f t="shared" si="246"/>
        <v>120443</v>
      </c>
      <c r="N711" s="23">
        <v>21137.5</v>
      </c>
      <c r="O711" s="23">
        <f t="shared" si="244"/>
        <v>99305.5</v>
      </c>
      <c r="P711" s="23">
        <v>-302200</v>
      </c>
    </row>
    <row r="712" spans="1:16" ht="15.75" x14ac:dyDescent="0.25">
      <c r="A712" s="27" t="s">
        <v>77</v>
      </c>
      <c r="B712" s="23">
        <v>-69817</v>
      </c>
      <c r="C712" s="20">
        <v>54780</v>
      </c>
      <c r="D712" s="23">
        <f t="shared" si="245"/>
        <v>-15037</v>
      </c>
      <c r="E712" s="23">
        <v>-3015</v>
      </c>
      <c r="F712" s="23">
        <f t="shared" si="243"/>
        <v>-12022</v>
      </c>
      <c r="G712" s="23">
        <v>-570075</v>
      </c>
      <c r="J712" s="27" t="s">
        <v>77</v>
      </c>
      <c r="K712" s="23">
        <v>137827</v>
      </c>
      <c r="L712" s="20">
        <v>-108300</v>
      </c>
      <c r="M712" s="23">
        <f t="shared" si="246"/>
        <v>29527</v>
      </c>
      <c r="N712" s="23">
        <v>-35805</v>
      </c>
      <c r="O712" s="23">
        <f t="shared" si="244"/>
        <v>65332</v>
      </c>
      <c r="P712" s="23">
        <v>-256050</v>
      </c>
    </row>
    <row r="713" spans="1:16" ht="15.75" x14ac:dyDescent="0.25">
      <c r="A713" s="27" t="s">
        <v>56</v>
      </c>
      <c r="B713" s="23">
        <v>45625</v>
      </c>
      <c r="C713" s="20">
        <v>115400</v>
      </c>
      <c r="D713" s="23">
        <f t="shared" si="245"/>
        <v>161025</v>
      </c>
      <c r="E713" s="23">
        <v>-58775</v>
      </c>
      <c r="F713" s="23">
        <f t="shared" si="243"/>
        <v>219800</v>
      </c>
      <c r="G713" s="23">
        <v>0</v>
      </c>
      <c r="J713" s="27" t="s">
        <v>84</v>
      </c>
      <c r="K713" s="23">
        <v>-118800</v>
      </c>
      <c r="L713" s="20">
        <v>104885</v>
      </c>
      <c r="M713" s="23">
        <f t="shared" si="246"/>
        <v>-13915</v>
      </c>
      <c r="N713" s="23">
        <v>19635</v>
      </c>
      <c r="O713" s="23">
        <f t="shared" si="244"/>
        <v>-33550</v>
      </c>
      <c r="P713" s="23">
        <v>-251680</v>
      </c>
    </row>
    <row r="714" spans="1:16" ht="15.75" x14ac:dyDescent="0.25">
      <c r="A714" s="27" t="s">
        <v>84</v>
      </c>
      <c r="B714" s="23">
        <v>29940</v>
      </c>
      <c r="C714" s="20">
        <v>-52855</v>
      </c>
      <c r="D714" s="23">
        <f t="shared" si="245"/>
        <v>-22915</v>
      </c>
      <c r="E714" s="23">
        <v>10615</v>
      </c>
      <c r="F714" s="23">
        <f t="shared" si="243"/>
        <v>-33530</v>
      </c>
      <c r="G714" s="23">
        <v>-310200</v>
      </c>
      <c r="J714" s="27" t="s">
        <v>74</v>
      </c>
      <c r="K714" s="23">
        <v>91520</v>
      </c>
      <c r="L714" s="20">
        <v>-190162.5</v>
      </c>
      <c r="M714" s="23">
        <f t="shared" si="246"/>
        <v>-98642.5</v>
      </c>
      <c r="N714" s="23">
        <v>-33247.5</v>
      </c>
      <c r="O714" s="23">
        <f t="shared" si="244"/>
        <v>-65395</v>
      </c>
      <c r="P714" s="23">
        <v>0</v>
      </c>
    </row>
    <row r="715" spans="1:16" ht="15.75" x14ac:dyDescent="0.25">
      <c r="A715" s="27" t="s">
        <v>74</v>
      </c>
      <c r="B715" s="23">
        <v>-113052</v>
      </c>
      <c r="C715" s="20">
        <v>-49472.5</v>
      </c>
      <c r="D715" s="23">
        <f t="shared" si="245"/>
        <v>-162524.5</v>
      </c>
      <c r="E715" s="23">
        <v>-5170</v>
      </c>
      <c r="F715" s="23">
        <f t="shared" si="243"/>
        <v>-157354.5</v>
      </c>
      <c r="G715" s="23">
        <v>-507870</v>
      </c>
      <c r="J715" s="27" t="s">
        <v>80</v>
      </c>
      <c r="K715" s="23">
        <v>-48800</v>
      </c>
      <c r="L715" s="20">
        <v>165600</v>
      </c>
      <c r="M715" s="23">
        <f t="shared" si="246"/>
        <v>116800</v>
      </c>
      <c r="N715" s="23">
        <v>-3000</v>
      </c>
      <c r="O715" s="23">
        <f t="shared" si="244"/>
        <v>119800</v>
      </c>
      <c r="P715" s="23">
        <v>-381000</v>
      </c>
    </row>
    <row r="716" spans="1:16" ht="15.75" x14ac:dyDescent="0.25">
      <c r="A716" s="27" t="s">
        <v>80</v>
      </c>
      <c r="B716" s="23">
        <v>65200</v>
      </c>
      <c r="C716" s="20">
        <v>48800</v>
      </c>
      <c r="D716" s="23">
        <f t="shared" si="245"/>
        <v>114000</v>
      </c>
      <c r="E716" s="23">
        <v>7600</v>
      </c>
      <c r="F716" s="23">
        <f t="shared" si="243"/>
        <v>106400</v>
      </c>
      <c r="G716" s="23">
        <v>-542000</v>
      </c>
      <c r="J716" s="27" t="s">
        <v>42</v>
      </c>
      <c r="K716" s="23">
        <v>-26825</v>
      </c>
      <c r="L716" s="20">
        <v>105300.00000000001</v>
      </c>
      <c r="M716" s="23">
        <f t="shared" si="246"/>
        <v>78475.000000000015</v>
      </c>
      <c r="N716" s="23">
        <v>-40725</v>
      </c>
      <c r="O716" s="23">
        <f t="shared" si="244"/>
        <v>119200.00000000001</v>
      </c>
      <c r="P716" s="23">
        <v>-180000</v>
      </c>
    </row>
    <row r="717" spans="1:16" ht="15.75" x14ac:dyDescent="0.25">
      <c r="A717" s="27" t="s">
        <v>42</v>
      </c>
      <c r="B717" s="23">
        <v>100725</v>
      </c>
      <c r="C717" s="20">
        <v>-126300</v>
      </c>
      <c r="D717" s="23">
        <f t="shared" si="245"/>
        <v>-25575</v>
      </c>
      <c r="E717" s="23">
        <v>35850</v>
      </c>
      <c r="F717" s="23">
        <f t="shared" si="243"/>
        <v>-61425</v>
      </c>
      <c r="G717" s="23">
        <v>-408300</v>
      </c>
      <c r="J717" s="27" t="s">
        <v>43</v>
      </c>
      <c r="K717" s="23">
        <v>-55062</v>
      </c>
      <c r="L717" s="20">
        <v>-377625</v>
      </c>
      <c r="M717" s="23">
        <f t="shared" si="246"/>
        <v>-432687</v>
      </c>
      <c r="N717" s="23">
        <v>42250</v>
      </c>
      <c r="O717" s="23">
        <f t="shared" si="244"/>
        <v>-474937</v>
      </c>
      <c r="P717" s="23">
        <v>-297500</v>
      </c>
    </row>
    <row r="718" spans="1:16" ht="15.75" x14ac:dyDescent="0.25">
      <c r="A718" s="27" t="s">
        <v>43</v>
      </c>
      <c r="B718" s="23">
        <v>36562</v>
      </c>
      <c r="C718" s="20">
        <v>124375</v>
      </c>
      <c r="D718" s="23">
        <f t="shared" si="245"/>
        <v>160937</v>
      </c>
      <c r="E718" s="23">
        <v>-16125</v>
      </c>
      <c r="F718" s="23">
        <f t="shared" si="243"/>
        <v>177062</v>
      </c>
      <c r="G718" s="23">
        <v>-326875</v>
      </c>
      <c r="J718" s="27" t="s">
        <v>17</v>
      </c>
      <c r="K718" s="23">
        <v>-8731</v>
      </c>
      <c r="L718" s="20">
        <v>175100</v>
      </c>
      <c r="M718" s="23">
        <f t="shared" si="246"/>
        <v>166369</v>
      </c>
      <c r="N718" s="23">
        <v>38787.5</v>
      </c>
      <c r="O718" s="23">
        <f t="shared" si="244"/>
        <v>127581.5</v>
      </c>
      <c r="P718" s="23">
        <v>-268925</v>
      </c>
    </row>
    <row r="719" spans="1:16" ht="15.75" x14ac:dyDescent="0.25">
      <c r="A719" s="27" t="s">
        <v>17</v>
      </c>
      <c r="B719" s="23">
        <v>58725</v>
      </c>
      <c r="C719" s="20">
        <v>160175</v>
      </c>
      <c r="D719" s="23">
        <f t="shared" si="245"/>
        <v>218900</v>
      </c>
      <c r="E719" s="23">
        <v>5675</v>
      </c>
      <c r="F719" s="23">
        <f t="shared" si="243"/>
        <v>213225</v>
      </c>
      <c r="G719" s="23">
        <v>-516625</v>
      </c>
      <c r="J719" s="27" t="s">
        <v>93</v>
      </c>
      <c r="K719" s="23">
        <v>-13162</v>
      </c>
      <c r="L719" s="20">
        <v>75465</v>
      </c>
      <c r="M719" s="23">
        <f t="shared" si="246"/>
        <v>62303</v>
      </c>
      <c r="N719" s="23">
        <v>6727.5</v>
      </c>
      <c r="O719" s="23">
        <f t="shared" si="244"/>
        <v>55575.5</v>
      </c>
      <c r="P719" s="23">
        <v>-444600</v>
      </c>
    </row>
    <row r="720" spans="1:16" ht="15.75" x14ac:dyDescent="0.25">
      <c r="A720" s="27" t="s">
        <v>93</v>
      </c>
      <c r="B720" s="23">
        <v>18135</v>
      </c>
      <c r="C720" s="20">
        <v>0</v>
      </c>
      <c r="D720" s="23">
        <f t="shared" si="245"/>
        <v>18135</v>
      </c>
      <c r="E720" s="23">
        <v>0</v>
      </c>
      <c r="F720" s="23">
        <f t="shared" si="243"/>
        <v>18135</v>
      </c>
      <c r="G720" s="23">
        <v>-567742.5</v>
      </c>
      <c r="J720" s="21" t="s">
        <v>107</v>
      </c>
      <c r="K720" s="22">
        <f t="shared" ref="K720:P720" si="247">SUM(K708:K719)</f>
        <v>-124160</v>
      </c>
      <c r="L720" s="18">
        <f t="shared" si="247"/>
        <v>458323.75</v>
      </c>
      <c r="M720" s="22">
        <f t="shared" si="247"/>
        <v>334163.75</v>
      </c>
      <c r="N720" s="18">
        <f t="shared" si="247"/>
        <v>168917.5</v>
      </c>
      <c r="O720" s="21">
        <f t="shared" si="247"/>
        <v>165246.25</v>
      </c>
      <c r="P720" s="17">
        <f t="shared" si="247"/>
        <v>-3331470</v>
      </c>
    </row>
    <row r="721" spans="1:16" ht="15.75" x14ac:dyDescent="0.25">
      <c r="A721" s="21" t="s">
        <v>107</v>
      </c>
      <c r="B721" s="22">
        <f t="shared" ref="B721:G721" si="248">SUM(B708:B720)</f>
        <v>85915</v>
      </c>
      <c r="C721" s="18">
        <f t="shared" si="248"/>
        <v>777063.75</v>
      </c>
      <c r="D721" s="22">
        <f t="shared" si="248"/>
        <v>862978.75</v>
      </c>
      <c r="E721" s="18">
        <f t="shared" si="248"/>
        <v>63005</v>
      </c>
      <c r="F721" s="21">
        <f t="shared" si="248"/>
        <v>799973.75</v>
      </c>
      <c r="G721" s="17">
        <f t="shared" si="248"/>
        <v>-5643553.75</v>
      </c>
    </row>
    <row r="723" spans="1:16" ht="15.75" x14ac:dyDescent="0.25">
      <c r="B723" s="28">
        <v>44995</v>
      </c>
      <c r="C723" s="29">
        <v>13</v>
      </c>
      <c r="D723">
        <v>14</v>
      </c>
      <c r="E723" s="30">
        <v>15</v>
      </c>
      <c r="F723">
        <v>16</v>
      </c>
      <c r="J723" s="106">
        <v>44978</v>
      </c>
      <c r="K723" s="106"/>
      <c r="L723" s="106"/>
      <c r="M723" s="106"/>
      <c r="N723" s="106"/>
      <c r="O723" s="106"/>
      <c r="P723" s="106"/>
    </row>
    <row r="724" spans="1:16" ht="15.75" x14ac:dyDescent="0.25">
      <c r="A724" t="s">
        <v>71</v>
      </c>
      <c r="B724">
        <v>-6300</v>
      </c>
      <c r="C724">
        <v>1575.0000000000073</v>
      </c>
      <c r="D724">
        <v>22924.999999999993</v>
      </c>
      <c r="E724">
        <v>29750</v>
      </c>
      <c r="F724">
        <v>12950</v>
      </c>
      <c r="G724">
        <f>SUM(B724:F724)</f>
        <v>60900</v>
      </c>
      <c r="H724">
        <f>-47425+8050+7875-25900-22225+11375+66850+62300</f>
        <v>60900</v>
      </c>
      <c r="J724" s="22" t="s">
        <v>34</v>
      </c>
      <c r="K724" s="22" t="s">
        <v>104</v>
      </c>
      <c r="L724" s="22" t="s">
        <v>105</v>
      </c>
      <c r="M724" s="22" t="s">
        <v>112</v>
      </c>
      <c r="N724" s="22" t="s">
        <v>106</v>
      </c>
      <c r="O724" s="21" t="s">
        <v>108</v>
      </c>
      <c r="P724" s="21" t="s">
        <v>28</v>
      </c>
    </row>
    <row r="725" spans="1:16" ht="15.75" x14ac:dyDescent="0.25">
      <c r="A725" t="s">
        <v>94</v>
      </c>
      <c r="B725">
        <v>720</v>
      </c>
      <c r="C725">
        <v>12600</v>
      </c>
      <c r="D725">
        <v>-124110</v>
      </c>
      <c r="E725">
        <v>77220</v>
      </c>
      <c r="F725">
        <v>8730</v>
      </c>
      <c r="G725">
        <f t="shared" ref="G725:G736" si="249">SUM(B725:F725)</f>
        <v>-24840</v>
      </c>
      <c r="H725">
        <f>-413460+6750-4500-36180-2700+810+8100+71820+78840+125460+140220</f>
        <v>-24840</v>
      </c>
      <c r="J725" s="27" t="s">
        <v>65</v>
      </c>
      <c r="K725" s="23">
        <v>-146347</v>
      </c>
      <c r="L725" s="20">
        <v>-87603.749999999971</v>
      </c>
      <c r="M725" s="23">
        <f>+L725+K725</f>
        <v>-233950.74999999997</v>
      </c>
      <c r="N725" s="23">
        <v>47823.75</v>
      </c>
      <c r="O725" s="23">
        <f t="shared" ref="O725:O735" si="250">+K725+L725-N725</f>
        <v>-281774.5</v>
      </c>
      <c r="P725" s="23">
        <v>0</v>
      </c>
    </row>
    <row r="726" spans="1:16" ht="15.75" x14ac:dyDescent="0.25">
      <c r="A726" t="s">
        <v>58</v>
      </c>
      <c r="B726">
        <v>-6400</v>
      </c>
      <c r="C726">
        <v>16000</v>
      </c>
      <c r="D726">
        <v>8200</v>
      </c>
      <c r="E726">
        <v>86800</v>
      </c>
      <c r="F726">
        <v>12000</v>
      </c>
      <c r="G726">
        <f t="shared" si="249"/>
        <v>116600</v>
      </c>
      <c r="H726">
        <f>-232400+10000-18000-98800-4400+26000-75400+116800+16000+99600</f>
        <v>-160600</v>
      </c>
      <c r="J726" s="27" t="s">
        <v>90</v>
      </c>
      <c r="K726" s="23">
        <v>-47680</v>
      </c>
      <c r="L726" s="20">
        <v>16800.000000000007</v>
      </c>
      <c r="M726" s="23">
        <f t="shared" ref="M726:M735" si="251">+L726+K726</f>
        <v>-30879.999999999993</v>
      </c>
      <c r="N726" s="23">
        <v>1840</v>
      </c>
      <c r="O726" s="23">
        <f t="shared" si="250"/>
        <v>-32719.999999999993</v>
      </c>
      <c r="P726" s="23">
        <v>0</v>
      </c>
    </row>
    <row r="727" spans="1:16" ht="15.75" x14ac:dyDescent="0.25">
      <c r="A727" t="s">
        <v>116</v>
      </c>
      <c r="B727">
        <v>-14767</v>
      </c>
      <c r="C727">
        <v>-35745</v>
      </c>
      <c r="D727">
        <v>56565</v>
      </c>
      <c r="E727">
        <v>5670</v>
      </c>
      <c r="F727">
        <v>-11580</v>
      </c>
      <c r="G727">
        <f t="shared" si="249"/>
        <v>143</v>
      </c>
      <c r="J727" s="27" t="s">
        <v>83</v>
      </c>
      <c r="K727" s="23">
        <v>168480</v>
      </c>
      <c r="L727" s="20">
        <v>-295380</v>
      </c>
      <c r="M727" s="23">
        <f t="shared" si="251"/>
        <v>-126900</v>
      </c>
      <c r="N727" s="23">
        <v>540</v>
      </c>
      <c r="O727" s="23">
        <f t="shared" si="250"/>
        <v>-127440</v>
      </c>
      <c r="P727" s="23">
        <v>0</v>
      </c>
    </row>
    <row r="728" spans="1:16" ht="15.75" x14ac:dyDescent="0.25">
      <c r="A728" t="s">
        <v>89</v>
      </c>
      <c r="B728">
        <v>1595</v>
      </c>
      <c r="C728">
        <v>-435</v>
      </c>
      <c r="D728">
        <v>-40745</v>
      </c>
      <c r="E728">
        <v>36830</v>
      </c>
      <c r="F728">
        <v>6815</v>
      </c>
      <c r="G728">
        <f t="shared" si="249"/>
        <v>4060</v>
      </c>
      <c r="J728" s="27" t="s">
        <v>59</v>
      </c>
      <c r="K728" s="23">
        <v>-16693</v>
      </c>
      <c r="L728" s="20">
        <v>123918.75</v>
      </c>
      <c r="M728" s="23">
        <f t="shared" si="251"/>
        <v>107225.75</v>
      </c>
      <c r="N728" s="23">
        <v>5131.25</v>
      </c>
      <c r="O728" s="23">
        <f t="shared" si="250"/>
        <v>102094.5</v>
      </c>
      <c r="P728" s="23">
        <v>0</v>
      </c>
    </row>
    <row r="729" spans="1:16" ht="15.75" x14ac:dyDescent="0.25">
      <c r="A729" t="s">
        <v>75</v>
      </c>
      <c r="B729">
        <v>4500</v>
      </c>
      <c r="C729">
        <v>-25600</v>
      </c>
      <c r="D729">
        <v>35400</v>
      </c>
      <c r="E729">
        <v>36200</v>
      </c>
      <c r="F729">
        <v>-200</v>
      </c>
      <c r="G729">
        <f t="shared" si="249"/>
        <v>50300</v>
      </c>
      <c r="J729" s="27" t="s">
        <v>77</v>
      </c>
      <c r="K729" s="23">
        <v>-64432</v>
      </c>
      <c r="L729" s="20">
        <v>135600</v>
      </c>
      <c r="M729" s="23">
        <f t="shared" si="251"/>
        <v>71168</v>
      </c>
      <c r="N729" s="23">
        <v>31575</v>
      </c>
      <c r="O729" s="23">
        <f t="shared" si="250"/>
        <v>39593</v>
      </c>
      <c r="P729" s="23">
        <v>0</v>
      </c>
    </row>
    <row r="730" spans="1:16" ht="15.75" x14ac:dyDescent="0.25">
      <c r="A730" t="s">
        <v>62</v>
      </c>
      <c r="B730">
        <v>-5450</v>
      </c>
      <c r="C730">
        <v>-28049.5</v>
      </c>
      <c r="D730">
        <v>36100</v>
      </c>
      <c r="E730">
        <v>-18174.5</v>
      </c>
      <c r="F730">
        <v>11700</v>
      </c>
      <c r="G730">
        <f t="shared" si="249"/>
        <v>-3874</v>
      </c>
      <c r="J730" s="27" t="s">
        <v>84</v>
      </c>
      <c r="K730" s="23">
        <v>17325</v>
      </c>
      <c r="L730" s="20">
        <v>-48180</v>
      </c>
      <c r="M730" s="23">
        <f t="shared" si="251"/>
        <v>-30855</v>
      </c>
      <c r="N730" s="23">
        <v>15840</v>
      </c>
      <c r="O730" s="23">
        <f t="shared" si="250"/>
        <v>-46695</v>
      </c>
      <c r="P730" s="23">
        <v>0</v>
      </c>
    </row>
    <row r="731" spans="1:16" ht="15.75" x14ac:dyDescent="0.25">
      <c r="A731" t="s">
        <v>95</v>
      </c>
      <c r="B731">
        <v>3520</v>
      </c>
      <c r="C731">
        <v>35082.85</v>
      </c>
      <c r="D731">
        <v>14040.95</v>
      </c>
      <c r="E731">
        <v>-47394.75</v>
      </c>
      <c r="F731">
        <v>13919.4</v>
      </c>
      <c r="G731">
        <f t="shared" si="249"/>
        <v>19168.450000000004</v>
      </c>
      <c r="J731" s="27" t="s">
        <v>80</v>
      </c>
      <c r="K731" s="23">
        <v>-40200</v>
      </c>
      <c r="L731" s="20">
        <v>-59599.999999999978</v>
      </c>
      <c r="M731" s="23">
        <f t="shared" si="251"/>
        <v>-99799.999999999971</v>
      </c>
      <c r="N731" s="23">
        <v>26400</v>
      </c>
      <c r="O731" s="23">
        <f t="shared" si="250"/>
        <v>-126199.99999999997</v>
      </c>
      <c r="P731" s="23">
        <v>0</v>
      </c>
    </row>
    <row r="732" spans="1:16" ht="15.75" x14ac:dyDescent="0.25">
      <c r="A732" t="s">
        <v>102</v>
      </c>
      <c r="B732">
        <v>-3776</v>
      </c>
      <c r="C732">
        <v>-17029.000000000015</v>
      </c>
      <c r="D732">
        <v>-17670</v>
      </c>
      <c r="E732">
        <v>20306.25</v>
      </c>
      <c r="F732">
        <v>-10402.5</v>
      </c>
      <c r="G732">
        <f t="shared" si="249"/>
        <v>-28571.250000000015</v>
      </c>
      <c r="J732" s="27" t="s">
        <v>42</v>
      </c>
      <c r="K732" s="23">
        <v>30975</v>
      </c>
      <c r="L732" s="20">
        <v>-61650</v>
      </c>
      <c r="M732" s="23">
        <f t="shared" si="251"/>
        <v>-30675</v>
      </c>
      <c r="N732" s="23">
        <v>38175</v>
      </c>
      <c r="O732" s="23">
        <f t="shared" si="250"/>
        <v>-68850</v>
      </c>
      <c r="P732" s="23">
        <v>0</v>
      </c>
    </row>
    <row r="733" spans="1:16" ht="15.75" x14ac:dyDescent="0.25">
      <c r="A733" t="s">
        <v>73</v>
      </c>
      <c r="B733">
        <v>-15852</v>
      </c>
      <c r="C733">
        <v>36549.5</v>
      </c>
      <c r="D733">
        <v>-32512</v>
      </c>
      <c r="E733">
        <v>30940</v>
      </c>
      <c r="F733">
        <v>26520</v>
      </c>
      <c r="G733">
        <f t="shared" si="249"/>
        <v>45645.5</v>
      </c>
      <c r="J733" s="27" t="s">
        <v>43</v>
      </c>
      <c r="K733" s="23">
        <v>-138687</v>
      </c>
      <c r="L733" s="20">
        <v>154125</v>
      </c>
      <c r="M733" s="23">
        <f t="shared" si="251"/>
        <v>15438</v>
      </c>
      <c r="N733" s="23">
        <v>-9250</v>
      </c>
      <c r="O733" s="23">
        <f t="shared" si="250"/>
        <v>24688</v>
      </c>
      <c r="P733" s="23">
        <v>0</v>
      </c>
    </row>
    <row r="734" spans="1:16" ht="15.75" x14ac:dyDescent="0.25">
      <c r="A734" t="s">
        <v>92</v>
      </c>
      <c r="B734">
        <v>-2400</v>
      </c>
      <c r="C734">
        <v>-1399.9999999999927</v>
      </c>
      <c r="D734">
        <v>-40200</v>
      </c>
      <c r="E734">
        <v>58500</v>
      </c>
      <c r="F734">
        <v>6500</v>
      </c>
      <c r="G734">
        <f t="shared" si="249"/>
        <v>21000.000000000007</v>
      </c>
      <c r="J734" s="27" t="s">
        <v>17</v>
      </c>
      <c r="K734" s="23">
        <v>88693</v>
      </c>
      <c r="L734" s="20">
        <v>-66825</v>
      </c>
      <c r="M734" s="23">
        <f t="shared" si="251"/>
        <v>21868</v>
      </c>
      <c r="N734" s="23">
        <v>-22425</v>
      </c>
      <c r="O734" s="23">
        <f t="shared" si="250"/>
        <v>44293</v>
      </c>
      <c r="P734" s="23">
        <v>0</v>
      </c>
    </row>
    <row r="735" spans="1:16" ht="15.75" x14ac:dyDescent="0.25">
      <c r="A735" t="s">
        <v>54</v>
      </c>
      <c r="B735">
        <v>-5450</v>
      </c>
      <c r="C735">
        <v>13800</v>
      </c>
      <c r="D735">
        <v>-400</v>
      </c>
      <c r="E735">
        <v>82300</v>
      </c>
      <c r="F735">
        <v>-18150</v>
      </c>
      <c r="G735">
        <f t="shared" si="249"/>
        <v>72100</v>
      </c>
      <c r="H735">
        <f>50450+28750-5100+13700-2500-60200+16950+30050</f>
        <v>72100</v>
      </c>
      <c r="J735" s="27" t="s">
        <v>93</v>
      </c>
      <c r="K735" s="23">
        <v>70492</v>
      </c>
      <c r="L735" s="20">
        <v>-209430.00000000003</v>
      </c>
      <c r="M735" s="23">
        <f t="shared" si="251"/>
        <v>-138938.00000000003</v>
      </c>
      <c r="N735" s="23">
        <v>12285</v>
      </c>
      <c r="O735" s="23">
        <f t="shared" si="250"/>
        <v>-151223.00000000003</v>
      </c>
      <c r="P735" s="23">
        <v>0</v>
      </c>
    </row>
    <row r="736" spans="1:16" ht="15.75" x14ac:dyDescent="0.25">
      <c r="A736" t="s">
        <v>78</v>
      </c>
      <c r="B736">
        <v>-11487</v>
      </c>
      <c r="C736">
        <v>-28443</v>
      </c>
      <c r="D736">
        <v>20043.75</v>
      </c>
      <c r="E736">
        <v>32319</v>
      </c>
      <c r="F736">
        <v>11462.5</v>
      </c>
      <c r="G736">
        <f t="shared" si="249"/>
        <v>23895.25</v>
      </c>
      <c r="H736">
        <f>-151418-87-21387-20531-7487+41243+101312+82250</f>
        <v>23895</v>
      </c>
      <c r="J736" s="21" t="s">
        <v>107</v>
      </c>
      <c r="K736" s="22">
        <f t="shared" ref="K736:P736" si="252">SUM(K725:K735)</f>
        <v>-78074</v>
      </c>
      <c r="L736" s="18">
        <f t="shared" si="252"/>
        <v>-398225</v>
      </c>
      <c r="M736" s="22">
        <f t="shared" si="252"/>
        <v>-476298.99999999988</v>
      </c>
      <c r="N736" s="18">
        <f t="shared" si="252"/>
        <v>147935</v>
      </c>
      <c r="O736" s="21">
        <f t="shared" si="252"/>
        <v>-624234</v>
      </c>
      <c r="P736" s="17">
        <f t="shared" si="252"/>
        <v>0</v>
      </c>
    </row>
    <row r="737" spans="1:18" x14ac:dyDescent="0.25">
      <c r="G737">
        <f>SUM(G724:G736)</f>
        <v>356526.95</v>
      </c>
    </row>
    <row r="740" spans="1:18" x14ac:dyDescent="0.25">
      <c r="A740" s="143" t="s">
        <v>118</v>
      </c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</row>
    <row r="741" spans="1:18" x14ac:dyDescent="0.25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</row>
    <row r="742" spans="1:18" x14ac:dyDescent="0.25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</row>
    <row r="743" spans="1:18" x14ac:dyDescent="0.25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</row>
    <row r="744" spans="1:18" ht="15.75" x14ac:dyDescent="0.25">
      <c r="A744" s="106">
        <v>44995</v>
      </c>
      <c r="B744" s="106"/>
      <c r="C744" s="106"/>
      <c r="D744" s="106"/>
      <c r="E744" s="106"/>
      <c r="F744" s="106"/>
      <c r="G744" s="106"/>
      <c r="J744" s="106">
        <v>44998</v>
      </c>
      <c r="K744" s="106"/>
      <c r="L744" s="106"/>
      <c r="M744" s="106"/>
      <c r="N744" s="106"/>
      <c r="O744" s="106"/>
      <c r="P744" s="106"/>
    </row>
    <row r="745" spans="1:18" ht="15.75" x14ac:dyDescent="0.25">
      <c r="A745" s="22" t="s">
        <v>34</v>
      </c>
      <c r="B745" s="22" t="s">
        <v>104</v>
      </c>
      <c r="C745" s="22" t="s">
        <v>105</v>
      </c>
      <c r="D745" s="22" t="s">
        <v>112</v>
      </c>
      <c r="E745" s="22" t="s">
        <v>106</v>
      </c>
      <c r="F745" s="21" t="s">
        <v>108</v>
      </c>
      <c r="G745" s="21" t="s">
        <v>28</v>
      </c>
      <c r="J745" s="22" t="s">
        <v>34</v>
      </c>
      <c r="K745" s="22" t="s">
        <v>104</v>
      </c>
      <c r="L745" s="22" t="s">
        <v>105</v>
      </c>
      <c r="M745" s="22" t="s">
        <v>112</v>
      </c>
      <c r="N745" s="22" t="s">
        <v>106</v>
      </c>
      <c r="O745" s="21" t="s">
        <v>108</v>
      </c>
      <c r="P745" s="21" t="s">
        <v>28</v>
      </c>
    </row>
    <row r="746" spans="1:18" ht="15.75" x14ac:dyDescent="0.25">
      <c r="A746" s="27" t="s">
        <v>71</v>
      </c>
      <c r="B746" s="23">
        <v>-6300</v>
      </c>
      <c r="C746" s="20">
        <v>0</v>
      </c>
      <c r="D746" s="23">
        <f>+C746+B746</f>
        <v>-6300</v>
      </c>
      <c r="E746" s="23">
        <v>0</v>
      </c>
      <c r="F746" s="23">
        <f t="shared" ref="F746:F758" si="253">+B746+C746-E746</f>
        <v>-6300</v>
      </c>
      <c r="G746" s="23">
        <v>-245525</v>
      </c>
      <c r="J746" s="27" t="s">
        <v>71</v>
      </c>
      <c r="K746" s="23">
        <v>-20825</v>
      </c>
      <c r="L746" s="20">
        <v>25025.000000000007</v>
      </c>
      <c r="M746" s="23">
        <f>+L746+K746</f>
        <v>4200.0000000000073</v>
      </c>
      <c r="N746" s="23">
        <v>2625</v>
      </c>
      <c r="O746" s="23">
        <f t="shared" ref="O746:O758" si="254">+K746+L746-N746</f>
        <v>1575.0000000000073</v>
      </c>
      <c r="P746" s="23">
        <v>-305900</v>
      </c>
    </row>
    <row r="747" spans="1:18" ht="15.75" x14ac:dyDescent="0.25">
      <c r="A747" s="27" t="s">
        <v>94</v>
      </c>
      <c r="B747" s="23">
        <v>720</v>
      </c>
      <c r="C747" s="20">
        <v>0</v>
      </c>
      <c r="D747" s="23">
        <f t="shared" ref="D747:D758" si="255">+C747+B747</f>
        <v>720</v>
      </c>
      <c r="E747" s="23">
        <v>0</v>
      </c>
      <c r="F747" s="23">
        <f t="shared" si="253"/>
        <v>720</v>
      </c>
      <c r="G747" s="23">
        <v>-308610</v>
      </c>
      <c r="J747" s="27" t="s">
        <v>94</v>
      </c>
      <c r="K747" s="23">
        <v>7380</v>
      </c>
      <c r="L747" s="20">
        <v>8820</v>
      </c>
      <c r="M747" s="23">
        <f t="shared" ref="M747:M758" si="256">+L747+K747</f>
        <v>16200</v>
      </c>
      <c r="N747" s="23">
        <v>3600</v>
      </c>
      <c r="O747" s="23">
        <f t="shared" si="254"/>
        <v>12600</v>
      </c>
      <c r="P747" s="23">
        <v>-257490</v>
      </c>
    </row>
    <row r="748" spans="1:18" ht="15.75" x14ac:dyDescent="0.25">
      <c r="A748" s="27" t="s">
        <v>58</v>
      </c>
      <c r="B748" s="23">
        <v>-6400</v>
      </c>
      <c r="C748" s="20">
        <v>0</v>
      </c>
      <c r="D748" s="23">
        <f t="shared" si="255"/>
        <v>-6400</v>
      </c>
      <c r="E748" s="23">
        <v>0</v>
      </c>
      <c r="F748" s="23">
        <f t="shared" si="253"/>
        <v>-6400</v>
      </c>
      <c r="G748" s="23">
        <v>-281600</v>
      </c>
      <c r="J748" s="27" t="s">
        <v>58</v>
      </c>
      <c r="K748" s="23">
        <v>10800</v>
      </c>
      <c r="L748" s="20">
        <v>-4600</v>
      </c>
      <c r="M748" s="23">
        <f t="shared" si="256"/>
        <v>6200</v>
      </c>
      <c r="N748" s="23">
        <v>-9800</v>
      </c>
      <c r="O748" s="23">
        <f t="shared" si="254"/>
        <v>16000</v>
      </c>
      <c r="P748" s="23">
        <v>-287000</v>
      </c>
    </row>
    <row r="749" spans="1:18" ht="15.75" x14ac:dyDescent="0.25">
      <c r="A749" s="27" t="s">
        <v>116</v>
      </c>
      <c r="B749" s="23">
        <v>-14767</v>
      </c>
      <c r="C749" s="20">
        <v>0</v>
      </c>
      <c r="D749" s="23">
        <f t="shared" si="255"/>
        <v>-14767</v>
      </c>
      <c r="E749" s="23">
        <v>0</v>
      </c>
      <c r="F749" s="23">
        <f t="shared" si="253"/>
        <v>-14767</v>
      </c>
      <c r="G749" s="23">
        <v>-264000</v>
      </c>
      <c r="J749" s="27" t="s">
        <v>116</v>
      </c>
      <c r="K749" s="23">
        <v>-22170</v>
      </c>
      <c r="L749" s="20">
        <v>-22267.5</v>
      </c>
      <c r="M749" s="23">
        <f t="shared" si="256"/>
        <v>-44437.5</v>
      </c>
      <c r="N749" s="23">
        <v>-8692.5</v>
      </c>
      <c r="O749" s="23">
        <f t="shared" si="254"/>
        <v>-35745</v>
      </c>
      <c r="P749" s="23">
        <v>-341460</v>
      </c>
    </row>
    <row r="750" spans="1:18" ht="15.75" x14ac:dyDescent="0.25">
      <c r="A750" s="27" t="s">
        <v>89</v>
      </c>
      <c r="B750" s="23">
        <v>1595</v>
      </c>
      <c r="C750" s="20">
        <v>0</v>
      </c>
      <c r="D750" s="23">
        <f t="shared" si="255"/>
        <v>1595</v>
      </c>
      <c r="E750" s="23">
        <v>0</v>
      </c>
      <c r="F750" s="23">
        <f t="shared" si="253"/>
        <v>1595</v>
      </c>
      <c r="G750" s="23">
        <v>-214890</v>
      </c>
      <c r="J750" s="27" t="s">
        <v>89</v>
      </c>
      <c r="K750" s="23">
        <v>18705</v>
      </c>
      <c r="L750" s="20">
        <v>-17400</v>
      </c>
      <c r="M750" s="23">
        <f t="shared" si="256"/>
        <v>1305</v>
      </c>
      <c r="N750" s="23">
        <v>1740</v>
      </c>
      <c r="O750" s="23">
        <f t="shared" si="254"/>
        <v>-435</v>
      </c>
      <c r="P750" s="23">
        <v>-292030</v>
      </c>
    </row>
    <row r="751" spans="1:18" ht="15.75" x14ac:dyDescent="0.25">
      <c r="A751" s="27" t="s">
        <v>75</v>
      </c>
      <c r="B751" s="23">
        <v>4500</v>
      </c>
      <c r="C751" s="20">
        <v>0</v>
      </c>
      <c r="D751" s="23">
        <f t="shared" si="255"/>
        <v>4500</v>
      </c>
      <c r="E751" s="23">
        <v>0</v>
      </c>
      <c r="F751" s="23">
        <f t="shared" si="253"/>
        <v>4500</v>
      </c>
      <c r="G751" s="23">
        <v>-233100</v>
      </c>
      <c r="J751" s="27" t="s">
        <v>75</v>
      </c>
      <c r="K751" s="23">
        <v>-17500</v>
      </c>
      <c r="L751" s="20">
        <v>-8300</v>
      </c>
      <c r="M751" s="23">
        <f t="shared" si="256"/>
        <v>-25800</v>
      </c>
      <c r="N751" s="23">
        <v>-200</v>
      </c>
      <c r="O751" s="23">
        <f t="shared" si="254"/>
        <v>-25600</v>
      </c>
      <c r="P751" s="23">
        <v>-312600</v>
      </c>
    </row>
    <row r="752" spans="1:18" ht="15.75" x14ac:dyDescent="0.25">
      <c r="A752" s="27" t="s">
        <v>62</v>
      </c>
      <c r="B752" s="23">
        <v>-5450</v>
      </c>
      <c r="C752" s="20">
        <v>0</v>
      </c>
      <c r="D752" s="23">
        <f t="shared" si="255"/>
        <v>-5450</v>
      </c>
      <c r="E752" s="23">
        <v>0</v>
      </c>
      <c r="F752" s="23">
        <f t="shared" si="253"/>
        <v>-5450</v>
      </c>
      <c r="G752" s="23">
        <v>-265800</v>
      </c>
      <c r="J752" s="27" t="s">
        <v>62</v>
      </c>
      <c r="K752" s="23">
        <v>-16987</v>
      </c>
      <c r="L752" s="20">
        <v>-8875</v>
      </c>
      <c r="M752" s="23">
        <f t="shared" si="256"/>
        <v>-25862</v>
      </c>
      <c r="N752" s="23">
        <v>2187.5</v>
      </c>
      <c r="O752" s="23">
        <f t="shared" si="254"/>
        <v>-28049.5</v>
      </c>
      <c r="P752" s="23">
        <v>-303175</v>
      </c>
    </row>
    <row r="753" spans="1:24" ht="15.75" x14ac:dyDescent="0.25">
      <c r="A753" s="27" t="s">
        <v>95</v>
      </c>
      <c r="B753" s="23">
        <v>3520</v>
      </c>
      <c r="C753" s="20">
        <v>0</v>
      </c>
      <c r="D753" s="23">
        <f t="shared" si="255"/>
        <v>3520</v>
      </c>
      <c r="E753" s="23">
        <v>0</v>
      </c>
      <c r="F753" s="23">
        <f t="shared" si="253"/>
        <v>3520</v>
      </c>
      <c r="G753" s="23">
        <v>-249491</v>
      </c>
      <c r="J753" s="27" t="s">
        <v>95</v>
      </c>
      <c r="K753" s="23">
        <v>1078</v>
      </c>
      <c r="L753" s="20">
        <v>44444.4</v>
      </c>
      <c r="M753" s="23">
        <f t="shared" si="256"/>
        <v>45522.400000000001</v>
      </c>
      <c r="N753" s="23">
        <v>10439.550000000001</v>
      </c>
      <c r="O753" s="23">
        <f t="shared" si="254"/>
        <v>35082.85</v>
      </c>
      <c r="P753" s="23">
        <v>-297578.05</v>
      </c>
    </row>
    <row r="754" spans="1:24" ht="15.75" x14ac:dyDescent="0.25">
      <c r="A754" s="27" t="s">
        <v>102</v>
      </c>
      <c r="B754" s="23">
        <v>-3776</v>
      </c>
      <c r="C754" s="20">
        <v>0</v>
      </c>
      <c r="D754" s="23">
        <f t="shared" si="255"/>
        <v>-3776</v>
      </c>
      <c r="E754" s="23">
        <v>0</v>
      </c>
      <c r="F754" s="23">
        <f t="shared" si="253"/>
        <v>-3776</v>
      </c>
      <c r="G754" s="23">
        <v>-290415</v>
      </c>
      <c r="J754" s="27" t="s">
        <v>102</v>
      </c>
      <c r="K754" s="23">
        <v>36836</v>
      </c>
      <c r="L754" s="20">
        <v>-39757.500000000015</v>
      </c>
      <c r="M754" s="23">
        <f t="shared" si="256"/>
        <v>-2921.5000000000146</v>
      </c>
      <c r="N754" s="23">
        <v>14107.5</v>
      </c>
      <c r="O754" s="23">
        <f t="shared" si="254"/>
        <v>-17029.000000000015</v>
      </c>
      <c r="P754" s="23">
        <v>-350407.5</v>
      </c>
    </row>
    <row r="755" spans="1:24" ht="15.75" x14ac:dyDescent="0.25">
      <c r="A755" s="27" t="s">
        <v>73</v>
      </c>
      <c r="B755" s="23">
        <v>-15852</v>
      </c>
      <c r="C755" s="20">
        <v>0</v>
      </c>
      <c r="D755" s="23">
        <f t="shared" si="255"/>
        <v>-15852</v>
      </c>
      <c r="E755" s="23">
        <v>0</v>
      </c>
      <c r="F755" s="23">
        <f t="shared" si="253"/>
        <v>-15852</v>
      </c>
      <c r="G755" s="23">
        <v>-297032.5</v>
      </c>
      <c r="J755" s="27" t="s">
        <v>73</v>
      </c>
      <c r="K755" s="23">
        <v>977</v>
      </c>
      <c r="L755" s="20">
        <v>23630</v>
      </c>
      <c r="M755" s="23">
        <f t="shared" si="256"/>
        <v>24607</v>
      </c>
      <c r="N755" s="23">
        <v>-11942.5</v>
      </c>
      <c r="O755" s="23">
        <f t="shared" si="254"/>
        <v>36549.5</v>
      </c>
      <c r="P755" s="23">
        <v>-299200</v>
      </c>
    </row>
    <row r="756" spans="1:24" ht="15.75" x14ac:dyDescent="0.25">
      <c r="A756" s="27" t="s">
        <v>92</v>
      </c>
      <c r="B756" s="23">
        <v>-2400</v>
      </c>
      <c r="C756" s="20">
        <v>0</v>
      </c>
      <c r="D756" s="23">
        <f t="shared" si="255"/>
        <v>-2400</v>
      </c>
      <c r="E756" s="23">
        <v>0</v>
      </c>
      <c r="F756" s="23">
        <f t="shared" si="253"/>
        <v>-2400</v>
      </c>
      <c r="G756" s="23">
        <v>-218000</v>
      </c>
      <c r="J756" s="27" t="s">
        <v>92</v>
      </c>
      <c r="K756" s="23">
        <v>-2000</v>
      </c>
      <c r="L756" s="20">
        <v>2400.0000000000073</v>
      </c>
      <c r="M756" s="23">
        <f t="shared" si="256"/>
        <v>400.00000000000728</v>
      </c>
      <c r="N756" s="23">
        <v>1800</v>
      </c>
      <c r="O756" s="23">
        <f t="shared" si="254"/>
        <v>-1399.9999999999927</v>
      </c>
      <c r="P756" s="23">
        <v>-293400</v>
      </c>
    </row>
    <row r="757" spans="1:24" ht="15.75" x14ac:dyDescent="0.25">
      <c r="A757" s="27" t="s">
        <v>54</v>
      </c>
      <c r="B757" s="23">
        <v>-5450</v>
      </c>
      <c r="C757" s="20">
        <v>0</v>
      </c>
      <c r="D757" s="23">
        <f t="shared" si="255"/>
        <v>-5450</v>
      </c>
      <c r="E757" s="23">
        <v>0</v>
      </c>
      <c r="F757" s="23">
        <f t="shared" si="253"/>
        <v>-5450</v>
      </c>
      <c r="G757" s="23">
        <v>-260200</v>
      </c>
      <c r="J757" s="27" t="s">
        <v>54</v>
      </c>
      <c r="K757" s="23">
        <v>-6600</v>
      </c>
      <c r="L757" s="20">
        <v>15800</v>
      </c>
      <c r="M757" s="23">
        <f t="shared" si="256"/>
        <v>9200</v>
      </c>
      <c r="N757" s="23">
        <v>-4600</v>
      </c>
      <c r="O757" s="23">
        <f t="shared" si="254"/>
        <v>13800</v>
      </c>
      <c r="P757" s="23">
        <v>-293400</v>
      </c>
    </row>
    <row r="758" spans="1:24" ht="15.75" x14ac:dyDescent="0.25">
      <c r="A758" s="27" t="s">
        <v>78</v>
      </c>
      <c r="B758" s="23">
        <v>-11487</v>
      </c>
      <c r="C758" s="20">
        <v>0</v>
      </c>
      <c r="D758" s="23">
        <f t="shared" si="255"/>
        <v>-11487</v>
      </c>
      <c r="E758" s="23">
        <v>0</v>
      </c>
      <c r="F758" s="23">
        <f t="shared" si="253"/>
        <v>-11487</v>
      </c>
      <c r="G758" s="23">
        <v>-305500</v>
      </c>
      <c r="J758" s="27" t="s">
        <v>78</v>
      </c>
      <c r="K758" s="23">
        <v>-33018</v>
      </c>
      <c r="L758" s="20">
        <v>5743.75</v>
      </c>
      <c r="M758" s="23">
        <f t="shared" si="256"/>
        <v>-27274.25</v>
      </c>
      <c r="N758" s="23">
        <v>1168.75</v>
      </c>
      <c r="O758" s="23">
        <f t="shared" si="254"/>
        <v>-28443</v>
      </c>
      <c r="P758" s="23">
        <v>-310550</v>
      </c>
    </row>
    <row r="759" spans="1:24" ht="15.75" x14ac:dyDescent="0.25">
      <c r="A759" s="21" t="s">
        <v>107</v>
      </c>
      <c r="B759" s="22">
        <f t="shared" ref="B759:G759" si="257">SUM(B746:B758)</f>
        <v>-61547</v>
      </c>
      <c r="C759" s="18">
        <f t="shared" si="257"/>
        <v>0</v>
      </c>
      <c r="D759" s="22">
        <f t="shared" si="257"/>
        <v>-61547</v>
      </c>
      <c r="E759" s="18">
        <f t="shared" si="257"/>
        <v>0</v>
      </c>
      <c r="F759" s="21">
        <f t="shared" si="257"/>
        <v>-61547</v>
      </c>
      <c r="G759" s="17">
        <f t="shared" si="257"/>
        <v>-3434163.5</v>
      </c>
      <c r="J759" s="21" t="s">
        <v>107</v>
      </c>
      <c r="K759" s="22">
        <f t="shared" ref="K759:P759" si="258">SUM(K746:K758)</f>
        <v>-43324</v>
      </c>
      <c r="L759" s="18">
        <f t="shared" si="258"/>
        <v>24663.15</v>
      </c>
      <c r="M759" s="22">
        <f t="shared" si="258"/>
        <v>-18660.850000000006</v>
      </c>
      <c r="N759" s="18">
        <f t="shared" si="258"/>
        <v>2433.3000000000011</v>
      </c>
      <c r="O759" s="21">
        <f t="shared" si="258"/>
        <v>-21094.15</v>
      </c>
      <c r="P759" s="17">
        <f t="shared" si="258"/>
        <v>-3944190.55</v>
      </c>
    </row>
    <row r="762" spans="1:24" ht="15.75" x14ac:dyDescent="0.25">
      <c r="A762" s="106">
        <v>44999</v>
      </c>
      <c r="B762" s="106"/>
      <c r="C762" s="106"/>
      <c r="D762" s="106"/>
      <c r="E762" s="106"/>
      <c r="F762" s="106"/>
      <c r="G762" s="106"/>
      <c r="J762" s="106">
        <v>45000</v>
      </c>
      <c r="K762" s="106"/>
      <c r="L762" s="106"/>
      <c r="M762" s="106"/>
      <c r="N762" s="106"/>
      <c r="O762" s="106"/>
      <c r="P762" s="106"/>
      <c r="R762" s="106">
        <v>45001</v>
      </c>
      <c r="S762" s="106"/>
      <c r="T762" s="106"/>
      <c r="U762" s="106"/>
      <c r="V762" s="106"/>
      <c r="W762" s="106"/>
      <c r="X762" s="106"/>
    </row>
    <row r="763" spans="1:24" ht="15.75" x14ac:dyDescent="0.25">
      <c r="A763" s="22" t="s">
        <v>34</v>
      </c>
      <c r="B763" s="22" t="s">
        <v>104</v>
      </c>
      <c r="C763" s="22" t="s">
        <v>105</v>
      </c>
      <c r="D763" s="22" t="s">
        <v>112</v>
      </c>
      <c r="E763" s="22" t="s">
        <v>106</v>
      </c>
      <c r="F763" s="21" t="s">
        <v>108</v>
      </c>
      <c r="G763" s="21" t="s">
        <v>28</v>
      </c>
      <c r="J763" s="22" t="s">
        <v>34</v>
      </c>
      <c r="K763" s="22" t="s">
        <v>104</v>
      </c>
      <c r="L763" s="22" t="s">
        <v>105</v>
      </c>
      <c r="M763" s="22" t="s">
        <v>112</v>
      </c>
      <c r="N763" s="22" t="s">
        <v>106</v>
      </c>
      <c r="O763" s="21" t="s">
        <v>108</v>
      </c>
      <c r="P763" s="21" t="s">
        <v>28</v>
      </c>
      <c r="R763" s="22" t="s">
        <v>34</v>
      </c>
      <c r="S763" s="22" t="s">
        <v>104</v>
      </c>
      <c r="T763" s="22" t="s">
        <v>105</v>
      </c>
      <c r="U763" s="22" t="s">
        <v>112</v>
      </c>
      <c r="V763" s="22" t="s">
        <v>106</v>
      </c>
      <c r="W763" s="21" t="s">
        <v>108</v>
      </c>
      <c r="X763" s="21" t="s">
        <v>28</v>
      </c>
    </row>
    <row r="764" spans="1:24" ht="15.75" x14ac:dyDescent="0.25">
      <c r="A764" s="27" t="s">
        <v>71</v>
      </c>
      <c r="B764" s="23">
        <v>-31675</v>
      </c>
      <c r="C764" s="20">
        <v>53549.999999999993</v>
      </c>
      <c r="D764" s="23">
        <f>+C764+B764</f>
        <v>21874.999999999993</v>
      </c>
      <c r="E764" s="7">
        <v>-1050</v>
      </c>
      <c r="F764" s="23">
        <f t="shared" ref="F764:F776" si="259">+B764+C764-E764</f>
        <v>22924.999999999993</v>
      </c>
      <c r="G764" s="23">
        <v>-444500</v>
      </c>
      <c r="J764" s="27" t="s">
        <v>71</v>
      </c>
      <c r="K764" s="23">
        <v>-5250</v>
      </c>
      <c r="L764" s="20">
        <v>33950</v>
      </c>
      <c r="M764" s="23">
        <f>+L764+K764</f>
        <v>28700</v>
      </c>
      <c r="N764" s="7">
        <v>-1050</v>
      </c>
      <c r="O764" s="23">
        <f t="shared" ref="O764:O776" si="260">+K764+L764-N764</f>
        <v>29750</v>
      </c>
      <c r="P764" s="23">
        <v>-483000</v>
      </c>
      <c r="R764" s="27" t="s">
        <v>71</v>
      </c>
      <c r="S764" s="23">
        <v>-13650</v>
      </c>
      <c r="T764" s="20">
        <v>6650</v>
      </c>
      <c r="U764" s="23">
        <f>+T764+S764</f>
        <v>-7000</v>
      </c>
      <c r="V764" s="7">
        <v>-12950.000000000002</v>
      </c>
      <c r="W764" s="23">
        <f t="shared" ref="W764:W776" si="261">+S764+T764-V764</f>
        <v>5950.0000000000018</v>
      </c>
      <c r="X764" s="23">
        <v>-438200</v>
      </c>
    </row>
    <row r="765" spans="1:24" ht="15.75" x14ac:dyDescent="0.25">
      <c r="A765" s="27" t="s">
        <v>94</v>
      </c>
      <c r="B765" s="23">
        <v>-22320</v>
      </c>
      <c r="C765" s="20">
        <v>-60660</v>
      </c>
      <c r="D765" s="23">
        <f t="shared" ref="D765:D776" si="262">+C765+B765</f>
        <v>-82980</v>
      </c>
      <c r="E765" s="7">
        <v>41130</v>
      </c>
      <c r="F765" s="23">
        <f t="shared" si="259"/>
        <v>-124110</v>
      </c>
      <c r="G765" s="23">
        <v>-461970</v>
      </c>
      <c r="J765" s="27" t="s">
        <v>94</v>
      </c>
      <c r="K765" s="23">
        <v>-20070</v>
      </c>
      <c r="L765" s="20">
        <v>94950</v>
      </c>
      <c r="M765" s="23">
        <f t="shared" ref="M765:M776" si="263">+L765+K765</f>
        <v>74880</v>
      </c>
      <c r="N765" s="7">
        <v>-2339.9999999999982</v>
      </c>
      <c r="O765" s="23">
        <f t="shared" si="260"/>
        <v>77220</v>
      </c>
      <c r="P765" s="23">
        <v>-429120</v>
      </c>
      <c r="R765" s="27" t="s">
        <v>94</v>
      </c>
      <c r="S765" s="23">
        <v>-51750</v>
      </c>
      <c r="T765" s="20">
        <v>25020</v>
      </c>
      <c r="U765" s="23">
        <f t="shared" ref="U765:U776" si="264">+T765+S765</f>
        <v>-26730</v>
      </c>
      <c r="V765" s="7">
        <v>-8730</v>
      </c>
      <c r="W765" s="23">
        <f t="shared" si="261"/>
        <v>-18000</v>
      </c>
      <c r="X765" s="23">
        <v>-366660</v>
      </c>
    </row>
    <row r="766" spans="1:24" ht="15.75" x14ac:dyDescent="0.25">
      <c r="A766" s="27" t="s">
        <v>58</v>
      </c>
      <c r="B766" s="23">
        <v>-30600</v>
      </c>
      <c r="C766" s="20">
        <v>53800</v>
      </c>
      <c r="D766" s="23">
        <f t="shared" si="262"/>
        <v>23200</v>
      </c>
      <c r="E766" s="7">
        <v>15000</v>
      </c>
      <c r="F766" s="23">
        <f t="shared" si="259"/>
        <v>8200</v>
      </c>
      <c r="G766" s="23">
        <v>-512000</v>
      </c>
      <c r="J766" s="27" t="s">
        <v>58</v>
      </c>
      <c r="K766" s="23">
        <v>0</v>
      </c>
      <c r="L766" s="20">
        <v>99200</v>
      </c>
      <c r="M766" s="23">
        <f t="shared" si="263"/>
        <v>99200</v>
      </c>
      <c r="N766" s="7">
        <v>12400</v>
      </c>
      <c r="O766" s="23">
        <f t="shared" si="260"/>
        <v>86800</v>
      </c>
      <c r="P766" s="23">
        <v>-365200</v>
      </c>
      <c r="R766" s="27" t="s">
        <v>58</v>
      </c>
      <c r="S766" s="23">
        <v>0</v>
      </c>
      <c r="T766" s="20">
        <v>-66800</v>
      </c>
      <c r="U766" s="23">
        <f t="shared" si="264"/>
        <v>-66800</v>
      </c>
      <c r="V766" s="7">
        <v>-12000</v>
      </c>
      <c r="W766" s="23">
        <f t="shared" si="261"/>
        <v>-54800</v>
      </c>
      <c r="X766" s="23">
        <v>-412800</v>
      </c>
    </row>
    <row r="767" spans="1:24" ht="15.75" x14ac:dyDescent="0.25">
      <c r="A767" s="27" t="s">
        <v>116</v>
      </c>
      <c r="B767" s="23">
        <v>-4455</v>
      </c>
      <c r="C767" s="20">
        <v>41880</v>
      </c>
      <c r="D767" s="23">
        <f t="shared" si="262"/>
        <v>37425</v>
      </c>
      <c r="E767" s="7">
        <v>-19140.000000000004</v>
      </c>
      <c r="F767" s="23">
        <f t="shared" si="259"/>
        <v>56565</v>
      </c>
      <c r="G767" s="23">
        <v>-411810</v>
      </c>
      <c r="J767" s="27" t="s">
        <v>116</v>
      </c>
      <c r="K767" s="23">
        <v>-19905</v>
      </c>
      <c r="L767" s="20">
        <v>36300</v>
      </c>
      <c r="M767" s="23">
        <f t="shared" si="263"/>
        <v>16395</v>
      </c>
      <c r="N767" s="7">
        <v>10725</v>
      </c>
      <c r="O767" s="23">
        <f t="shared" si="260"/>
        <v>5670</v>
      </c>
      <c r="P767" s="23">
        <v>-473325</v>
      </c>
      <c r="R767" s="27" t="s">
        <v>116</v>
      </c>
      <c r="S767" s="23">
        <v>-147427</v>
      </c>
      <c r="T767" s="20">
        <v>68745</v>
      </c>
      <c r="U767" s="23">
        <f t="shared" si="264"/>
        <v>-78682</v>
      </c>
      <c r="V767" s="7">
        <v>11580</v>
      </c>
      <c r="W767" s="23">
        <f t="shared" si="261"/>
        <v>-90262</v>
      </c>
      <c r="X767" s="23">
        <v>-580710</v>
      </c>
    </row>
    <row r="768" spans="1:24" ht="15.75" x14ac:dyDescent="0.25">
      <c r="A768" s="27" t="s">
        <v>89</v>
      </c>
      <c r="B768" s="23">
        <v>-38715</v>
      </c>
      <c r="C768" s="20">
        <v>7540</v>
      </c>
      <c r="D768" s="23">
        <f t="shared" si="262"/>
        <v>-31175</v>
      </c>
      <c r="E768" s="7">
        <v>9570</v>
      </c>
      <c r="F768" s="23">
        <f t="shared" si="259"/>
        <v>-40745</v>
      </c>
      <c r="G768" s="23">
        <v>-339300</v>
      </c>
      <c r="J768" s="27" t="s">
        <v>89</v>
      </c>
      <c r="K768" s="23">
        <v>-6960</v>
      </c>
      <c r="L768" s="20">
        <v>50170</v>
      </c>
      <c r="M768" s="23">
        <f t="shared" si="263"/>
        <v>43210</v>
      </c>
      <c r="N768" s="7">
        <v>6380</v>
      </c>
      <c r="O768" s="23">
        <f t="shared" si="260"/>
        <v>36830</v>
      </c>
      <c r="P768" s="23">
        <v>-389470</v>
      </c>
      <c r="R768" s="27" t="s">
        <v>89</v>
      </c>
      <c r="S768" s="23">
        <v>-29580</v>
      </c>
      <c r="T768" s="20">
        <v>18850</v>
      </c>
      <c r="U768" s="23">
        <f t="shared" si="264"/>
        <v>-10730</v>
      </c>
      <c r="V768" s="7">
        <v>-6815</v>
      </c>
      <c r="W768" s="23">
        <f t="shared" si="261"/>
        <v>-3915</v>
      </c>
      <c r="X768" s="23">
        <v>-460810</v>
      </c>
    </row>
    <row r="769" spans="1:24" ht="15.75" x14ac:dyDescent="0.25">
      <c r="A769" s="27" t="s">
        <v>75</v>
      </c>
      <c r="B769" s="23">
        <v>-14300</v>
      </c>
      <c r="C769" s="20">
        <v>30200</v>
      </c>
      <c r="D769" s="23">
        <f t="shared" si="262"/>
        <v>15900</v>
      </c>
      <c r="E769" s="7">
        <v>-19500</v>
      </c>
      <c r="F769" s="23">
        <f t="shared" si="259"/>
        <v>35400</v>
      </c>
      <c r="G769" s="23">
        <v>-322500</v>
      </c>
      <c r="J769" s="27" t="s">
        <v>75</v>
      </c>
      <c r="K769" s="23">
        <v>-12200</v>
      </c>
      <c r="L769" s="20">
        <v>37000</v>
      </c>
      <c r="M769" s="23">
        <f t="shared" si="263"/>
        <v>24800</v>
      </c>
      <c r="N769" s="7">
        <v>-11400</v>
      </c>
      <c r="O769" s="23">
        <f t="shared" si="260"/>
        <v>36200</v>
      </c>
      <c r="P769" s="23">
        <v>-372100</v>
      </c>
      <c r="R769" s="27" t="s">
        <v>75</v>
      </c>
      <c r="S769" s="23">
        <v>-72300</v>
      </c>
      <c r="T769" s="20">
        <v>21800</v>
      </c>
      <c r="U769" s="23">
        <f t="shared" si="264"/>
        <v>-50500</v>
      </c>
      <c r="V769" s="7">
        <v>200</v>
      </c>
      <c r="W769" s="23">
        <f t="shared" si="261"/>
        <v>-50700</v>
      </c>
      <c r="X769" s="23">
        <v>-368000</v>
      </c>
    </row>
    <row r="770" spans="1:24" ht="15.75" x14ac:dyDescent="0.25">
      <c r="A770" s="27" t="s">
        <v>62</v>
      </c>
      <c r="B770" s="23">
        <v>-18375</v>
      </c>
      <c r="C770" s="20">
        <v>50800</v>
      </c>
      <c r="D770" s="23">
        <f t="shared" si="262"/>
        <v>32425</v>
      </c>
      <c r="E770" s="7">
        <v>-3675</v>
      </c>
      <c r="F770" s="23">
        <f t="shared" si="259"/>
        <v>36100</v>
      </c>
      <c r="G770" s="23">
        <v>-234300</v>
      </c>
      <c r="J770" s="27" t="s">
        <v>62</v>
      </c>
      <c r="K770" s="23">
        <v>-32012</v>
      </c>
      <c r="L770" s="20">
        <v>14000</v>
      </c>
      <c r="M770" s="23">
        <f t="shared" si="263"/>
        <v>-18012</v>
      </c>
      <c r="N770" s="7">
        <v>162.5</v>
      </c>
      <c r="O770" s="23">
        <f t="shared" si="260"/>
        <v>-18174.5</v>
      </c>
      <c r="P770" s="23">
        <v>-444500</v>
      </c>
      <c r="R770" s="27" t="s">
        <v>62</v>
      </c>
      <c r="S770" s="23">
        <f>662-35375</f>
        <v>-34713</v>
      </c>
      <c r="T770" s="20">
        <v>35087.5</v>
      </c>
      <c r="U770" s="23">
        <f t="shared" si="264"/>
        <v>374.5</v>
      </c>
      <c r="V770" s="7">
        <v>-11700</v>
      </c>
      <c r="W770" s="23">
        <f t="shared" si="261"/>
        <v>12074.5</v>
      </c>
      <c r="X770" s="23">
        <v>-534150</v>
      </c>
    </row>
    <row r="771" spans="1:24" ht="15.75" x14ac:dyDescent="0.25">
      <c r="A771" s="27" t="s">
        <v>95</v>
      </c>
      <c r="B771" s="23">
        <v>32417</v>
      </c>
      <c r="C771" s="20">
        <v>-2482.6999999999971</v>
      </c>
      <c r="D771" s="23">
        <f t="shared" si="262"/>
        <v>29934.300000000003</v>
      </c>
      <c r="E771" s="7">
        <v>15893.350000000002</v>
      </c>
      <c r="F771" s="23">
        <f t="shared" si="259"/>
        <v>14040.95</v>
      </c>
      <c r="G771" s="23">
        <v>-445441.15</v>
      </c>
      <c r="J771" s="27" t="s">
        <v>95</v>
      </c>
      <c r="K771" s="23">
        <v>-57875</v>
      </c>
      <c r="L771" s="20">
        <v>15873</v>
      </c>
      <c r="M771" s="23">
        <f t="shared" si="263"/>
        <v>-42002</v>
      </c>
      <c r="N771" s="7">
        <v>5392.75</v>
      </c>
      <c r="O771" s="23">
        <f t="shared" si="260"/>
        <v>-47394.75</v>
      </c>
      <c r="P771" s="23">
        <v>-497252.25</v>
      </c>
      <c r="R771" s="27" t="s">
        <v>95</v>
      </c>
      <c r="S771" s="23">
        <v>-23280</v>
      </c>
      <c r="T771" s="20">
        <v>-40191.25</v>
      </c>
      <c r="U771" s="23">
        <f t="shared" si="264"/>
        <v>-63471.25</v>
      </c>
      <c r="V771" s="7">
        <v>-13919.4</v>
      </c>
      <c r="W771" s="23">
        <f t="shared" si="261"/>
        <v>-49551.85</v>
      </c>
      <c r="X771" s="23">
        <v>-628611.5</v>
      </c>
    </row>
    <row r="772" spans="1:24" ht="15.75" x14ac:dyDescent="0.25">
      <c r="A772" s="27" t="s">
        <v>102</v>
      </c>
      <c r="B772" s="23">
        <v>-24795</v>
      </c>
      <c r="C772" s="20">
        <v>-2992.5</v>
      </c>
      <c r="D772" s="23">
        <f t="shared" si="262"/>
        <v>-27787.5</v>
      </c>
      <c r="E772" s="7">
        <v>-10117.5</v>
      </c>
      <c r="F772" s="23">
        <f t="shared" si="259"/>
        <v>-17670</v>
      </c>
      <c r="G772" s="23">
        <v>-415102.5</v>
      </c>
      <c r="J772" s="27" t="s">
        <v>102</v>
      </c>
      <c r="K772" s="23">
        <v>-4845</v>
      </c>
      <c r="L772" s="20">
        <v>28785</v>
      </c>
      <c r="M772" s="23">
        <f t="shared" si="263"/>
        <v>23940</v>
      </c>
      <c r="N772" s="7">
        <v>3633.75</v>
      </c>
      <c r="O772" s="23">
        <f t="shared" si="260"/>
        <v>20306.25</v>
      </c>
      <c r="P772" s="23">
        <v>-604627.5</v>
      </c>
      <c r="R772" s="27" t="s">
        <v>102</v>
      </c>
      <c r="S772" s="23">
        <v>-156108</v>
      </c>
      <c r="T772" s="20">
        <v>114570.00000000001</v>
      </c>
      <c r="U772" s="23">
        <f t="shared" si="264"/>
        <v>-41537.999999999985</v>
      </c>
      <c r="V772" s="7">
        <v>10402.5</v>
      </c>
      <c r="W772" s="23">
        <f t="shared" si="261"/>
        <v>-51940.499999999985</v>
      </c>
      <c r="X772" s="23">
        <v>-546060</v>
      </c>
    </row>
    <row r="773" spans="1:24" ht="15.75" x14ac:dyDescent="0.25">
      <c r="A773" s="27" t="s">
        <v>73</v>
      </c>
      <c r="B773" s="23">
        <v>-30302</v>
      </c>
      <c r="C773" s="20">
        <v>-8372.5</v>
      </c>
      <c r="D773" s="23">
        <f t="shared" si="262"/>
        <v>-38674.5</v>
      </c>
      <c r="E773" s="7">
        <v>-6162.5</v>
      </c>
      <c r="F773" s="23">
        <f t="shared" si="259"/>
        <v>-32512</v>
      </c>
      <c r="G773" s="23">
        <v>-450160</v>
      </c>
      <c r="J773" s="27" t="s">
        <v>73</v>
      </c>
      <c r="K773" s="23">
        <v>-33405</v>
      </c>
      <c r="L773" s="20">
        <v>71825</v>
      </c>
      <c r="M773" s="23">
        <f t="shared" si="263"/>
        <v>38420</v>
      </c>
      <c r="N773" s="7">
        <v>7480</v>
      </c>
      <c r="O773" s="23">
        <f t="shared" si="260"/>
        <v>30940</v>
      </c>
      <c r="P773" s="23">
        <v>-448502.5</v>
      </c>
      <c r="R773" s="27" t="s">
        <v>73</v>
      </c>
      <c r="S773" s="23">
        <v>-24862</v>
      </c>
      <c r="T773" s="20">
        <v>17510</v>
      </c>
      <c r="U773" s="23">
        <f t="shared" si="264"/>
        <v>-7352</v>
      </c>
      <c r="V773" s="7">
        <v>-26520</v>
      </c>
      <c r="W773" s="23">
        <f t="shared" si="261"/>
        <v>19168</v>
      </c>
      <c r="X773" s="23">
        <v>-506812.5</v>
      </c>
    </row>
    <row r="774" spans="1:24" ht="15.75" x14ac:dyDescent="0.25">
      <c r="A774" s="27" t="s">
        <v>92</v>
      </c>
      <c r="B774" s="23">
        <v>-53200</v>
      </c>
      <c r="C774" s="20">
        <v>12800</v>
      </c>
      <c r="D774" s="23">
        <f t="shared" si="262"/>
        <v>-40400</v>
      </c>
      <c r="E774" s="7">
        <v>-200</v>
      </c>
      <c r="F774" s="23">
        <f t="shared" si="259"/>
        <v>-40200</v>
      </c>
      <c r="G774" s="23">
        <v>-433000</v>
      </c>
      <c r="J774" s="27" t="s">
        <v>92</v>
      </c>
      <c r="K774" s="23">
        <v>4500</v>
      </c>
      <c r="L774" s="20">
        <v>58800</v>
      </c>
      <c r="M774" s="23">
        <f t="shared" si="263"/>
        <v>63300</v>
      </c>
      <c r="N774" s="7">
        <v>4800</v>
      </c>
      <c r="O774" s="23">
        <f t="shared" si="260"/>
        <v>58500</v>
      </c>
      <c r="P774" s="23">
        <v>-465000</v>
      </c>
      <c r="R774" s="27" t="s">
        <v>92</v>
      </c>
      <c r="S774" s="23">
        <v>-57200</v>
      </c>
      <c r="T774" s="20">
        <v>-25500.000000000015</v>
      </c>
      <c r="U774" s="23">
        <f t="shared" si="264"/>
        <v>-82700.000000000015</v>
      </c>
      <c r="V774" s="7">
        <v>-6500</v>
      </c>
      <c r="W774" s="23">
        <f t="shared" si="261"/>
        <v>-76200.000000000015</v>
      </c>
      <c r="X774" s="23">
        <v>-501000</v>
      </c>
    </row>
    <row r="775" spans="1:24" ht="15.75" x14ac:dyDescent="0.25">
      <c r="A775" s="27" t="s">
        <v>54</v>
      </c>
      <c r="B775" s="23">
        <v>-5150</v>
      </c>
      <c r="C775" s="20">
        <v>2350</v>
      </c>
      <c r="D775" s="23">
        <f t="shared" si="262"/>
        <v>-2800</v>
      </c>
      <c r="E775" s="7">
        <v>-2400</v>
      </c>
      <c r="F775" s="23">
        <f t="shared" si="259"/>
        <v>-400</v>
      </c>
      <c r="G775" s="23">
        <v>-487400</v>
      </c>
      <c r="J775" s="27" t="s">
        <v>54</v>
      </c>
      <c r="K775" s="23">
        <v>-21050</v>
      </c>
      <c r="L775" s="20">
        <v>92100</v>
      </c>
      <c r="M775" s="23">
        <f t="shared" si="263"/>
        <v>71050</v>
      </c>
      <c r="N775" s="7">
        <v>-11250</v>
      </c>
      <c r="O775" s="23">
        <f t="shared" si="260"/>
        <v>82300</v>
      </c>
      <c r="P775" s="23">
        <v>-558900</v>
      </c>
      <c r="R775" s="27" t="s">
        <v>54</v>
      </c>
      <c r="S775" s="23">
        <v>-63100</v>
      </c>
      <c r="T775" s="20">
        <v>45800</v>
      </c>
      <c r="U775" s="23">
        <f t="shared" si="264"/>
        <v>-17300</v>
      </c>
      <c r="V775" s="7">
        <v>18150</v>
      </c>
      <c r="W775" s="23">
        <f t="shared" si="261"/>
        <v>-35450</v>
      </c>
      <c r="X775" s="23">
        <v>-518600</v>
      </c>
    </row>
    <row r="776" spans="1:24" ht="15.75" x14ac:dyDescent="0.25">
      <c r="A776" s="27" t="s">
        <v>78</v>
      </c>
      <c r="B776" s="23">
        <v>950</v>
      </c>
      <c r="C776" s="20">
        <v>19918.75</v>
      </c>
      <c r="D776" s="23">
        <f t="shared" si="262"/>
        <v>20868.75</v>
      </c>
      <c r="E776" s="7">
        <v>825</v>
      </c>
      <c r="F776" s="23">
        <f t="shared" si="259"/>
        <v>20043.75</v>
      </c>
      <c r="G776" s="23">
        <v>-505150</v>
      </c>
      <c r="J776" s="27" t="s">
        <v>78</v>
      </c>
      <c r="K776" s="23">
        <v>-21281</v>
      </c>
      <c r="L776" s="20">
        <v>73775</v>
      </c>
      <c r="M776" s="23">
        <f t="shared" si="263"/>
        <v>52494</v>
      </c>
      <c r="N776" s="7">
        <v>20175</v>
      </c>
      <c r="O776" s="23">
        <f t="shared" si="260"/>
        <v>32319</v>
      </c>
      <c r="P776" s="23">
        <v>-546037.5</v>
      </c>
      <c r="R776" s="27" t="s">
        <v>78</v>
      </c>
      <c r="S776" s="23">
        <v>-30493</v>
      </c>
      <c r="T776" s="20">
        <v>51025</v>
      </c>
      <c r="U776" s="23">
        <f t="shared" si="264"/>
        <v>20532</v>
      </c>
      <c r="V776" s="7">
        <v>-11462.5</v>
      </c>
      <c r="W776" s="23">
        <f t="shared" si="261"/>
        <v>31994.5</v>
      </c>
      <c r="X776" s="23">
        <v>-548300</v>
      </c>
    </row>
    <row r="777" spans="1:24" ht="15.75" x14ac:dyDescent="0.25">
      <c r="A777" s="21" t="s">
        <v>107</v>
      </c>
      <c r="B777" s="22">
        <f t="shared" ref="B777:G777" si="265">SUM(B764:B776)</f>
        <v>-240520</v>
      </c>
      <c r="C777" s="18">
        <f t="shared" si="265"/>
        <v>198331.05</v>
      </c>
      <c r="D777" s="22">
        <f t="shared" si="265"/>
        <v>-42188.950000000004</v>
      </c>
      <c r="E777" s="18">
        <f t="shared" si="265"/>
        <v>20173.350000000006</v>
      </c>
      <c r="F777" s="21">
        <f t="shared" si="265"/>
        <v>-62362.3</v>
      </c>
      <c r="G777" s="17">
        <f t="shared" si="265"/>
        <v>-5462633.6500000004</v>
      </c>
      <c r="J777" s="21" t="s">
        <v>107</v>
      </c>
      <c r="K777" s="22">
        <f t="shared" ref="K777:P777" si="266">SUM(K764:K776)</f>
        <v>-230353</v>
      </c>
      <c r="L777" s="18">
        <f t="shared" si="266"/>
        <v>706728</v>
      </c>
      <c r="M777" s="22">
        <f t="shared" si="266"/>
        <v>476375</v>
      </c>
      <c r="N777" s="18">
        <f t="shared" si="266"/>
        <v>45109</v>
      </c>
      <c r="O777" s="21">
        <f t="shared" si="266"/>
        <v>431266</v>
      </c>
      <c r="P777" s="17">
        <f t="shared" si="266"/>
        <v>-6077034.75</v>
      </c>
      <c r="R777" s="21" t="s">
        <v>107</v>
      </c>
      <c r="S777" s="22">
        <f t="shared" ref="S777:X777" si="267">SUM(S764:S776)</f>
        <v>-704463</v>
      </c>
      <c r="T777" s="18">
        <f t="shared" si="267"/>
        <v>272566.25</v>
      </c>
      <c r="U777" s="22">
        <f t="shared" si="267"/>
        <v>-431896.75</v>
      </c>
      <c r="V777" s="18">
        <f t="shared" si="267"/>
        <v>-70264.399999999994</v>
      </c>
      <c r="W777" s="21">
        <f t="shared" si="267"/>
        <v>-361632.35</v>
      </c>
      <c r="X777" s="17">
        <f t="shared" si="267"/>
        <v>-6410714</v>
      </c>
    </row>
    <row r="782" spans="1:24" ht="15.75" x14ac:dyDescent="0.25">
      <c r="A782" s="106">
        <v>45002</v>
      </c>
      <c r="B782" s="106"/>
      <c r="C782" s="106"/>
      <c r="D782" s="106"/>
      <c r="E782" s="106"/>
      <c r="F782" s="106"/>
      <c r="G782" s="106"/>
      <c r="J782" s="106">
        <v>45005</v>
      </c>
      <c r="K782" s="106"/>
      <c r="L782" s="106"/>
      <c r="M782" s="106"/>
      <c r="N782" s="106"/>
      <c r="O782" s="106"/>
      <c r="P782" s="106"/>
      <c r="R782" s="106">
        <v>45006</v>
      </c>
      <c r="S782" s="106"/>
      <c r="T782" s="106"/>
      <c r="U782" s="106"/>
      <c r="V782" s="106"/>
      <c r="W782" s="106"/>
      <c r="X782" s="106"/>
    </row>
    <row r="783" spans="1:24" ht="15.75" x14ac:dyDescent="0.25">
      <c r="A783" s="22" t="s">
        <v>34</v>
      </c>
      <c r="B783" s="22" t="s">
        <v>104</v>
      </c>
      <c r="C783" s="22" t="s">
        <v>105</v>
      </c>
      <c r="D783" s="22" t="s">
        <v>112</v>
      </c>
      <c r="E783" s="22" t="s">
        <v>106</v>
      </c>
      <c r="F783" s="21" t="s">
        <v>108</v>
      </c>
      <c r="G783" s="21" t="s">
        <v>28</v>
      </c>
      <c r="J783" s="22" t="s">
        <v>34</v>
      </c>
      <c r="K783" s="22" t="s">
        <v>104</v>
      </c>
      <c r="L783" s="22" t="s">
        <v>105</v>
      </c>
      <c r="M783" s="22" t="s">
        <v>112</v>
      </c>
      <c r="N783" s="22" t="s">
        <v>106</v>
      </c>
      <c r="O783" s="21" t="s">
        <v>108</v>
      </c>
      <c r="P783" s="21" t="s">
        <v>28</v>
      </c>
      <c r="R783" s="22" t="s">
        <v>34</v>
      </c>
      <c r="S783" s="22" t="s">
        <v>104</v>
      </c>
      <c r="T783" s="22" t="s">
        <v>105</v>
      </c>
      <c r="U783" s="22" t="s">
        <v>112</v>
      </c>
      <c r="V783" s="22" t="s">
        <v>106</v>
      </c>
      <c r="W783" s="21" t="s">
        <v>108</v>
      </c>
      <c r="X783" s="21" t="s">
        <v>28</v>
      </c>
    </row>
    <row r="784" spans="1:24" ht="15.75" x14ac:dyDescent="0.25">
      <c r="A784" s="27" t="s">
        <v>71</v>
      </c>
      <c r="B784" s="23">
        <v>5775</v>
      </c>
      <c r="C784" s="20">
        <v>76650</v>
      </c>
      <c r="D784" s="23">
        <f>+C784+B784</f>
        <v>82425</v>
      </c>
      <c r="E784" s="7">
        <v>-700</v>
      </c>
      <c r="F784" s="23">
        <f t="shared" ref="F784:F798" si="268">+B784+C784-E784</f>
        <v>83125</v>
      </c>
      <c r="G784" s="23">
        <v>-545650</v>
      </c>
      <c r="J784" s="27" t="s">
        <v>71</v>
      </c>
      <c r="K784" s="23">
        <v>-131950</v>
      </c>
      <c r="L784" s="20">
        <v>97300</v>
      </c>
      <c r="M784" s="23">
        <f>+L784+K784</f>
        <v>-34650</v>
      </c>
      <c r="N784" s="7">
        <v>-4550</v>
      </c>
      <c r="O784" s="23">
        <f t="shared" ref="O784:O798" si="269">+K784+L784-N784</f>
        <v>-30100</v>
      </c>
      <c r="P784" s="23">
        <v>-431200</v>
      </c>
      <c r="R784" s="27" t="s">
        <v>71</v>
      </c>
      <c r="S784" s="23">
        <v>64225</v>
      </c>
      <c r="T784" s="20">
        <v>-69650</v>
      </c>
      <c r="U784" s="23">
        <f>+T784+S784</f>
        <v>-5425</v>
      </c>
      <c r="V784" s="7">
        <v>350</v>
      </c>
      <c r="W784" s="23">
        <f t="shared" ref="W784:W798" si="270">+S784+T784-V784</f>
        <v>-5775</v>
      </c>
      <c r="X784" s="23">
        <v>-426300</v>
      </c>
    </row>
    <row r="785" spans="1:24" ht="15.75" x14ac:dyDescent="0.25">
      <c r="A785" s="27" t="s">
        <v>94</v>
      </c>
      <c r="B785" s="23">
        <v>3510</v>
      </c>
      <c r="C785" s="20">
        <v>73530</v>
      </c>
      <c r="D785" s="23">
        <f t="shared" ref="D785:D798" si="271">+C785+B785</f>
        <v>77040</v>
      </c>
      <c r="E785" s="7">
        <v>-9810</v>
      </c>
      <c r="F785" s="23">
        <f t="shared" si="268"/>
        <v>86850</v>
      </c>
      <c r="G785" s="23">
        <v>-500940</v>
      </c>
      <c r="J785" s="27" t="s">
        <v>94</v>
      </c>
      <c r="K785" s="23">
        <v>-20790</v>
      </c>
      <c r="L785" s="20">
        <v>16020.000000000007</v>
      </c>
      <c r="M785" s="23">
        <f t="shared" ref="M785:M798" si="272">+L785+K785</f>
        <v>-4769.9999999999927</v>
      </c>
      <c r="N785" s="7">
        <v>19800</v>
      </c>
      <c r="O785" s="23">
        <f t="shared" si="269"/>
        <v>-24569.999999999993</v>
      </c>
      <c r="P785" s="23">
        <v>-336600</v>
      </c>
      <c r="R785" s="27" t="s">
        <v>94</v>
      </c>
      <c r="S785" s="23">
        <v>-65250</v>
      </c>
      <c r="T785" s="20">
        <v>81810</v>
      </c>
      <c r="U785" s="23">
        <f t="shared" ref="U785:U798" si="273">+T785+S785</f>
        <v>16560</v>
      </c>
      <c r="V785" s="7">
        <v>-9720</v>
      </c>
      <c r="W785" s="23">
        <f t="shared" si="270"/>
        <v>26280</v>
      </c>
      <c r="X785" s="23">
        <v>-428400</v>
      </c>
    </row>
    <row r="786" spans="1:24" ht="15.75" x14ac:dyDescent="0.25">
      <c r="A786" s="27" t="s">
        <v>58</v>
      </c>
      <c r="B786" s="23">
        <v>0</v>
      </c>
      <c r="C786" s="20">
        <v>98600</v>
      </c>
      <c r="D786" s="23">
        <f t="shared" si="271"/>
        <v>98600</v>
      </c>
      <c r="E786" s="7">
        <v>4800</v>
      </c>
      <c r="F786" s="23">
        <f t="shared" si="268"/>
        <v>93800</v>
      </c>
      <c r="G786" s="23">
        <v>-347800</v>
      </c>
      <c r="J786" s="27" t="s">
        <v>58</v>
      </c>
      <c r="K786" s="23">
        <v>0</v>
      </c>
      <c r="L786" s="20">
        <v>-102600</v>
      </c>
      <c r="M786" s="23">
        <f t="shared" si="272"/>
        <v>-102600</v>
      </c>
      <c r="N786" s="7">
        <v>-4000</v>
      </c>
      <c r="O786" s="23">
        <f t="shared" si="269"/>
        <v>-98600</v>
      </c>
      <c r="P786" s="23">
        <v>-328800</v>
      </c>
      <c r="R786" s="27" t="s">
        <v>58</v>
      </c>
      <c r="S786" s="23">
        <v>200</v>
      </c>
      <c r="T786" s="20">
        <v>243800</v>
      </c>
      <c r="U786" s="23">
        <f t="shared" si="273"/>
        <v>244000</v>
      </c>
      <c r="V786" s="7">
        <v>-9600</v>
      </c>
      <c r="W786" s="23">
        <f t="shared" si="270"/>
        <v>253600</v>
      </c>
      <c r="X786" s="23">
        <v>-164200</v>
      </c>
    </row>
    <row r="787" spans="1:24" ht="15.75" x14ac:dyDescent="0.25">
      <c r="A787" s="27" t="s">
        <v>116</v>
      </c>
      <c r="B787" s="23">
        <v>-219067</v>
      </c>
      <c r="C787" s="20">
        <v>2429.9999999999927</v>
      </c>
      <c r="D787" s="23">
        <f t="shared" si="271"/>
        <v>-216637</v>
      </c>
      <c r="E787" s="7">
        <v>-8895</v>
      </c>
      <c r="F787" s="23">
        <f t="shared" si="268"/>
        <v>-207742</v>
      </c>
      <c r="G787" s="23">
        <v>-776235</v>
      </c>
      <c r="J787" s="27" t="s">
        <v>116</v>
      </c>
      <c r="K787" s="23">
        <v>-48982</v>
      </c>
      <c r="L787" s="20">
        <v>-21615</v>
      </c>
      <c r="M787" s="23">
        <f t="shared" si="272"/>
        <v>-70597</v>
      </c>
      <c r="N787" s="7">
        <v>-40275</v>
      </c>
      <c r="O787" s="23">
        <f t="shared" si="269"/>
        <v>-30322</v>
      </c>
      <c r="P787" s="23">
        <v>-618750</v>
      </c>
      <c r="R787" s="27" t="s">
        <v>116</v>
      </c>
      <c r="S787" s="23">
        <v>-3450</v>
      </c>
      <c r="T787" s="20">
        <v>160185</v>
      </c>
      <c r="U787" s="23">
        <f t="shared" si="273"/>
        <v>156735</v>
      </c>
      <c r="V787" s="7">
        <v>42750</v>
      </c>
      <c r="W787" s="23">
        <f t="shared" si="270"/>
        <v>113985</v>
      </c>
      <c r="X787" s="23">
        <v>-526365</v>
      </c>
    </row>
    <row r="788" spans="1:24" ht="15.75" x14ac:dyDescent="0.25">
      <c r="A788" s="27" t="s">
        <v>89</v>
      </c>
      <c r="B788" s="23">
        <v>-14065</v>
      </c>
      <c r="C788" s="20">
        <v>17835</v>
      </c>
      <c r="D788" s="23">
        <f t="shared" si="271"/>
        <v>3770</v>
      </c>
      <c r="E788" s="7">
        <v>-7830</v>
      </c>
      <c r="F788" s="23">
        <f t="shared" si="268"/>
        <v>11600</v>
      </c>
      <c r="G788" s="23">
        <v>-518810</v>
      </c>
      <c r="J788" s="27" t="s">
        <v>89</v>
      </c>
      <c r="K788" s="23">
        <v>235045</v>
      </c>
      <c r="L788" s="20">
        <v>-283040</v>
      </c>
      <c r="M788" s="23">
        <f t="shared" si="272"/>
        <v>-47995</v>
      </c>
      <c r="N788" s="7">
        <v>7540</v>
      </c>
      <c r="O788" s="23">
        <f t="shared" si="269"/>
        <v>-55535</v>
      </c>
      <c r="P788" s="23">
        <v>-390775</v>
      </c>
      <c r="R788" s="27" t="s">
        <v>89</v>
      </c>
      <c r="S788" s="23">
        <v>4205</v>
      </c>
      <c r="T788" s="20">
        <v>62350</v>
      </c>
      <c r="U788" s="23">
        <f t="shared" si="273"/>
        <v>66555</v>
      </c>
      <c r="V788" s="7">
        <v>-15225</v>
      </c>
      <c r="W788" s="23">
        <f t="shared" si="270"/>
        <v>81780</v>
      </c>
      <c r="X788" s="23">
        <v>-427460</v>
      </c>
    </row>
    <row r="789" spans="1:24" ht="15.75" x14ac:dyDescent="0.25">
      <c r="A789" s="27" t="s">
        <v>75</v>
      </c>
      <c r="B789" s="23">
        <v>9900</v>
      </c>
      <c r="C789" s="20">
        <v>106500</v>
      </c>
      <c r="D789" s="23">
        <f t="shared" si="271"/>
        <v>116400</v>
      </c>
      <c r="E789" s="7">
        <v>19000</v>
      </c>
      <c r="F789" s="23">
        <f t="shared" si="268"/>
        <v>97400</v>
      </c>
      <c r="G789" s="23">
        <v>-447500</v>
      </c>
      <c r="J789" s="27" t="s">
        <v>75</v>
      </c>
      <c r="K789" s="23">
        <v>-29000</v>
      </c>
      <c r="L789" s="20">
        <v>48500.000000000007</v>
      </c>
      <c r="M789" s="23">
        <f t="shared" si="272"/>
        <v>19500.000000000007</v>
      </c>
      <c r="N789" s="7">
        <v>35500</v>
      </c>
      <c r="O789" s="23">
        <f t="shared" si="269"/>
        <v>-15999.999999999993</v>
      </c>
      <c r="P789" s="23">
        <v>-336500</v>
      </c>
      <c r="R789" s="27" t="s">
        <v>75</v>
      </c>
      <c r="S789" s="23">
        <v>1100</v>
      </c>
      <c r="T789" s="20">
        <v>52000</v>
      </c>
      <c r="U789" s="23">
        <f t="shared" si="273"/>
        <v>53100</v>
      </c>
      <c r="V789" s="7">
        <v>0</v>
      </c>
      <c r="W789" s="23">
        <f t="shared" si="270"/>
        <v>53100</v>
      </c>
      <c r="X789" s="23">
        <v>-276000</v>
      </c>
    </row>
    <row r="790" spans="1:24" ht="15.75" x14ac:dyDescent="0.25">
      <c r="A790" s="27" t="s">
        <v>62</v>
      </c>
      <c r="B790" s="23">
        <v>-10393</v>
      </c>
      <c r="C790" s="20">
        <v>5650</v>
      </c>
      <c r="D790" s="23">
        <f t="shared" si="271"/>
        <v>-4743</v>
      </c>
      <c r="E790" s="7">
        <v>-19700</v>
      </c>
      <c r="F790" s="23">
        <f t="shared" si="268"/>
        <v>14957</v>
      </c>
      <c r="G790" s="23">
        <v>-565500</v>
      </c>
      <c r="J790" s="27" t="s">
        <v>62</v>
      </c>
      <c r="K790" s="23">
        <v>-107356</v>
      </c>
      <c r="L790" s="20">
        <v>66750</v>
      </c>
      <c r="M790" s="23">
        <f t="shared" si="272"/>
        <v>-40606</v>
      </c>
      <c r="N790" s="7">
        <v>15350</v>
      </c>
      <c r="O790" s="23">
        <f t="shared" si="269"/>
        <v>-55956</v>
      </c>
      <c r="P790" s="23">
        <v>-413700</v>
      </c>
      <c r="R790" s="27" t="s">
        <v>62</v>
      </c>
      <c r="S790" s="23">
        <v>-1118</v>
      </c>
      <c r="T790" s="20">
        <v>107450</v>
      </c>
      <c r="U790" s="23">
        <f t="shared" si="273"/>
        <v>106332</v>
      </c>
      <c r="V790" s="7">
        <v>-400</v>
      </c>
      <c r="W790" s="23">
        <f t="shared" si="270"/>
        <v>106732</v>
      </c>
      <c r="X790" s="23">
        <v>-374850</v>
      </c>
    </row>
    <row r="791" spans="1:24" ht="15.75" x14ac:dyDescent="0.25">
      <c r="A791" s="27" t="s">
        <v>95</v>
      </c>
      <c r="B791" s="23">
        <v>-17175</v>
      </c>
      <c r="C791" s="20">
        <v>133496</v>
      </c>
      <c r="D791" s="23">
        <f t="shared" si="271"/>
        <v>116321</v>
      </c>
      <c r="E791" s="7">
        <v>10520.95</v>
      </c>
      <c r="F791" s="23">
        <f t="shared" si="268"/>
        <v>105800.05</v>
      </c>
      <c r="G791" s="23">
        <v>-641228.5</v>
      </c>
      <c r="H791" s="31"/>
      <c r="J791" s="27" t="s">
        <v>95</v>
      </c>
      <c r="K791" s="23">
        <v>-5352</v>
      </c>
      <c r="L791" s="20">
        <v>-24135.100000000006</v>
      </c>
      <c r="M791" s="23">
        <f t="shared" si="272"/>
        <v>-29487.100000000006</v>
      </c>
      <c r="N791" s="7">
        <v>33048.399999999994</v>
      </c>
      <c r="O791" s="23">
        <f t="shared" si="269"/>
        <v>-62535.5</v>
      </c>
      <c r="P791" s="23">
        <v>-443223</v>
      </c>
      <c r="R791" s="27" t="s">
        <v>95</v>
      </c>
      <c r="S791" s="23">
        <v>-8669</v>
      </c>
      <c r="T791" s="20">
        <v>32763.5</v>
      </c>
      <c r="U791" s="23">
        <f t="shared" si="273"/>
        <v>24094.5</v>
      </c>
      <c r="V791" s="7">
        <v>-17094</v>
      </c>
      <c r="W791" s="23">
        <f t="shared" si="270"/>
        <v>41188.5</v>
      </c>
      <c r="X791" s="23">
        <v>-429792</v>
      </c>
    </row>
    <row r="792" spans="1:24" ht="15.75" x14ac:dyDescent="0.25">
      <c r="A792" s="27" t="s">
        <v>102</v>
      </c>
      <c r="B792" s="23">
        <v>-20448</v>
      </c>
      <c r="C792" s="20">
        <v>109867.5</v>
      </c>
      <c r="D792" s="23">
        <f t="shared" si="271"/>
        <v>89419.5</v>
      </c>
      <c r="E792" s="7">
        <v>-5130</v>
      </c>
      <c r="F792" s="23">
        <f t="shared" si="268"/>
        <v>94549.5</v>
      </c>
      <c r="G792" s="23">
        <v>-572992.5</v>
      </c>
      <c r="H792" s="31"/>
      <c r="J792" s="27" t="s">
        <v>102</v>
      </c>
      <c r="K792" s="23">
        <v>-70965</v>
      </c>
      <c r="L792" s="20">
        <v>-32062.500000000022</v>
      </c>
      <c r="M792" s="23">
        <f t="shared" si="272"/>
        <v>-103027.50000000003</v>
      </c>
      <c r="N792" s="7">
        <v>5985</v>
      </c>
      <c r="O792" s="23">
        <f t="shared" si="269"/>
        <v>-109012.50000000003</v>
      </c>
      <c r="P792" s="23">
        <v>-464550</v>
      </c>
      <c r="R792" s="27" t="s">
        <v>102</v>
      </c>
      <c r="S792" s="23">
        <v>-7481</v>
      </c>
      <c r="T792" s="20">
        <v>76380</v>
      </c>
      <c r="U792" s="23">
        <f t="shared" si="273"/>
        <v>68899</v>
      </c>
      <c r="V792" s="7">
        <v>-2850</v>
      </c>
      <c r="W792" s="23">
        <f t="shared" si="270"/>
        <v>71749</v>
      </c>
      <c r="X792" s="23">
        <v>-496755</v>
      </c>
    </row>
    <row r="793" spans="1:24" ht="15.75" x14ac:dyDescent="0.25">
      <c r="A793" s="27" t="s">
        <v>73</v>
      </c>
      <c r="B793" s="23">
        <v>-7692</v>
      </c>
      <c r="C793" s="20">
        <v>37485</v>
      </c>
      <c r="D793" s="23">
        <f t="shared" si="271"/>
        <v>29793</v>
      </c>
      <c r="E793" s="7">
        <v>8245</v>
      </c>
      <c r="F793" s="23">
        <f t="shared" si="268"/>
        <v>21548</v>
      </c>
      <c r="G793" s="23">
        <v>-442425</v>
      </c>
      <c r="J793" s="27" t="s">
        <v>73</v>
      </c>
      <c r="K793" s="23">
        <v>-38037</v>
      </c>
      <c r="L793" s="20">
        <v>-3910</v>
      </c>
      <c r="M793" s="23">
        <f t="shared" si="272"/>
        <v>-41947</v>
      </c>
      <c r="N793" s="7">
        <v>1657.5</v>
      </c>
      <c r="O793" s="23">
        <f t="shared" si="269"/>
        <v>-43604.5</v>
      </c>
      <c r="P793" s="23">
        <v>-256572.5</v>
      </c>
      <c r="R793" s="27" t="s">
        <v>73</v>
      </c>
      <c r="S793" s="23">
        <v>-1275</v>
      </c>
      <c r="T793" s="20">
        <v>20867.5</v>
      </c>
      <c r="U793" s="23">
        <f t="shared" si="273"/>
        <v>19592.5</v>
      </c>
      <c r="V793" s="7">
        <v>12707.5</v>
      </c>
      <c r="W793" s="23">
        <f t="shared" si="270"/>
        <v>6885</v>
      </c>
      <c r="X793" s="23">
        <v>-263967.5</v>
      </c>
    </row>
    <row r="794" spans="1:24" ht="15.75" x14ac:dyDescent="0.25">
      <c r="A794" s="27" t="s">
        <v>92</v>
      </c>
      <c r="B794" s="23">
        <v>-7700</v>
      </c>
      <c r="C794" s="20">
        <v>59000</v>
      </c>
      <c r="D794" s="23">
        <f t="shared" si="271"/>
        <v>51300</v>
      </c>
      <c r="E794" s="7">
        <v>1000</v>
      </c>
      <c r="F794" s="23">
        <f t="shared" si="268"/>
        <v>50300</v>
      </c>
      <c r="G794" s="23">
        <v>-429000</v>
      </c>
      <c r="J794" s="27" t="s">
        <v>92</v>
      </c>
      <c r="K794" s="23">
        <v>-5800</v>
      </c>
      <c r="L794" s="20">
        <v>15000</v>
      </c>
      <c r="M794" s="23">
        <f t="shared" si="272"/>
        <v>9200</v>
      </c>
      <c r="N794" s="7">
        <v>-7000</v>
      </c>
      <c r="O794" s="23">
        <f t="shared" si="269"/>
        <v>16200</v>
      </c>
      <c r="P794" s="23">
        <v>-382000</v>
      </c>
      <c r="R794" s="27" t="s">
        <v>92</v>
      </c>
      <c r="S794" s="23">
        <v>1500</v>
      </c>
      <c r="T794" s="20">
        <v>40000</v>
      </c>
      <c r="U794" s="23">
        <f t="shared" si="273"/>
        <v>41500</v>
      </c>
      <c r="V794" s="7">
        <v>-3000</v>
      </c>
      <c r="W794" s="23">
        <f t="shared" si="270"/>
        <v>44500</v>
      </c>
      <c r="X794" s="23">
        <v>-371000</v>
      </c>
    </row>
    <row r="795" spans="1:24" ht="15.75" x14ac:dyDescent="0.25">
      <c r="A795" s="27" t="s">
        <v>54</v>
      </c>
      <c r="B795" s="23">
        <v>-6550</v>
      </c>
      <c r="C795" s="20">
        <v>13400</v>
      </c>
      <c r="D795" s="23">
        <f t="shared" si="271"/>
        <v>6850</v>
      </c>
      <c r="E795" s="7">
        <v>2000</v>
      </c>
      <c r="F795" s="23">
        <f t="shared" si="268"/>
        <v>4850</v>
      </c>
      <c r="G795" s="23">
        <v>-566500</v>
      </c>
      <c r="J795" s="27" t="s">
        <v>54</v>
      </c>
      <c r="K795" s="23">
        <v>-56300</v>
      </c>
      <c r="L795" s="20">
        <v>109750</v>
      </c>
      <c r="M795" s="23">
        <f t="shared" si="272"/>
        <v>53450</v>
      </c>
      <c r="N795" s="7">
        <v>1650</v>
      </c>
      <c r="O795" s="23">
        <f t="shared" si="269"/>
        <v>51800</v>
      </c>
      <c r="P795" s="23">
        <v>-382600</v>
      </c>
      <c r="R795" s="27" t="s">
        <v>54</v>
      </c>
      <c r="S795" s="23">
        <v>-1600</v>
      </c>
      <c r="T795" s="20">
        <v>63100</v>
      </c>
      <c r="U795" s="23">
        <f t="shared" si="273"/>
        <v>61500</v>
      </c>
      <c r="V795" s="7">
        <v>-15800</v>
      </c>
      <c r="W795" s="23">
        <f t="shared" si="270"/>
        <v>77300</v>
      </c>
      <c r="X795" s="23">
        <v>-357000</v>
      </c>
    </row>
    <row r="796" spans="1:24" ht="15.75" x14ac:dyDescent="0.25">
      <c r="A796" s="27" t="s">
        <v>78</v>
      </c>
      <c r="B796" s="23">
        <v>-38593</v>
      </c>
      <c r="C796" s="20">
        <v>80125</v>
      </c>
      <c r="D796" s="23">
        <f t="shared" si="271"/>
        <v>41532</v>
      </c>
      <c r="E796" s="7">
        <v>-4925</v>
      </c>
      <c r="F796" s="23">
        <f t="shared" si="268"/>
        <v>46457</v>
      </c>
      <c r="G796" s="23">
        <v>-566125</v>
      </c>
      <c r="J796" s="27" t="s">
        <v>78</v>
      </c>
      <c r="K796" s="23">
        <v>164100</v>
      </c>
      <c r="L796" s="20">
        <v>-335487.5</v>
      </c>
      <c r="M796" s="23">
        <f t="shared" si="272"/>
        <v>-171387.5</v>
      </c>
      <c r="N796" s="7">
        <v>17112.5</v>
      </c>
      <c r="O796" s="23">
        <f t="shared" si="269"/>
        <v>-188500</v>
      </c>
      <c r="P796" s="23">
        <v>-400675</v>
      </c>
      <c r="R796" s="27" t="s">
        <v>78</v>
      </c>
      <c r="S796" s="23">
        <v>82656</v>
      </c>
      <c r="T796" s="20">
        <v>72925</v>
      </c>
      <c r="U796" s="23">
        <f t="shared" si="273"/>
        <v>155581</v>
      </c>
      <c r="V796" s="7">
        <v>14600</v>
      </c>
      <c r="W796" s="23">
        <f t="shared" si="270"/>
        <v>140981</v>
      </c>
      <c r="X796" s="23">
        <v>-497250</v>
      </c>
    </row>
    <row r="797" spans="1:24" ht="15.75" x14ac:dyDescent="0.25">
      <c r="A797" s="27" t="s">
        <v>97</v>
      </c>
      <c r="B797" s="23">
        <v>-11687</v>
      </c>
      <c r="C797" s="20">
        <v>0</v>
      </c>
      <c r="D797" s="23">
        <f t="shared" si="271"/>
        <v>-11687</v>
      </c>
      <c r="E797" s="7"/>
      <c r="F797" s="23">
        <f t="shared" si="268"/>
        <v>-11687</v>
      </c>
      <c r="G797" s="23">
        <v>-484000</v>
      </c>
      <c r="J797" s="27" t="s">
        <v>97</v>
      </c>
      <c r="K797" s="23">
        <v>6375</v>
      </c>
      <c r="L797" s="20">
        <v>-38750</v>
      </c>
      <c r="M797" s="23">
        <f t="shared" si="272"/>
        <v>-32375</v>
      </c>
      <c r="N797" s="7">
        <v>2000</v>
      </c>
      <c r="O797" s="23">
        <f t="shared" si="269"/>
        <v>-34375</v>
      </c>
      <c r="P797" s="23">
        <v>-396000</v>
      </c>
      <c r="R797" s="27" t="s">
        <v>97</v>
      </c>
      <c r="S797" s="23">
        <v>-35062</v>
      </c>
      <c r="T797" s="20">
        <v>61000</v>
      </c>
      <c r="U797" s="23">
        <f t="shared" si="273"/>
        <v>25938</v>
      </c>
      <c r="V797" s="7">
        <v>-3000</v>
      </c>
      <c r="W797" s="23">
        <f t="shared" si="270"/>
        <v>28938</v>
      </c>
      <c r="X797" s="23">
        <v>-353500</v>
      </c>
    </row>
    <row r="798" spans="1:24" ht="15.75" x14ac:dyDescent="0.25">
      <c r="A798" s="27" t="s">
        <v>85</v>
      </c>
      <c r="B798" s="23">
        <v>49500</v>
      </c>
      <c r="C798" s="20">
        <v>0</v>
      </c>
      <c r="D798" s="23">
        <f t="shared" si="271"/>
        <v>49500</v>
      </c>
      <c r="E798" s="7"/>
      <c r="F798" s="23">
        <f t="shared" si="268"/>
        <v>49500</v>
      </c>
      <c r="G798" s="23">
        <v>-446250</v>
      </c>
      <c r="J798" s="27" t="s">
        <v>85</v>
      </c>
      <c r="K798" s="23">
        <v>-67275</v>
      </c>
      <c r="L798" s="20">
        <v>-50699.999999999993</v>
      </c>
      <c r="M798" s="23">
        <f t="shared" si="272"/>
        <v>-117975</v>
      </c>
      <c r="N798" s="7">
        <v>42600</v>
      </c>
      <c r="O798" s="23">
        <f t="shared" si="269"/>
        <v>-160575</v>
      </c>
      <c r="P798" s="23">
        <v>-323250</v>
      </c>
      <c r="R798" s="27" t="s">
        <v>85</v>
      </c>
      <c r="S798" s="23">
        <v>-36300</v>
      </c>
      <c r="T798" s="20">
        <v>59850</v>
      </c>
      <c r="U798" s="23">
        <f t="shared" si="273"/>
        <v>23550</v>
      </c>
      <c r="V798" s="7">
        <v>6150</v>
      </c>
      <c r="W798" s="23">
        <f t="shared" si="270"/>
        <v>17400</v>
      </c>
      <c r="X798" s="23">
        <v>-440400</v>
      </c>
    </row>
    <row r="799" spans="1:24" ht="15.75" x14ac:dyDescent="0.25">
      <c r="A799" s="21" t="s">
        <v>107</v>
      </c>
      <c r="B799" s="22">
        <f t="shared" ref="B799:G799" si="274">SUM(B784:B798)</f>
        <v>-284685</v>
      </c>
      <c r="C799" s="18">
        <f t="shared" si="274"/>
        <v>814568.5</v>
      </c>
      <c r="D799" s="23">
        <f>SUM(D784:D798)</f>
        <v>529883.5</v>
      </c>
      <c r="E799" s="18">
        <f t="shared" si="274"/>
        <v>-11424.05</v>
      </c>
      <c r="F799" s="23">
        <f>SUM(F784:F798)</f>
        <v>541307.55000000005</v>
      </c>
      <c r="G799" s="17">
        <f t="shared" si="274"/>
        <v>-7850956</v>
      </c>
      <c r="J799" s="21" t="s">
        <v>107</v>
      </c>
      <c r="K799" s="22">
        <f t="shared" ref="K799:L799" si="275">SUM(K784:K798)</f>
        <v>-176287</v>
      </c>
      <c r="L799" s="18">
        <f t="shared" si="275"/>
        <v>-538980.1</v>
      </c>
      <c r="M799" s="23">
        <f>SUM(M784:M798)</f>
        <v>-715267.1</v>
      </c>
      <c r="N799" s="18">
        <f t="shared" ref="N799" si="276">SUM(N784:N798)</f>
        <v>126418.4</v>
      </c>
      <c r="O799" s="23">
        <f>SUM(O784:O798)</f>
        <v>-841685.5</v>
      </c>
      <c r="P799" s="17">
        <f t="shared" ref="P799" si="277">SUM(P784:P798)</f>
        <v>-5905195.5</v>
      </c>
      <c r="R799" s="21" t="s">
        <v>107</v>
      </c>
      <c r="S799" s="22">
        <f t="shared" ref="S799:T799" si="278">SUM(S784:S798)</f>
        <v>-6319</v>
      </c>
      <c r="T799" s="18">
        <f t="shared" si="278"/>
        <v>1064831</v>
      </c>
      <c r="U799" s="23">
        <f>SUM(U784:U798)</f>
        <v>1058512</v>
      </c>
      <c r="V799" s="18">
        <f t="shared" ref="V799" si="279">SUM(V784:V798)</f>
        <v>-131.5</v>
      </c>
      <c r="W799" s="23">
        <f>SUM(W784:W798)</f>
        <v>1058643.5</v>
      </c>
      <c r="X799" s="17">
        <f t="shared" ref="X799" si="280">SUM(X784:X798)</f>
        <v>-5833239.5</v>
      </c>
    </row>
    <row r="802" spans="1:24" ht="15.75" x14ac:dyDescent="0.25">
      <c r="A802" s="106">
        <v>45007</v>
      </c>
      <c r="B802" s="106"/>
      <c r="C802" s="106"/>
      <c r="D802" s="106"/>
      <c r="E802" s="106"/>
      <c r="F802" s="106"/>
      <c r="G802" s="106"/>
      <c r="J802" s="106">
        <v>45008</v>
      </c>
      <c r="K802" s="106"/>
      <c r="L802" s="106"/>
      <c r="M802" s="106"/>
      <c r="N802" s="106"/>
      <c r="O802" s="106"/>
      <c r="P802" s="106"/>
      <c r="R802" s="106">
        <v>45009</v>
      </c>
      <c r="S802" s="106"/>
      <c r="T802" s="106"/>
      <c r="U802" s="106"/>
      <c r="V802" s="106"/>
      <c r="W802" s="106"/>
      <c r="X802" s="106"/>
    </row>
    <row r="803" spans="1:24" ht="15.75" x14ac:dyDescent="0.25">
      <c r="A803" s="22" t="s">
        <v>34</v>
      </c>
      <c r="B803" s="22" t="s">
        <v>104</v>
      </c>
      <c r="C803" s="22" t="s">
        <v>105</v>
      </c>
      <c r="D803" s="22" t="s">
        <v>112</v>
      </c>
      <c r="E803" s="22" t="s">
        <v>106</v>
      </c>
      <c r="F803" s="21" t="s">
        <v>108</v>
      </c>
      <c r="G803" s="21" t="s">
        <v>28</v>
      </c>
      <c r="J803" s="22" t="s">
        <v>34</v>
      </c>
      <c r="K803" s="22" t="s">
        <v>104</v>
      </c>
      <c r="L803" s="22" t="s">
        <v>105</v>
      </c>
      <c r="M803" s="22" t="s">
        <v>112</v>
      </c>
      <c r="N803" s="22" t="s">
        <v>106</v>
      </c>
      <c r="O803" s="21" t="s">
        <v>108</v>
      </c>
      <c r="P803" s="21" t="s">
        <v>28</v>
      </c>
      <c r="R803" s="22" t="s">
        <v>34</v>
      </c>
      <c r="S803" s="22" t="s">
        <v>104</v>
      </c>
      <c r="T803" s="22" t="s">
        <v>105</v>
      </c>
      <c r="U803" s="22" t="s">
        <v>112</v>
      </c>
      <c r="V803" s="22" t="s">
        <v>106</v>
      </c>
      <c r="W803" s="21" t="s">
        <v>108</v>
      </c>
      <c r="X803" s="21" t="s">
        <v>28</v>
      </c>
    </row>
    <row r="804" spans="1:24" ht="15.75" x14ac:dyDescent="0.25">
      <c r="A804" s="27" t="s">
        <v>71</v>
      </c>
      <c r="B804" s="23">
        <v>-15050</v>
      </c>
      <c r="C804" s="20">
        <v>49699.999999999993</v>
      </c>
      <c r="D804" s="23">
        <f>+C804+B804</f>
        <v>34649.999999999993</v>
      </c>
      <c r="E804" s="7">
        <v>-350</v>
      </c>
      <c r="F804" s="23">
        <f t="shared" ref="F804:F818" si="281">+B804+C804-E804</f>
        <v>34999.999999999993</v>
      </c>
      <c r="G804" s="23">
        <v>-376950</v>
      </c>
      <c r="J804" s="27" t="s">
        <v>71</v>
      </c>
      <c r="K804" s="23">
        <v>24325</v>
      </c>
      <c r="L804" s="20">
        <v>21699.999999999996</v>
      </c>
      <c r="M804" s="23">
        <f>+L804+K804</f>
        <v>46025</v>
      </c>
      <c r="N804" s="7">
        <v>-12250</v>
      </c>
      <c r="O804" s="23">
        <f t="shared" ref="O804:O818" si="282">+K804+L804-N804</f>
        <v>58275</v>
      </c>
      <c r="P804" s="23">
        <v>-306950</v>
      </c>
      <c r="R804" s="27" t="s">
        <v>71</v>
      </c>
      <c r="S804" s="23">
        <v>48650</v>
      </c>
      <c r="T804" s="20">
        <v>-7700.0000000000291</v>
      </c>
      <c r="U804" s="23">
        <f>+T804+S804</f>
        <v>40949.999999999971</v>
      </c>
      <c r="V804" s="7">
        <v>21000</v>
      </c>
      <c r="W804" s="23">
        <f t="shared" ref="W804:W818" si="283">+S804+T804-V804</f>
        <v>19949.999999999971</v>
      </c>
      <c r="X804" s="23">
        <v>-421400</v>
      </c>
    </row>
    <row r="805" spans="1:24" ht="15.75" x14ac:dyDescent="0.25">
      <c r="A805" s="27" t="s">
        <v>94</v>
      </c>
      <c r="B805" s="23">
        <v>105120</v>
      </c>
      <c r="C805" s="20">
        <v>-347490</v>
      </c>
      <c r="D805" s="23">
        <f t="shared" ref="D805:D818" si="284">+C805+B805</f>
        <v>-242370</v>
      </c>
      <c r="E805" s="7">
        <v>14670</v>
      </c>
      <c r="F805" s="23">
        <f t="shared" si="281"/>
        <v>-257040</v>
      </c>
      <c r="G805" s="23">
        <v>-524700</v>
      </c>
      <c r="J805" s="27" t="s">
        <v>94</v>
      </c>
      <c r="K805" s="23">
        <v>-47430</v>
      </c>
      <c r="L805" s="20">
        <v>162180</v>
      </c>
      <c r="M805" s="23">
        <f t="shared" ref="M805:M818" si="285">+L805+K805</f>
        <v>114750</v>
      </c>
      <c r="N805" s="7">
        <v>1170</v>
      </c>
      <c r="O805" s="23">
        <f t="shared" si="282"/>
        <v>113580</v>
      </c>
      <c r="P805" s="23">
        <v>-565260</v>
      </c>
      <c r="R805" s="27" t="s">
        <v>94</v>
      </c>
      <c r="S805" s="23">
        <v>243270</v>
      </c>
      <c r="T805" s="20">
        <v>-261900</v>
      </c>
      <c r="U805" s="23">
        <f t="shared" ref="U805:U818" si="286">+T805+S805</f>
        <v>-18630</v>
      </c>
      <c r="V805" s="7">
        <v>-23310</v>
      </c>
      <c r="W805" s="23">
        <f t="shared" si="283"/>
        <v>4680</v>
      </c>
      <c r="X805" s="23">
        <v>-342900</v>
      </c>
    </row>
    <row r="806" spans="1:24" ht="15.75" x14ac:dyDescent="0.25">
      <c r="A806" s="27" t="s">
        <v>58</v>
      </c>
      <c r="B806" s="23">
        <v>0</v>
      </c>
      <c r="C806" s="20">
        <v>-14200.000000000004</v>
      </c>
      <c r="D806" s="23">
        <f t="shared" si="284"/>
        <v>-14200.000000000004</v>
      </c>
      <c r="E806" s="7">
        <v>-14400</v>
      </c>
      <c r="F806" s="23">
        <f t="shared" si="281"/>
        <v>199.99999999999636</v>
      </c>
      <c r="G806" s="23">
        <v>-148200</v>
      </c>
      <c r="J806" s="27" t="s">
        <v>58</v>
      </c>
      <c r="K806" s="23">
        <v>0</v>
      </c>
      <c r="L806" s="20">
        <v>-176600</v>
      </c>
      <c r="M806" s="23">
        <f t="shared" si="285"/>
        <v>-176600</v>
      </c>
      <c r="N806" s="7">
        <v>-24000</v>
      </c>
      <c r="O806" s="23">
        <f t="shared" si="282"/>
        <v>-152600</v>
      </c>
      <c r="P806" s="23">
        <v>-122800</v>
      </c>
      <c r="R806" s="27" t="s">
        <v>58</v>
      </c>
      <c r="S806" s="23">
        <v>108000</v>
      </c>
      <c r="T806" s="20">
        <v>-253200</v>
      </c>
      <c r="U806" s="23">
        <f t="shared" si="286"/>
        <v>-145200</v>
      </c>
      <c r="V806" s="7">
        <v>-64600</v>
      </c>
      <c r="W806" s="23">
        <f t="shared" si="283"/>
        <v>-80600</v>
      </c>
      <c r="X806" s="23">
        <v>-36800</v>
      </c>
    </row>
    <row r="807" spans="1:24" ht="15.75" x14ac:dyDescent="0.25">
      <c r="A807" s="27" t="s">
        <v>116</v>
      </c>
      <c r="B807" s="23">
        <v>-105517</v>
      </c>
      <c r="C807" s="20">
        <v>7214.9999999999991</v>
      </c>
      <c r="D807" s="23">
        <f t="shared" si="284"/>
        <v>-98302</v>
      </c>
      <c r="E807" s="7">
        <v>32310.000000000007</v>
      </c>
      <c r="F807" s="23">
        <f t="shared" si="281"/>
        <v>-130612</v>
      </c>
      <c r="G807" s="23">
        <v>-470550</v>
      </c>
      <c r="J807" s="27" t="s">
        <v>116</v>
      </c>
      <c r="K807" s="23">
        <v>-99592</v>
      </c>
      <c r="L807" s="20">
        <v>69750.000000000015</v>
      </c>
      <c r="M807" s="23">
        <f t="shared" si="285"/>
        <v>-29841.999999999985</v>
      </c>
      <c r="N807" s="7">
        <v>6450</v>
      </c>
      <c r="O807" s="23">
        <f t="shared" si="282"/>
        <v>-36291.999999999985</v>
      </c>
      <c r="P807" s="23">
        <v>-791160</v>
      </c>
      <c r="R807" s="27" t="s">
        <v>116</v>
      </c>
      <c r="S807" s="23">
        <v>-289372</v>
      </c>
      <c r="T807" s="20">
        <v>178110</v>
      </c>
      <c r="U807" s="23">
        <f t="shared" si="286"/>
        <v>-111262</v>
      </c>
      <c r="V807" s="7">
        <v>-83310</v>
      </c>
      <c r="W807" s="23">
        <f t="shared" si="283"/>
        <v>-27952</v>
      </c>
      <c r="X807" s="23">
        <v>-645450</v>
      </c>
    </row>
    <row r="808" spans="1:24" ht="15.75" x14ac:dyDescent="0.25">
      <c r="A808" s="27" t="s">
        <v>89</v>
      </c>
      <c r="B808" s="23">
        <v>-14645</v>
      </c>
      <c r="C808" s="20">
        <v>29145</v>
      </c>
      <c r="D808" s="23">
        <f t="shared" si="284"/>
        <v>14500</v>
      </c>
      <c r="E808" s="7">
        <v>-7249.9999999999982</v>
      </c>
      <c r="F808" s="23">
        <f t="shared" si="281"/>
        <v>21750</v>
      </c>
      <c r="G808" s="23">
        <v>-504745</v>
      </c>
      <c r="J808" s="27" t="s">
        <v>89</v>
      </c>
      <c r="K808" s="23">
        <v>2900</v>
      </c>
      <c r="L808" s="20">
        <v>125570</v>
      </c>
      <c r="M808" s="23">
        <f t="shared" si="285"/>
        <v>128470</v>
      </c>
      <c r="N808" s="7">
        <v>-5075</v>
      </c>
      <c r="O808" s="23">
        <f t="shared" si="282"/>
        <v>133545</v>
      </c>
      <c r="P808" s="23">
        <v>-308995</v>
      </c>
      <c r="R808" s="27" t="s">
        <v>89</v>
      </c>
      <c r="S808" s="23">
        <v>97730</v>
      </c>
      <c r="T808" s="20">
        <v>13920</v>
      </c>
      <c r="U808" s="23">
        <f t="shared" si="286"/>
        <v>111650</v>
      </c>
      <c r="V808" s="7">
        <v>12470</v>
      </c>
      <c r="W808" s="23">
        <f t="shared" si="283"/>
        <v>99180</v>
      </c>
      <c r="X808" s="23">
        <v>-258390</v>
      </c>
    </row>
    <row r="809" spans="1:24" ht="15.75" x14ac:dyDescent="0.25">
      <c r="A809" s="27" t="s">
        <v>75</v>
      </c>
      <c r="B809" s="23">
        <v>-2700</v>
      </c>
      <c r="C809" s="20">
        <v>-5000</v>
      </c>
      <c r="D809" s="23">
        <f t="shared" si="284"/>
        <v>-7700</v>
      </c>
      <c r="E809" s="7">
        <v>-10500</v>
      </c>
      <c r="F809" s="23">
        <f t="shared" si="281"/>
        <v>2800</v>
      </c>
      <c r="G809" s="23">
        <v>-349000</v>
      </c>
      <c r="J809" s="27" t="s">
        <v>75</v>
      </c>
      <c r="K809" s="23">
        <v>49600</v>
      </c>
      <c r="L809" s="20">
        <v>34000</v>
      </c>
      <c r="M809" s="23">
        <f t="shared" si="285"/>
        <v>83600</v>
      </c>
      <c r="N809" s="7">
        <v>8500</v>
      </c>
      <c r="O809" s="23">
        <f t="shared" si="282"/>
        <v>75100</v>
      </c>
      <c r="P809" s="23">
        <v>-364000</v>
      </c>
      <c r="R809" s="27" t="s">
        <v>75</v>
      </c>
      <c r="S809" s="23">
        <v>267500</v>
      </c>
      <c r="T809" s="20">
        <v>-275000</v>
      </c>
      <c r="U809" s="23">
        <f t="shared" si="286"/>
        <v>-7500</v>
      </c>
      <c r="V809" s="7">
        <v>28000</v>
      </c>
      <c r="W809" s="23">
        <f t="shared" si="283"/>
        <v>-35500</v>
      </c>
      <c r="X809" s="23">
        <v>-371400</v>
      </c>
    </row>
    <row r="810" spans="1:24" ht="15.75" x14ac:dyDescent="0.25">
      <c r="A810" s="27" t="s">
        <v>62</v>
      </c>
      <c r="B810" s="23">
        <v>-20518</v>
      </c>
      <c r="C810" s="20">
        <v>-98700</v>
      </c>
      <c r="D810" s="23">
        <f t="shared" si="284"/>
        <v>-119218</v>
      </c>
      <c r="E810" s="7">
        <v>-1100</v>
      </c>
      <c r="F810" s="23">
        <f t="shared" si="281"/>
        <v>-118118</v>
      </c>
      <c r="G810" s="23">
        <v>-454950</v>
      </c>
      <c r="J810" s="27" t="s">
        <v>62</v>
      </c>
      <c r="K810" s="23">
        <v>-17850</v>
      </c>
      <c r="L810" s="20">
        <v>122175</v>
      </c>
      <c r="M810" s="23">
        <f t="shared" si="285"/>
        <v>104325</v>
      </c>
      <c r="N810" s="7">
        <v>5500</v>
      </c>
      <c r="O810" s="23">
        <f t="shared" si="282"/>
        <v>98825</v>
      </c>
      <c r="P810" s="23">
        <v>-461000</v>
      </c>
      <c r="R810" s="27" t="s">
        <v>62</v>
      </c>
      <c r="S810" s="23">
        <v>84881</v>
      </c>
      <c r="T810" s="20">
        <v>47350</v>
      </c>
      <c r="U810" s="23">
        <f t="shared" si="286"/>
        <v>132231</v>
      </c>
      <c r="V810" s="7">
        <v>-7475.0000000000009</v>
      </c>
      <c r="W810" s="23">
        <f t="shared" si="283"/>
        <v>139706</v>
      </c>
      <c r="X810" s="23">
        <v>-326500</v>
      </c>
    </row>
    <row r="811" spans="1:24" ht="15.75" x14ac:dyDescent="0.25">
      <c r="A811" s="27" t="s">
        <v>95</v>
      </c>
      <c r="B811" s="23">
        <v>-31176</v>
      </c>
      <c r="C811" s="20">
        <v>52502.999999999993</v>
      </c>
      <c r="D811" s="23">
        <f t="shared" si="284"/>
        <v>21326.999999999993</v>
      </c>
      <c r="E811" s="7">
        <v>-15873</v>
      </c>
      <c r="F811" s="23">
        <f t="shared" si="281"/>
        <v>37199.999999999993</v>
      </c>
      <c r="G811" s="23">
        <v>-395400.5</v>
      </c>
      <c r="J811" s="27" t="s">
        <v>95</v>
      </c>
      <c r="K811" s="23">
        <v>0</v>
      </c>
      <c r="L811" s="20">
        <v>166666.5</v>
      </c>
      <c r="M811" s="23">
        <f t="shared" si="285"/>
        <v>166666.5</v>
      </c>
      <c r="N811" s="7">
        <v>10378.5</v>
      </c>
      <c r="O811" s="23">
        <f t="shared" si="282"/>
        <v>156288</v>
      </c>
      <c r="P811" s="23">
        <v>-214489</v>
      </c>
      <c r="R811" s="27" t="s">
        <v>95</v>
      </c>
      <c r="S811" s="23">
        <v>67785</v>
      </c>
      <c r="T811" s="20">
        <v>-86487.5</v>
      </c>
      <c r="U811" s="23">
        <f t="shared" si="286"/>
        <v>-18702.5</v>
      </c>
      <c r="V811" s="7">
        <v>22181.5</v>
      </c>
      <c r="W811" s="23">
        <f t="shared" si="283"/>
        <v>-40884</v>
      </c>
      <c r="X811" s="23">
        <v>-372641.5</v>
      </c>
    </row>
    <row r="812" spans="1:24" ht="15.75" x14ac:dyDescent="0.25">
      <c r="A812" s="27" t="s">
        <v>102</v>
      </c>
      <c r="B812" s="23">
        <v>-22871</v>
      </c>
      <c r="C812" s="20">
        <v>7267.5</v>
      </c>
      <c r="D812" s="23">
        <f t="shared" si="284"/>
        <v>-15603.5</v>
      </c>
      <c r="E812" s="7">
        <v>-6127.5</v>
      </c>
      <c r="F812" s="23">
        <f t="shared" si="281"/>
        <v>-9476</v>
      </c>
      <c r="G812" s="23">
        <v>-595863.75</v>
      </c>
      <c r="J812" s="27" t="s">
        <v>102</v>
      </c>
      <c r="K812" s="23">
        <v>-45742</v>
      </c>
      <c r="L812" s="20">
        <v>196293.75</v>
      </c>
      <c r="M812" s="23">
        <f t="shared" si="285"/>
        <v>150551.75</v>
      </c>
      <c r="N812" s="7">
        <v>7766.25</v>
      </c>
      <c r="O812" s="23">
        <f t="shared" si="282"/>
        <v>142785.5</v>
      </c>
      <c r="P812" s="23">
        <v>-438971.25</v>
      </c>
      <c r="R812" s="27" t="s">
        <v>102</v>
      </c>
      <c r="S812" s="23">
        <v>-16316</v>
      </c>
      <c r="T812" s="20">
        <v>93123.75</v>
      </c>
      <c r="U812" s="23">
        <f t="shared" si="286"/>
        <v>76807.75</v>
      </c>
      <c r="V812" s="7">
        <v>5913.75</v>
      </c>
      <c r="W812" s="23">
        <f t="shared" si="283"/>
        <v>70894</v>
      </c>
      <c r="X812" s="23">
        <v>-403417.5</v>
      </c>
    </row>
    <row r="813" spans="1:24" ht="15.75" x14ac:dyDescent="0.25">
      <c r="A813" s="27" t="s">
        <v>73</v>
      </c>
      <c r="B813" s="23">
        <v>60690</v>
      </c>
      <c r="C813" s="20">
        <v>-87465</v>
      </c>
      <c r="D813" s="23">
        <f t="shared" si="284"/>
        <v>-26775</v>
      </c>
      <c r="E813" s="7">
        <v>-2380</v>
      </c>
      <c r="F813" s="23">
        <f t="shared" si="281"/>
        <v>-24395</v>
      </c>
      <c r="G813" s="23">
        <v>-349052.5</v>
      </c>
      <c r="J813" s="27" t="s">
        <v>73</v>
      </c>
      <c r="K813" s="23">
        <v>71867</v>
      </c>
      <c r="L813" s="20">
        <v>-69615</v>
      </c>
      <c r="M813" s="23">
        <f t="shared" si="285"/>
        <v>2252</v>
      </c>
      <c r="N813" s="7">
        <v>12367.5</v>
      </c>
      <c r="O813" s="23">
        <f t="shared" si="282"/>
        <v>-10115.5</v>
      </c>
      <c r="P813" s="23">
        <v>-289170</v>
      </c>
      <c r="R813" s="27" t="s">
        <v>73</v>
      </c>
      <c r="S813" s="23">
        <v>27667</v>
      </c>
      <c r="T813" s="20">
        <v>44582.5</v>
      </c>
      <c r="U813" s="23">
        <f t="shared" si="286"/>
        <v>72249.5</v>
      </c>
      <c r="V813" s="7">
        <v>9350</v>
      </c>
      <c r="W813" s="23">
        <f t="shared" si="283"/>
        <v>62899.5</v>
      </c>
      <c r="X813" s="23">
        <v>0</v>
      </c>
    </row>
    <row r="814" spans="1:24" ht="15.75" x14ac:dyDescent="0.25">
      <c r="A814" s="27" t="s">
        <v>92</v>
      </c>
      <c r="B814" s="23">
        <v>-18600</v>
      </c>
      <c r="C814" s="20">
        <v>0</v>
      </c>
      <c r="D814" s="23">
        <f t="shared" si="284"/>
        <v>-18600</v>
      </c>
      <c r="E814" s="7">
        <v>-17500</v>
      </c>
      <c r="F814" s="23">
        <f t="shared" si="281"/>
        <v>-1100</v>
      </c>
      <c r="G814" s="23">
        <v>-321000</v>
      </c>
      <c r="J814" s="27" t="s">
        <v>92</v>
      </c>
      <c r="K814" s="23">
        <v>11600</v>
      </c>
      <c r="L814" s="20">
        <v>85000</v>
      </c>
      <c r="M814" s="23">
        <f t="shared" si="285"/>
        <v>96600</v>
      </c>
      <c r="N814" s="7">
        <v>-10000</v>
      </c>
      <c r="O814" s="23">
        <f t="shared" si="282"/>
        <v>106600</v>
      </c>
      <c r="P814" s="23">
        <v>-242000</v>
      </c>
      <c r="R814" s="27" t="s">
        <v>92</v>
      </c>
      <c r="S814" s="23">
        <v>18800</v>
      </c>
      <c r="T814" s="20">
        <v>-53500</v>
      </c>
      <c r="U814" s="23">
        <f t="shared" si="286"/>
        <v>-34700</v>
      </c>
      <c r="V814" s="7">
        <v>21500</v>
      </c>
      <c r="W814" s="23">
        <f t="shared" si="283"/>
        <v>-56200</v>
      </c>
      <c r="X814" s="23">
        <v>-244000</v>
      </c>
    </row>
    <row r="815" spans="1:24" ht="15.75" x14ac:dyDescent="0.25">
      <c r="A815" s="27" t="s">
        <v>54</v>
      </c>
      <c r="B815" s="23">
        <v>-28050</v>
      </c>
      <c r="C815" s="20">
        <v>36500</v>
      </c>
      <c r="D815" s="23">
        <f t="shared" si="284"/>
        <v>8450</v>
      </c>
      <c r="E815" s="7">
        <v>13500</v>
      </c>
      <c r="F815" s="23">
        <f t="shared" si="281"/>
        <v>-5050</v>
      </c>
      <c r="G815" s="23">
        <v>-436000</v>
      </c>
      <c r="J815" s="27" t="s">
        <v>54</v>
      </c>
      <c r="K815" s="23">
        <v>17000</v>
      </c>
      <c r="L815" s="20">
        <v>92000.000000000015</v>
      </c>
      <c r="M815" s="23">
        <f t="shared" si="285"/>
        <v>109000.00000000001</v>
      </c>
      <c r="N815" s="7">
        <v>9000</v>
      </c>
      <c r="O815" s="23">
        <f t="shared" si="282"/>
        <v>100000.00000000001</v>
      </c>
      <c r="P815" s="23">
        <v>-379000</v>
      </c>
      <c r="R815" s="27" t="s">
        <v>54</v>
      </c>
      <c r="S815" s="23">
        <v>23900</v>
      </c>
      <c r="T815" s="20">
        <v>-64500</v>
      </c>
      <c r="U815" s="23">
        <f t="shared" si="286"/>
        <v>-40600</v>
      </c>
      <c r="V815" s="7">
        <v>-9000</v>
      </c>
      <c r="W815" s="23">
        <f t="shared" si="283"/>
        <v>-31600</v>
      </c>
      <c r="X815" s="23">
        <v>0</v>
      </c>
    </row>
    <row r="816" spans="1:24" ht="15.75" x14ac:dyDescent="0.25">
      <c r="A816" s="27" t="s">
        <v>78</v>
      </c>
      <c r="B816" s="23">
        <v>-22350</v>
      </c>
      <c r="C816" s="20">
        <v>-128250</v>
      </c>
      <c r="D816" s="23">
        <f t="shared" si="284"/>
        <v>-150600</v>
      </c>
      <c r="E816" s="7">
        <v>10150</v>
      </c>
      <c r="F816" s="23">
        <f t="shared" si="281"/>
        <v>-160750</v>
      </c>
      <c r="G816" s="23">
        <v>-405700</v>
      </c>
      <c r="J816" s="27" t="s">
        <v>78</v>
      </c>
      <c r="K816" s="23">
        <v>-35518</v>
      </c>
      <c r="L816" s="20">
        <v>131300</v>
      </c>
      <c r="M816" s="23">
        <f t="shared" si="285"/>
        <v>95782</v>
      </c>
      <c r="N816" s="7">
        <v>21300</v>
      </c>
      <c r="O816" s="23">
        <f t="shared" si="282"/>
        <v>74482</v>
      </c>
      <c r="P816" s="23">
        <v>-435500</v>
      </c>
      <c r="R816" s="27" t="s">
        <v>78</v>
      </c>
      <c r="S816" s="23">
        <v>260106</v>
      </c>
      <c r="T816" s="20">
        <v>-390937.5</v>
      </c>
      <c r="U816" s="23">
        <f t="shared" si="286"/>
        <v>-130831.5</v>
      </c>
      <c r="V816" s="7">
        <v>2550</v>
      </c>
      <c r="W816" s="23">
        <f t="shared" si="283"/>
        <v>-133381.5</v>
      </c>
      <c r="X816" s="23">
        <v>-347550</v>
      </c>
    </row>
    <row r="817" spans="1:24" ht="15.75" x14ac:dyDescent="0.25">
      <c r="A817" s="27" t="s">
        <v>97</v>
      </c>
      <c r="B817" s="23">
        <v>-9500</v>
      </c>
      <c r="C817" s="20">
        <v>38500</v>
      </c>
      <c r="D817" s="23">
        <f t="shared" si="284"/>
        <v>29000</v>
      </c>
      <c r="E817" s="7">
        <v>1500</v>
      </c>
      <c r="F817" s="23">
        <f t="shared" si="281"/>
        <v>27500</v>
      </c>
      <c r="G817" s="23">
        <v>-453500</v>
      </c>
      <c r="J817" s="27" t="s">
        <v>97</v>
      </c>
      <c r="K817" s="23">
        <v>-35375</v>
      </c>
      <c r="L817" s="20">
        <v>158250</v>
      </c>
      <c r="M817" s="23">
        <f t="shared" si="285"/>
        <v>122875</v>
      </c>
      <c r="N817" s="7">
        <v>-11250</v>
      </c>
      <c r="O817" s="23">
        <f t="shared" si="282"/>
        <v>134125</v>
      </c>
      <c r="P817" s="23">
        <v>-469500</v>
      </c>
      <c r="R817" s="27" t="s">
        <v>97</v>
      </c>
      <c r="S817" s="23">
        <v>201062</v>
      </c>
      <c r="T817" s="20">
        <v>-369750</v>
      </c>
      <c r="U817" s="23">
        <f t="shared" si="286"/>
        <v>-168688</v>
      </c>
      <c r="V817" s="7">
        <v>5750</v>
      </c>
      <c r="W817" s="23">
        <f t="shared" si="283"/>
        <v>-174438</v>
      </c>
      <c r="X817" s="23">
        <v>-376000</v>
      </c>
    </row>
    <row r="818" spans="1:24" ht="15.75" x14ac:dyDescent="0.25">
      <c r="A818" s="27" t="s">
        <v>85</v>
      </c>
      <c r="B818" s="23">
        <v>-57900</v>
      </c>
      <c r="C818" s="20">
        <v>39150</v>
      </c>
      <c r="D818" s="23">
        <f t="shared" si="284"/>
        <v>-18750</v>
      </c>
      <c r="E818" s="7">
        <v>5100</v>
      </c>
      <c r="F818" s="23">
        <f t="shared" si="281"/>
        <v>-23850</v>
      </c>
      <c r="G818" s="23">
        <v>-471000</v>
      </c>
      <c r="J818" s="27" t="s">
        <v>85</v>
      </c>
      <c r="K818" s="23">
        <v>82650</v>
      </c>
      <c r="L818" s="20">
        <v>14550.000000000029</v>
      </c>
      <c r="M818" s="23">
        <f t="shared" si="285"/>
        <v>97200.000000000029</v>
      </c>
      <c r="N818" s="7">
        <v>4650.0000000000009</v>
      </c>
      <c r="O818" s="23">
        <f t="shared" si="282"/>
        <v>92550.000000000029</v>
      </c>
      <c r="P818" s="23">
        <v>-556950</v>
      </c>
      <c r="R818" s="27" t="s">
        <v>85</v>
      </c>
      <c r="S818" s="23">
        <v>19650</v>
      </c>
      <c r="T818" s="20">
        <v>96600</v>
      </c>
      <c r="U818" s="23">
        <f t="shared" si="286"/>
        <v>116250</v>
      </c>
      <c r="V818" s="7">
        <v>4650</v>
      </c>
      <c r="W818" s="23">
        <f t="shared" si="283"/>
        <v>111600</v>
      </c>
      <c r="X818" s="23">
        <v>-495000</v>
      </c>
    </row>
    <row r="819" spans="1:24" ht="15.75" x14ac:dyDescent="0.25">
      <c r="A819" s="21" t="s">
        <v>107</v>
      </c>
      <c r="B819" s="22">
        <f t="shared" ref="B819:C819" si="287">SUM(B804:B818)</f>
        <v>-183067</v>
      </c>
      <c r="C819" s="18">
        <f t="shared" si="287"/>
        <v>-421124.5</v>
      </c>
      <c r="D819" s="23">
        <f>SUM(D804:D818)</f>
        <v>-604191.5</v>
      </c>
      <c r="E819" s="18">
        <f t="shared" ref="E819" si="288">SUM(E804:E818)</f>
        <v>1749.5000000000073</v>
      </c>
      <c r="F819" s="23">
        <f>SUM(F804:F818)</f>
        <v>-605941</v>
      </c>
      <c r="G819" s="17">
        <f t="shared" ref="G819" si="289">SUM(G804:G818)</f>
        <v>-6256611.75</v>
      </c>
      <c r="J819" s="21" t="s">
        <v>107</v>
      </c>
      <c r="K819" s="22">
        <f t="shared" ref="K819:L819" si="290">SUM(K804:K818)</f>
        <v>-21565</v>
      </c>
      <c r="L819" s="18">
        <f t="shared" si="290"/>
        <v>1133220.25</v>
      </c>
      <c r="M819" s="23">
        <f>SUM(M804:M818)</f>
        <v>1111655.25</v>
      </c>
      <c r="N819" s="18">
        <f t="shared" ref="N819" si="291">SUM(N804:N818)</f>
        <v>24507.25</v>
      </c>
      <c r="O819" s="23">
        <f>SUM(O804:O818)</f>
        <v>1087148</v>
      </c>
      <c r="P819" s="17">
        <f t="shared" ref="P819" si="292">SUM(P804:P818)</f>
        <v>-5945745.25</v>
      </c>
      <c r="R819" s="21" t="s">
        <v>107</v>
      </c>
      <c r="S819" s="22">
        <f t="shared" ref="S819:T819" si="293">SUM(S804:S818)</f>
        <v>1163313</v>
      </c>
      <c r="T819" s="18">
        <f t="shared" si="293"/>
        <v>-1289288.75</v>
      </c>
      <c r="U819" s="23">
        <f>SUM(U804:U818)</f>
        <v>-125975.75000000003</v>
      </c>
      <c r="V819" s="18">
        <f t="shared" ref="V819" si="294">SUM(V804:V818)</f>
        <v>-54329.75</v>
      </c>
      <c r="W819" s="23">
        <f>SUM(W804:W818)</f>
        <v>-71646.000000000029</v>
      </c>
      <c r="X819" s="17">
        <f t="shared" ref="X819" si="295">SUM(X804:X818)</f>
        <v>-4641449</v>
      </c>
    </row>
    <row r="822" spans="1:24" ht="15.75" x14ac:dyDescent="0.25">
      <c r="A822" s="106">
        <v>45012</v>
      </c>
      <c r="B822" s="106"/>
      <c r="C822" s="106"/>
      <c r="D822" s="106"/>
      <c r="E822" s="106"/>
      <c r="F822" s="106"/>
      <c r="G822" s="106"/>
      <c r="J822" s="106">
        <v>45013</v>
      </c>
      <c r="K822" s="106"/>
      <c r="L822" s="106"/>
      <c r="M822" s="106"/>
      <c r="N822" s="106"/>
      <c r="O822" s="106"/>
      <c r="P822" s="106"/>
    </row>
    <row r="823" spans="1:24" ht="15.75" x14ac:dyDescent="0.25">
      <c r="A823" s="22" t="s">
        <v>34</v>
      </c>
      <c r="B823" s="22" t="s">
        <v>104</v>
      </c>
      <c r="C823" s="22" t="s">
        <v>105</v>
      </c>
      <c r="D823" s="22" t="s">
        <v>112</v>
      </c>
      <c r="E823" s="22" t="s">
        <v>106</v>
      </c>
      <c r="F823" s="21" t="s">
        <v>108</v>
      </c>
      <c r="G823" s="21" t="s">
        <v>28</v>
      </c>
      <c r="J823" s="22" t="s">
        <v>34</v>
      </c>
      <c r="K823" s="22" t="s">
        <v>104</v>
      </c>
      <c r="L823" s="22" t="s">
        <v>105</v>
      </c>
      <c r="M823" s="22" t="s">
        <v>112</v>
      </c>
      <c r="N823" s="22" t="s">
        <v>106</v>
      </c>
      <c r="O823" s="21" t="s">
        <v>108</v>
      </c>
      <c r="P823" s="21" t="s">
        <v>28</v>
      </c>
    </row>
    <row r="824" spans="1:24" ht="15.75" x14ac:dyDescent="0.25">
      <c r="A824" s="27" t="s">
        <v>71</v>
      </c>
      <c r="B824" s="23">
        <v>-8750</v>
      </c>
      <c r="C824" s="20">
        <v>70349.999999999971</v>
      </c>
      <c r="D824" s="23">
        <f>+C824+B824</f>
        <v>61599.999999999971</v>
      </c>
      <c r="E824" s="7">
        <v>26600</v>
      </c>
      <c r="F824" s="23">
        <f t="shared" ref="F824:F836" si="296">+B824+C824-E824</f>
        <v>34999.999999999971</v>
      </c>
      <c r="G824" s="23">
        <v>0</v>
      </c>
      <c r="J824" s="27" t="s">
        <v>58</v>
      </c>
      <c r="K824" s="23">
        <v>22400</v>
      </c>
      <c r="L824" s="20">
        <v>4400</v>
      </c>
      <c r="M824" s="23">
        <f t="shared" ref="M824" si="297">+L824+K824</f>
        <v>26800</v>
      </c>
      <c r="N824" s="7">
        <v>-4000</v>
      </c>
      <c r="O824" s="23">
        <f t="shared" ref="O824" si="298">+K824+L824-N824</f>
        <v>30800</v>
      </c>
      <c r="P824" s="23">
        <v>0</v>
      </c>
    </row>
    <row r="825" spans="1:24" ht="15.75" x14ac:dyDescent="0.25">
      <c r="A825" s="27" t="s">
        <v>94</v>
      </c>
      <c r="B825" s="23">
        <v>13140</v>
      </c>
      <c r="C825" s="20">
        <v>65880</v>
      </c>
      <c r="D825" s="23">
        <f t="shared" ref="D825:D836" si="299">+C825+B825</f>
        <v>79020</v>
      </c>
      <c r="E825" s="7">
        <v>6120</v>
      </c>
      <c r="F825" s="23">
        <f t="shared" si="296"/>
        <v>72900</v>
      </c>
      <c r="G825" s="23">
        <v>0</v>
      </c>
      <c r="J825" s="21" t="s">
        <v>107</v>
      </c>
      <c r="K825" s="22">
        <f t="shared" ref="K825:P825" si="300">SUM(K824:K824)</f>
        <v>22400</v>
      </c>
      <c r="L825" s="18">
        <f t="shared" si="300"/>
        <v>4400</v>
      </c>
      <c r="M825" s="23">
        <f t="shared" si="300"/>
        <v>26800</v>
      </c>
      <c r="N825" s="18">
        <f t="shared" si="300"/>
        <v>-4000</v>
      </c>
      <c r="O825" s="23">
        <f t="shared" si="300"/>
        <v>30800</v>
      </c>
      <c r="P825" s="17">
        <f t="shared" si="300"/>
        <v>0</v>
      </c>
    </row>
    <row r="826" spans="1:24" ht="15.75" x14ac:dyDescent="0.25">
      <c r="A826" s="27" t="s">
        <v>58</v>
      </c>
      <c r="B826" s="23">
        <v>9600</v>
      </c>
      <c r="C826" s="20">
        <v>-34200</v>
      </c>
      <c r="D826" s="23">
        <f t="shared" si="299"/>
        <v>-24600</v>
      </c>
      <c r="E826" s="7">
        <v>-18600</v>
      </c>
      <c r="F826" s="23">
        <f t="shared" si="296"/>
        <v>-6000</v>
      </c>
      <c r="G826" s="23">
        <v>-42400</v>
      </c>
    </row>
    <row r="827" spans="1:24" ht="15.75" x14ac:dyDescent="0.25">
      <c r="A827" s="27" t="s">
        <v>116</v>
      </c>
      <c r="B827" s="23">
        <v>-59850</v>
      </c>
      <c r="C827" s="20">
        <v>286635</v>
      </c>
      <c r="D827" s="23">
        <f t="shared" si="299"/>
        <v>226785</v>
      </c>
      <c r="E827" s="7">
        <v>25245</v>
      </c>
      <c r="F827" s="23">
        <f t="shared" si="296"/>
        <v>201540</v>
      </c>
      <c r="G827" s="23">
        <v>0</v>
      </c>
    </row>
    <row r="828" spans="1:24" ht="15.75" x14ac:dyDescent="0.25">
      <c r="A828" s="27" t="s">
        <v>89</v>
      </c>
      <c r="B828" s="23">
        <v>27260</v>
      </c>
      <c r="C828" s="20">
        <v>-25954.999999999993</v>
      </c>
      <c r="D828" s="23">
        <f t="shared" si="299"/>
        <v>1305.0000000000073</v>
      </c>
      <c r="E828" s="7">
        <v>32045</v>
      </c>
      <c r="F828" s="23">
        <f t="shared" si="296"/>
        <v>-30739.999999999993</v>
      </c>
      <c r="G828" s="23">
        <v>0</v>
      </c>
    </row>
    <row r="829" spans="1:24" ht="15.75" x14ac:dyDescent="0.25">
      <c r="A829" s="27" t="s">
        <v>75</v>
      </c>
      <c r="B829" s="23">
        <v>-85200</v>
      </c>
      <c r="C829" s="20">
        <v>153500</v>
      </c>
      <c r="D829" s="23">
        <f t="shared" si="299"/>
        <v>68300</v>
      </c>
      <c r="E829" s="7">
        <v>-6900</v>
      </c>
      <c r="F829" s="23">
        <f t="shared" si="296"/>
        <v>75200</v>
      </c>
      <c r="G829" s="23">
        <v>0</v>
      </c>
    </row>
    <row r="830" spans="1:24" ht="15.75" x14ac:dyDescent="0.25">
      <c r="A830" s="27" t="s">
        <v>62</v>
      </c>
      <c r="B830" s="23">
        <v>-11437</v>
      </c>
      <c r="C830" s="20">
        <v>30650</v>
      </c>
      <c r="D830" s="23">
        <f t="shared" si="299"/>
        <v>19213</v>
      </c>
      <c r="E830" s="7">
        <v>-12100</v>
      </c>
      <c r="F830" s="23">
        <f t="shared" si="296"/>
        <v>31313</v>
      </c>
      <c r="G830" s="23">
        <v>0</v>
      </c>
    </row>
    <row r="831" spans="1:24" ht="15.75" x14ac:dyDescent="0.25">
      <c r="A831" s="27" t="s">
        <v>95</v>
      </c>
      <c r="B831" s="23">
        <v>-37912</v>
      </c>
      <c r="C831" s="20">
        <v>63492</v>
      </c>
      <c r="D831" s="23">
        <f t="shared" si="299"/>
        <v>25580</v>
      </c>
      <c r="E831" s="7">
        <v>8329.5</v>
      </c>
      <c r="F831" s="23">
        <f t="shared" si="296"/>
        <v>17250.5</v>
      </c>
      <c r="G831" s="23">
        <v>0</v>
      </c>
    </row>
    <row r="832" spans="1:24" ht="15.75" x14ac:dyDescent="0.25">
      <c r="A832" s="27" t="s">
        <v>102</v>
      </c>
      <c r="B832" s="23">
        <v>-18810</v>
      </c>
      <c r="C832" s="20">
        <v>46882.5</v>
      </c>
      <c r="D832" s="23">
        <f t="shared" si="299"/>
        <v>28072.5</v>
      </c>
      <c r="E832" s="7">
        <v>285</v>
      </c>
      <c r="F832" s="23">
        <f t="shared" si="296"/>
        <v>27787.5</v>
      </c>
      <c r="G832" s="23">
        <v>0</v>
      </c>
    </row>
    <row r="833" spans="1:25" ht="15.75" x14ac:dyDescent="0.25">
      <c r="A833" s="27" t="s">
        <v>92</v>
      </c>
      <c r="B833" s="23">
        <v>-66000</v>
      </c>
      <c r="C833" s="20">
        <v>-14500</v>
      </c>
      <c r="D833" s="23">
        <f t="shared" si="299"/>
        <v>-80500</v>
      </c>
      <c r="E833" s="7">
        <v>-500</v>
      </c>
      <c r="F833" s="23">
        <f t="shared" si="296"/>
        <v>-80000</v>
      </c>
      <c r="G833" s="23">
        <v>0</v>
      </c>
    </row>
    <row r="834" spans="1:25" ht="15.75" x14ac:dyDescent="0.25">
      <c r="A834" s="27" t="s">
        <v>78</v>
      </c>
      <c r="B834" s="23">
        <v>-62437</v>
      </c>
      <c r="C834" s="20">
        <v>116650</v>
      </c>
      <c r="D834" s="23">
        <f t="shared" si="299"/>
        <v>54213</v>
      </c>
      <c r="E834" s="7">
        <v>11400</v>
      </c>
      <c r="F834" s="23">
        <f t="shared" si="296"/>
        <v>42813</v>
      </c>
      <c r="G834" s="23">
        <v>0</v>
      </c>
    </row>
    <row r="835" spans="1:25" ht="15.75" x14ac:dyDescent="0.25">
      <c r="A835" s="27" t="s">
        <v>97</v>
      </c>
      <c r="B835" s="23">
        <v>-101687</v>
      </c>
      <c r="C835" s="20">
        <v>167000</v>
      </c>
      <c r="D835" s="23">
        <f t="shared" si="299"/>
        <v>65313</v>
      </c>
      <c r="E835" s="7">
        <v>-1500.0000000000036</v>
      </c>
      <c r="F835" s="23">
        <f t="shared" si="296"/>
        <v>66813</v>
      </c>
      <c r="G835" s="23">
        <v>0</v>
      </c>
    </row>
    <row r="836" spans="1:25" ht="15.75" x14ac:dyDescent="0.25">
      <c r="A836" s="27" t="s">
        <v>85</v>
      </c>
      <c r="B836" s="23">
        <v>-65475</v>
      </c>
      <c r="C836" s="20">
        <v>224550</v>
      </c>
      <c r="D836" s="23">
        <f t="shared" si="299"/>
        <v>159075</v>
      </c>
      <c r="E836" s="7">
        <v>15600</v>
      </c>
      <c r="F836" s="23">
        <f t="shared" si="296"/>
        <v>143475</v>
      </c>
      <c r="G836" s="23">
        <v>0</v>
      </c>
    </row>
    <row r="837" spans="1:25" ht="15.75" x14ac:dyDescent="0.25">
      <c r="A837" s="21" t="s">
        <v>107</v>
      </c>
      <c r="B837" s="22">
        <f t="shared" ref="B837:G837" si="301">SUM(B824:B836)</f>
        <v>-467558</v>
      </c>
      <c r="C837" s="18">
        <f t="shared" si="301"/>
        <v>1150934.5</v>
      </c>
      <c r="D837" s="23">
        <f t="shared" si="301"/>
        <v>683376.5</v>
      </c>
      <c r="E837" s="18">
        <f t="shared" si="301"/>
        <v>86024.5</v>
      </c>
      <c r="F837" s="23">
        <f t="shared" si="301"/>
        <v>597352</v>
      </c>
      <c r="G837" s="17">
        <f t="shared" si="301"/>
        <v>-42400</v>
      </c>
    </row>
    <row r="841" spans="1:25" x14ac:dyDescent="0.25">
      <c r="A841" s="130">
        <v>45017</v>
      </c>
      <c r="B841" s="131"/>
      <c r="C841" s="131"/>
      <c r="D841" s="131"/>
      <c r="E841" s="131"/>
      <c r="F841" s="131"/>
    </row>
    <row r="842" spans="1:25" x14ac:dyDescent="0.25">
      <c r="A842" s="131"/>
      <c r="B842" s="131"/>
      <c r="C842" s="131"/>
      <c r="D842" s="131"/>
      <c r="E842" s="131"/>
      <c r="F842" s="131"/>
    </row>
    <row r="843" spans="1:25" x14ac:dyDescent="0.25">
      <c r="A843" s="131"/>
      <c r="B843" s="131"/>
      <c r="C843" s="131"/>
      <c r="D843" s="131"/>
      <c r="E843" s="131"/>
      <c r="F843" s="131"/>
    </row>
    <row r="844" spans="1:25" x14ac:dyDescent="0.25">
      <c r="A844" s="131"/>
      <c r="B844" s="131"/>
      <c r="C844" s="131"/>
      <c r="D844" s="131"/>
      <c r="E844" s="131"/>
      <c r="F844" s="131"/>
    </row>
    <row r="847" spans="1:25" ht="15.75" x14ac:dyDescent="0.25">
      <c r="A847" s="106">
        <v>45028</v>
      </c>
      <c r="B847" s="106"/>
      <c r="C847" s="106"/>
      <c r="D847" s="106"/>
      <c r="E847" s="106"/>
      <c r="F847" s="106"/>
      <c r="G847" s="106"/>
      <c r="J847" s="106">
        <v>45029</v>
      </c>
      <c r="K847" s="106"/>
      <c r="L847" s="106"/>
      <c r="M847" s="106"/>
      <c r="N847" s="106"/>
      <c r="O847" s="106"/>
      <c r="P847" s="106"/>
      <c r="S847" s="106">
        <v>45033</v>
      </c>
      <c r="T847" s="106"/>
      <c r="U847" s="106"/>
      <c r="V847" s="106"/>
      <c r="W847" s="106"/>
      <c r="X847" s="106"/>
      <c r="Y847" s="106"/>
    </row>
    <row r="848" spans="1:25" ht="15.75" x14ac:dyDescent="0.25">
      <c r="A848" s="22" t="s">
        <v>34</v>
      </c>
      <c r="B848" s="22" t="s">
        <v>104</v>
      </c>
      <c r="C848" s="22" t="s">
        <v>105</v>
      </c>
      <c r="D848" s="22" t="s">
        <v>112</v>
      </c>
      <c r="E848" s="22" t="s">
        <v>106</v>
      </c>
      <c r="F848" s="21" t="s">
        <v>108</v>
      </c>
      <c r="G848" s="21" t="s">
        <v>28</v>
      </c>
      <c r="J848" s="22" t="s">
        <v>34</v>
      </c>
      <c r="K848" s="22" t="s">
        <v>104</v>
      </c>
      <c r="L848" s="22" t="s">
        <v>105</v>
      </c>
      <c r="M848" s="22" t="s">
        <v>112</v>
      </c>
      <c r="N848" s="22" t="s">
        <v>106</v>
      </c>
      <c r="O848" s="21" t="s">
        <v>108</v>
      </c>
      <c r="P848" s="21" t="s">
        <v>28</v>
      </c>
      <c r="S848" s="22" t="s">
        <v>34</v>
      </c>
      <c r="T848" s="22" t="s">
        <v>104</v>
      </c>
      <c r="U848" s="22" t="s">
        <v>105</v>
      </c>
      <c r="V848" s="22" t="s">
        <v>112</v>
      </c>
      <c r="W848" s="22" t="s">
        <v>106</v>
      </c>
      <c r="X848" s="21" t="s">
        <v>108</v>
      </c>
      <c r="Y848" s="21" t="s">
        <v>28</v>
      </c>
    </row>
    <row r="849" spans="1:25" ht="15.75" x14ac:dyDescent="0.25">
      <c r="A849" s="27" t="s">
        <v>68</v>
      </c>
      <c r="B849" s="23">
        <v>12350</v>
      </c>
      <c r="C849" s="20"/>
      <c r="D849" s="23">
        <f>+C849+B849</f>
        <v>12350</v>
      </c>
      <c r="E849" s="7"/>
      <c r="F849" s="23">
        <f t="shared" ref="F849:F864" si="302">+B849+C849-E849</f>
        <v>12350</v>
      </c>
      <c r="G849" s="23">
        <v>-258180</v>
      </c>
      <c r="J849" s="27" t="s">
        <v>68</v>
      </c>
      <c r="K849" s="23">
        <v>-9230</v>
      </c>
      <c r="L849" s="20">
        <v>-14040</v>
      </c>
      <c r="M849" s="23">
        <f>+L849+K849</f>
        <v>-23270</v>
      </c>
      <c r="N849" s="7">
        <v>0</v>
      </c>
      <c r="O849" s="23">
        <f t="shared" ref="O849:O864" si="303">+K849+L849-N849</f>
        <v>-23270</v>
      </c>
      <c r="P849" s="23">
        <v>-496600</v>
      </c>
      <c r="S849" s="27" t="s">
        <v>68</v>
      </c>
      <c r="T849" s="23">
        <v>-17420</v>
      </c>
      <c r="U849" s="20">
        <v>138450</v>
      </c>
      <c r="V849" s="23">
        <f>+U849+T849</f>
        <v>121030</v>
      </c>
      <c r="W849" s="7">
        <v>23400</v>
      </c>
      <c r="X849" s="23">
        <f t="shared" ref="X849:X864" si="304">+T849+U849-W849</f>
        <v>97630</v>
      </c>
      <c r="Y849" s="23">
        <v>-417430</v>
      </c>
    </row>
    <row r="850" spans="1:25" ht="15.75" x14ac:dyDescent="0.25">
      <c r="A850" s="27" t="s">
        <v>71</v>
      </c>
      <c r="B850" s="23">
        <v>16625</v>
      </c>
      <c r="C850" s="20"/>
      <c r="D850" s="23">
        <f t="shared" ref="D850:D864" si="305">+C850+B850</f>
        <v>16625</v>
      </c>
      <c r="E850" s="7"/>
      <c r="F850" s="23">
        <f t="shared" si="302"/>
        <v>16625</v>
      </c>
      <c r="G850" s="23">
        <v>-254800</v>
      </c>
      <c r="J850" s="27" t="s">
        <v>71</v>
      </c>
      <c r="K850" s="23">
        <v>-22400</v>
      </c>
      <c r="L850" s="20">
        <v>40600</v>
      </c>
      <c r="M850" s="23">
        <f t="shared" ref="M850:M864" si="306">+L850+K850</f>
        <v>18200</v>
      </c>
      <c r="N850" s="7">
        <v>-1750</v>
      </c>
      <c r="O850" s="23">
        <f t="shared" si="303"/>
        <v>19950</v>
      </c>
      <c r="P850" s="23">
        <v>-510650</v>
      </c>
      <c r="S850" s="27" t="s">
        <v>71</v>
      </c>
      <c r="T850" s="23">
        <v>-1400</v>
      </c>
      <c r="U850" s="20">
        <v>47950</v>
      </c>
      <c r="V850" s="23">
        <f t="shared" ref="V850:V864" si="307">+U850+T850</f>
        <v>46550</v>
      </c>
      <c r="W850" s="7">
        <v>-7350</v>
      </c>
      <c r="X850" s="23">
        <f t="shared" si="304"/>
        <v>53900</v>
      </c>
      <c r="Y850" s="23">
        <v>-529375</v>
      </c>
    </row>
    <row r="851" spans="1:25" ht="15.75" x14ac:dyDescent="0.25">
      <c r="A851" s="27" t="s">
        <v>100</v>
      </c>
      <c r="B851" s="23">
        <v>-8500</v>
      </c>
      <c r="C851" s="20"/>
      <c r="D851" s="23">
        <f t="shared" si="305"/>
        <v>-8500</v>
      </c>
      <c r="E851" s="7"/>
      <c r="F851" s="23">
        <f t="shared" si="302"/>
        <v>-8500</v>
      </c>
      <c r="G851" s="23">
        <v>-199900</v>
      </c>
      <c r="J851" s="27" t="s">
        <v>100</v>
      </c>
      <c r="K851" s="23">
        <v>667550</v>
      </c>
      <c r="L851" s="20">
        <v>-1756500</v>
      </c>
      <c r="M851" s="23">
        <f t="shared" si="306"/>
        <v>-1088950</v>
      </c>
      <c r="N851" s="7">
        <v>1700</v>
      </c>
      <c r="O851" s="23">
        <f t="shared" si="303"/>
        <v>-1090650</v>
      </c>
      <c r="P851" s="23">
        <v>-1090000</v>
      </c>
      <c r="S851" s="27" t="s">
        <v>100</v>
      </c>
      <c r="T851" s="23">
        <v>-16950</v>
      </c>
      <c r="U851" s="20">
        <v>330000</v>
      </c>
      <c r="V851" s="23">
        <f t="shared" si="307"/>
        <v>313050</v>
      </c>
      <c r="W851" s="7">
        <v>15500</v>
      </c>
      <c r="X851" s="23">
        <f t="shared" si="304"/>
        <v>297550</v>
      </c>
      <c r="Y851" s="23">
        <v>-1120000</v>
      </c>
    </row>
    <row r="852" spans="1:25" ht="15.75" x14ac:dyDescent="0.25">
      <c r="A852" s="27" t="s">
        <v>94</v>
      </c>
      <c r="B852" s="23">
        <v>1980</v>
      </c>
      <c r="C852" s="20"/>
      <c r="D852" s="23">
        <f t="shared" si="305"/>
        <v>1980</v>
      </c>
      <c r="E852" s="7"/>
      <c r="F852" s="23">
        <f t="shared" si="302"/>
        <v>1980</v>
      </c>
      <c r="G852" s="23">
        <v>-270090</v>
      </c>
      <c r="J852" s="27" t="s">
        <v>94</v>
      </c>
      <c r="K852" s="23">
        <v>-29520</v>
      </c>
      <c r="L852" s="20">
        <v>12240</v>
      </c>
      <c r="M852" s="23">
        <f t="shared" si="306"/>
        <v>-17280</v>
      </c>
      <c r="N852" s="7">
        <v>0</v>
      </c>
      <c r="O852" s="23">
        <f t="shared" si="303"/>
        <v>-17280</v>
      </c>
      <c r="P852" s="23">
        <v>-672300</v>
      </c>
      <c r="S852" s="27" t="s">
        <v>94</v>
      </c>
      <c r="T852" s="23">
        <v>-4770</v>
      </c>
      <c r="U852" s="20">
        <v>108090</v>
      </c>
      <c r="V852" s="23">
        <f t="shared" si="307"/>
        <v>103320</v>
      </c>
      <c r="W852" s="7">
        <v>-41850</v>
      </c>
      <c r="X852" s="23">
        <f t="shared" si="304"/>
        <v>145170</v>
      </c>
      <c r="Y852" s="23">
        <v>-595800</v>
      </c>
    </row>
    <row r="853" spans="1:25" ht="15.75" x14ac:dyDescent="0.25">
      <c r="A853" s="27" t="s">
        <v>67</v>
      </c>
      <c r="B853" s="23">
        <v>-3100</v>
      </c>
      <c r="C853" s="20"/>
      <c r="D853" s="23">
        <f t="shared" si="305"/>
        <v>-3100</v>
      </c>
      <c r="E853" s="7"/>
      <c r="F853" s="23">
        <f t="shared" si="302"/>
        <v>-3100</v>
      </c>
      <c r="G853" s="23">
        <v>-241000</v>
      </c>
      <c r="J853" s="27" t="s">
        <v>67</v>
      </c>
      <c r="K853" s="23">
        <v>52900</v>
      </c>
      <c r="L853" s="20">
        <v>11500</v>
      </c>
      <c r="M853" s="23">
        <f t="shared" si="306"/>
        <v>64400</v>
      </c>
      <c r="N853" s="7">
        <v>5600</v>
      </c>
      <c r="O853" s="23">
        <f t="shared" si="303"/>
        <v>58800</v>
      </c>
      <c r="P853" s="23">
        <v>-510000</v>
      </c>
      <c r="S853" s="27" t="s">
        <v>67</v>
      </c>
      <c r="T853" s="23">
        <v>-144600</v>
      </c>
      <c r="U853" s="20">
        <v>89500</v>
      </c>
      <c r="V853" s="23">
        <f t="shared" si="307"/>
        <v>-55100</v>
      </c>
      <c r="W853" s="7">
        <v>12000</v>
      </c>
      <c r="X853" s="23">
        <f t="shared" si="304"/>
        <v>-67100</v>
      </c>
      <c r="Y853" s="23">
        <v>-347000</v>
      </c>
    </row>
    <row r="854" spans="1:25" ht="15.75" x14ac:dyDescent="0.25">
      <c r="A854" s="27" t="s">
        <v>16</v>
      </c>
      <c r="B854" s="23">
        <v>-8025</v>
      </c>
      <c r="C854" s="20"/>
      <c r="D854" s="23">
        <f t="shared" si="305"/>
        <v>-8025</v>
      </c>
      <c r="E854" s="7"/>
      <c r="F854" s="23">
        <f t="shared" si="302"/>
        <v>-8025</v>
      </c>
      <c r="G854" s="23">
        <v>-222900</v>
      </c>
      <c r="J854" s="27" t="s">
        <v>16</v>
      </c>
      <c r="K854" s="23">
        <v>-11400</v>
      </c>
      <c r="L854" s="20">
        <v>40500</v>
      </c>
      <c r="M854" s="23">
        <f t="shared" si="306"/>
        <v>29100</v>
      </c>
      <c r="N854" s="7">
        <v>-1800</v>
      </c>
      <c r="O854" s="23">
        <f t="shared" si="303"/>
        <v>30900</v>
      </c>
      <c r="P854" s="23">
        <v>-351600</v>
      </c>
      <c r="S854" s="27" t="s">
        <v>16</v>
      </c>
      <c r="T854" s="23">
        <v>-750</v>
      </c>
      <c r="U854" s="20">
        <v>31950</v>
      </c>
      <c r="V854" s="23">
        <f t="shared" si="307"/>
        <v>31200</v>
      </c>
      <c r="W854" s="7">
        <v>6600</v>
      </c>
      <c r="X854" s="23">
        <f t="shared" si="304"/>
        <v>24600</v>
      </c>
      <c r="Y854" s="23">
        <v>-294450</v>
      </c>
    </row>
    <row r="855" spans="1:25" ht="15.75" x14ac:dyDescent="0.25">
      <c r="A855" s="27" t="s">
        <v>58</v>
      </c>
      <c r="B855" s="23">
        <v>-2600</v>
      </c>
      <c r="C855" s="20"/>
      <c r="D855" s="23">
        <f t="shared" si="305"/>
        <v>-2600</v>
      </c>
      <c r="E855" s="7"/>
      <c r="F855" s="23">
        <f t="shared" si="302"/>
        <v>-2600</v>
      </c>
      <c r="G855" s="23">
        <v>-218000</v>
      </c>
      <c r="J855" s="27" t="s">
        <v>58</v>
      </c>
      <c r="K855" s="23">
        <v>-1600</v>
      </c>
      <c r="L855" s="20">
        <v>48000</v>
      </c>
      <c r="M855" s="23">
        <f t="shared" si="306"/>
        <v>46400</v>
      </c>
      <c r="N855" s="7">
        <v>1800</v>
      </c>
      <c r="O855" s="23">
        <f t="shared" si="303"/>
        <v>44600</v>
      </c>
      <c r="P855" s="23">
        <v>-490000</v>
      </c>
      <c r="S855" s="27" t="s">
        <v>58</v>
      </c>
      <c r="T855" s="23">
        <v>-2000</v>
      </c>
      <c r="U855" s="20">
        <v>-30800</v>
      </c>
      <c r="V855" s="23">
        <f t="shared" si="307"/>
        <v>-32800</v>
      </c>
      <c r="W855" s="7">
        <v>20200</v>
      </c>
      <c r="X855" s="23">
        <f t="shared" si="304"/>
        <v>-53000</v>
      </c>
      <c r="Y855" s="23">
        <v>-496000</v>
      </c>
    </row>
    <row r="856" spans="1:25" ht="15.75" x14ac:dyDescent="0.25">
      <c r="A856" s="27" t="s">
        <v>92</v>
      </c>
      <c r="B856" s="23">
        <v>-28100</v>
      </c>
      <c r="C856" s="20"/>
      <c r="D856" s="23">
        <f t="shared" si="305"/>
        <v>-28100</v>
      </c>
      <c r="E856" s="7"/>
      <c r="F856" s="23">
        <f t="shared" si="302"/>
        <v>-28100</v>
      </c>
      <c r="G856" s="23">
        <v>-263000</v>
      </c>
      <c r="J856" s="27" t="s">
        <v>92</v>
      </c>
      <c r="K856" s="23">
        <v>-8400</v>
      </c>
      <c r="L856" s="20">
        <v>45000</v>
      </c>
      <c r="M856" s="23">
        <f t="shared" si="306"/>
        <v>36600</v>
      </c>
      <c r="N856" s="7">
        <v>-5500</v>
      </c>
      <c r="O856" s="23">
        <f t="shared" si="303"/>
        <v>42100</v>
      </c>
      <c r="P856" s="23">
        <v>-449500</v>
      </c>
      <c r="S856" s="27" t="s">
        <v>92</v>
      </c>
      <c r="T856" s="23">
        <v>-12100</v>
      </c>
      <c r="U856" s="20">
        <v>-14000</v>
      </c>
      <c r="V856" s="23">
        <f t="shared" si="307"/>
        <v>-26100</v>
      </c>
      <c r="W856" s="7">
        <v>11500</v>
      </c>
      <c r="X856" s="23">
        <f t="shared" si="304"/>
        <v>-37600</v>
      </c>
      <c r="Y856" s="23">
        <v>-612000</v>
      </c>
    </row>
    <row r="857" spans="1:25" ht="15.75" x14ac:dyDescent="0.25">
      <c r="A857" s="27" t="s">
        <v>89</v>
      </c>
      <c r="B857" s="23">
        <v>3335</v>
      </c>
      <c r="C857" s="20"/>
      <c r="D857" s="23">
        <f t="shared" si="305"/>
        <v>3335</v>
      </c>
      <c r="E857" s="7"/>
      <c r="F857" s="23">
        <f t="shared" si="302"/>
        <v>3335</v>
      </c>
      <c r="G857" s="23">
        <v>-211700</v>
      </c>
      <c r="J857" s="27" t="s">
        <v>89</v>
      </c>
      <c r="K857" s="23">
        <v>40890</v>
      </c>
      <c r="L857" s="20">
        <v>20445</v>
      </c>
      <c r="M857" s="23">
        <f t="shared" si="306"/>
        <v>61335</v>
      </c>
      <c r="N857" s="7">
        <v>-580</v>
      </c>
      <c r="O857" s="23">
        <f t="shared" si="303"/>
        <v>61915</v>
      </c>
      <c r="P857" s="23">
        <v>-468350</v>
      </c>
      <c r="S857" s="27" t="s">
        <v>89</v>
      </c>
      <c r="T857" s="23">
        <v>-29290</v>
      </c>
      <c r="U857" s="20">
        <v>-166895</v>
      </c>
      <c r="V857" s="23">
        <f t="shared" si="307"/>
        <v>-196185</v>
      </c>
      <c r="W857" s="7">
        <v>9570</v>
      </c>
      <c r="X857" s="23">
        <f t="shared" si="304"/>
        <v>-205755</v>
      </c>
      <c r="Y857" s="23">
        <v>-702525</v>
      </c>
    </row>
    <row r="858" spans="1:25" ht="15.75" x14ac:dyDescent="0.25">
      <c r="A858" s="27" t="s">
        <v>97</v>
      </c>
      <c r="B858" s="23">
        <v>-11937</v>
      </c>
      <c r="C858" s="20"/>
      <c r="D858" s="23">
        <f t="shared" si="305"/>
        <v>-11937</v>
      </c>
      <c r="E858" s="7"/>
      <c r="F858" s="23">
        <f t="shared" si="302"/>
        <v>-11937</v>
      </c>
      <c r="G858" s="23">
        <v>-283750</v>
      </c>
      <c r="J858" s="27" t="s">
        <v>97</v>
      </c>
      <c r="K858" s="23">
        <v>500</v>
      </c>
      <c r="L858" s="20">
        <v>55625</v>
      </c>
      <c r="M858" s="23">
        <f t="shared" si="306"/>
        <v>56125</v>
      </c>
      <c r="N858" s="7">
        <v>-5375</v>
      </c>
      <c r="O858" s="23">
        <f t="shared" si="303"/>
        <v>61500</v>
      </c>
      <c r="P858" s="23">
        <v>-607500</v>
      </c>
      <c r="S858" s="27" t="s">
        <v>97</v>
      </c>
      <c r="T858" s="23">
        <v>121</v>
      </c>
      <c r="U858" s="20">
        <v>121500</v>
      </c>
      <c r="V858" s="23">
        <f t="shared" si="307"/>
        <v>121621</v>
      </c>
      <c r="W858" s="7">
        <v>19000</v>
      </c>
      <c r="X858" s="23">
        <f t="shared" si="304"/>
        <v>102621</v>
      </c>
      <c r="Y858" s="23">
        <v>-511750</v>
      </c>
    </row>
    <row r="859" spans="1:25" ht="15.75" x14ac:dyDescent="0.25">
      <c r="A859" s="27" t="s">
        <v>84</v>
      </c>
      <c r="B859" s="23">
        <v>275</v>
      </c>
      <c r="C859" s="20"/>
      <c r="D859" s="23">
        <f t="shared" si="305"/>
        <v>275</v>
      </c>
      <c r="E859" s="7"/>
      <c r="F859" s="23">
        <f t="shared" si="302"/>
        <v>275</v>
      </c>
      <c r="G859" s="23">
        <v>-72655</v>
      </c>
      <c r="J859" s="27" t="s">
        <v>84</v>
      </c>
      <c r="K859" s="23">
        <v>275</v>
      </c>
      <c r="L859" s="20">
        <v>8195</v>
      </c>
      <c r="M859" s="23">
        <f t="shared" si="306"/>
        <v>8470</v>
      </c>
      <c r="N859" s="7">
        <v>3190</v>
      </c>
      <c r="O859" s="23">
        <f t="shared" si="303"/>
        <v>5280</v>
      </c>
      <c r="P859" s="23">
        <v>-504460</v>
      </c>
      <c r="S859" s="27" t="s">
        <v>84</v>
      </c>
      <c r="T859" s="23">
        <v>45045</v>
      </c>
      <c r="U859" s="20">
        <v>-85800</v>
      </c>
      <c r="V859" s="23">
        <f t="shared" si="307"/>
        <v>-40755</v>
      </c>
      <c r="W859" s="7">
        <v>-4840</v>
      </c>
      <c r="X859" s="23">
        <f t="shared" si="304"/>
        <v>-35915</v>
      </c>
      <c r="Y859" s="23">
        <v>-463650</v>
      </c>
    </row>
    <row r="860" spans="1:25" ht="15.75" x14ac:dyDescent="0.25">
      <c r="A860" s="27" t="s">
        <v>116</v>
      </c>
      <c r="B860" s="23">
        <v>-39795</v>
      </c>
      <c r="C860" s="20"/>
      <c r="D860" s="23">
        <f t="shared" si="305"/>
        <v>-39795</v>
      </c>
      <c r="E860" s="7"/>
      <c r="F860" s="23">
        <f t="shared" si="302"/>
        <v>-39795</v>
      </c>
      <c r="G860" s="23">
        <v>-347070</v>
      </c>
      <c r="J860" s="27" t="s">
        <v>116</v>
      </c>
      <c r="K860" s="23">
        <v>83197</v>
      </c>
      <c r="L860" s="20">
        <v>-151740</v>
      </c>
      <c r="M860" s="23">
        <f t="shared" si="306"/>
        <v>-68543</v>
      </c>
      <c r="N860" s="7">
        <v>-11865</v>
      </c>
      <c r="O860" s="23">
        <f t="shared" si="303"/>
        <v>-56678</v>
      </c>
      <c r="P860" s="23">
        <v>-398527.5</v>
      </c>
      <c r="S860" s="27" t="s">
        <v>116</v>
      </c>
      <c r="T860" s="23">
        <v>-85560</v>
      </c>
      <c r="U860" s="20">
        <v>-311587.50000000006</v>
      </c>
      <c r="V860" s="23">
        <f t="shared" si="307"/>
        <v>-397147.50000000006</v>
      </c>
      <c r="W860" s="7">
        <v>-14385.000000000004</v>
      </c>
      <c r="X860" s="23">
        <f t="shared" si="304"/>
        <v>-382762.50000000006</v>
      </c>
      <c r="Y860" s="23">
        <v>-562575</v>
      </c>
    </row>
    <row r="861" spans="1:25" ht="15.75" x14ac:dyDescent="0.25">
      <c r="A861" s="27" t="s">
        <v>70</v>
      </c>
      <c r="B861" s="23">
        <v>-20312</v>
      </c>
      <c r="C861" s="20"/>
      <c r="D861" s="23">
        <f t="shared" si="305"/>
        <v>-20312</v>
      </c>
      <c r="E861" s="7"/>
      <c r="F861" s="23">
        <f t="shared" si="302"/>
        <v>-20312</v>
      </c>
      <c r="G861" s="23">
        <v>-301375</v>
      </c>
      <c r="J861" s="27" t="s">
        <v>70</v>
      </c>
      <c r="K861" s="23">
        <v>6437</v>
      </c>
      <c r="L861" s="20">
        <v>81250</v>
      </c>
      <c r="M861" s="23">
        <f t="shared" si="306"/>
        <v>87687</v>
      </c>
      <c r="N861" s="7">
        <v>13375</v>
      </c>
      <c r="O861" s="23">
        <f t="shared" si="303"/>
        <v>74312</v>
      </c>
      <c r="P861" s="23">
        <v>-274250</v>
      </c>
      <c r="S861" s="27" t="s">
        <v>70</v>
      </c>
      <c r="T861" s="23">
        <v>4250</v>
      </c>
      <c r="U861" s="20">
        <v>9687.5</v>
      </c>
      <c r="V861" s="23">
        <f t="shared" si="307"/>
        <v>13937.5</v>
      </c>
      <c r="W861" s="7">
        <v>4062.5</v>
      </c>
      <c r="X861" s="23">
        <f t="shared" si="304"/>
        <v>9875</v>
      </c>
      <c r="Y861" s="23">
        <v>-320875</v>
      </c>
    </row>
    <row r="862" spans="1:25" ht="15.75" x14ac:dyDescent="0.25">
      <c r="A862" s="27" t="s">
        <v>47</v>
      </c>
      <c r="B862" s="23">
        <v>-7507</v>
      </c>
      <c r="C862" s="20"/>
      <c r="D862" s="23">
        <f t="shared" si="305"/>
        <v>-7507</v>
      </c>
      <c r="E862" s="7"/>
      <c r="F862" s="23">
        <f t="shared" si="302"/>
        <v>-7507</v>
      </c>
      <c r="G862" s="23">
        <v>-289510</v>
      </c>
      <c r="J862" s="27" t="s">
        <v>47</v>
      </c>
      <c r="K862" s="23">
        <v>-27917</v>
      </c>
      <c r="L862" s="20">
        <v>103675</v>
      </c>
      <c r="M862" s="23">
        <f t="shared" si="306"/>
        <v>75758</v>
      </c>
      <c r="N862" s="7">
        <v>3120</v>
      </c>
      <c r="O862" s="23">
        <f t="shared" si="303"/>
        <v>72638</v>
      </c>
      <c r="P862" s="23">
        <v>-498940</v>
      </c>
      <c r="S862" s="27" t="s">
        <v>47</v>
      </c>
      <c r="T862" s="23">
        <v>-14917</v>
      </c>
      <c r="U862" s="20">
        <v>-66625</v>
      </c>
      <c r="V862" s="23">
        <f t="shared" si="307"/>
        <v>-81542</v>
      </c>
      <c r="W862" s="7">
        <v>9100</v>
      </c>
      <c r="X862" s="23">
        <f t="shared" si="304"/>
        <v>-90642</v>
      </c>
      <c r="Y862" s="23">
        <v>-623155</v>
      </c>
    </row>
    <row r="863" spans="1:25" ht="15.75" x14ac:dyDescent="0.25">
      <c r="A863" s="27" t="s">
        <v>62</v>
      </c>
      <c r="B863" s="23">
        <v>-54768</v>
      </c>
      <c r="C863" s="20"/>
      <c r="D863" s="23">
        <f t="shared" si="305"/>
        <v>-54768</v>
      </c>
      <c r="E863" s="7"/>
      <c r="F863" s="23">
        <f t="shared" si="302"/>
        <v>-54768</v>
      </c>
      <c r="G863" s="23">
        <v>-342000</v>
      </c>
      <c r="J863" s="27" t="s">
        <v>62</v>
      </c>
      <c r="K863" s="23">
        <v>14812</v>
      </c>
      <c r="L863" s="20">
        <v>60100</v>
      </c>
      <c r="M863" s="23">
        <f t="shared" si="306"/>
        <v>74912</v>
      </c>
      <c r="N863" s="7">
        <v>-6300</v>
      </c>
      <c r="O863" s="23">
        <f t="shared" si="303"/>
        <v>81212</v>
      </c>
      <c r="P863" s="23">
        <v>-429100</v>
      </c>
      <c r="S863" s="27" t="s">
        <v>62</v>
      </c>
      <c r="T863" s="23">
        <v>-61662</v>
      </c>
      <c r="U863" s="20">
        <v>-184975</v>
      </c>
      <c r="V863" s="23">
        <f t="shared" si="307"/>
        <v>-246637</v>
      </c>
      <c r="W863" s="7">
        <v>-6400</v>
      </c>
      <c r="X863" s="23">
        <f t="shared" si="304"/>
        <v>-240237</v>
      </c>
      <c r="Y863" s="23">
        <v>-419600</v>
      </c>
    </row>
    <row r="864" spans="1:25" ht="15.75" x14ac:dyDescent="0.25">
      <c r="A864" s="27" t="s">
        <v>95</v>
      </c>
      <c r="B864" s="23">
        <v>4131</v>
      </c>
      <c r="C864" s="20"/>
      <c r="D864" s="23">
        <f t="shared" si="305"/>
        <v>4131</v>
      </c>
      <c r="E864" s="7"/>
      <c r="F864" s="23">
        <f t="shared" si="302"/>
        <v>4131</v>
      </c>
      <c r="G864" s="23">
        <v>-266178</v>
      </c>
      <c r="J864" s="27" t="s">
        <v>95</v>
      </c>
      <c r="K864" s="23">
        <v>55575</v>
      </c>
      <c r="L864" s="20">
        <v>51892.5</v>
      </c>
      <c r="M864" s="23">
        <f t="shared" si="306"/>
        <v>107467.5</v>
      </c>
      <c r="N864" s="7">
        <v>-1424.5</v>
      </c>
      <c r="O864" s="23">
        <f t="shared" si="303"/>
        <v>108892</v>
      </c>
      <c r="P864" s="23">
        <v>-525396.30000000005</v>
      </c>
      <c r="S864" s="27" t="s">
        <v>95</v>
      </c>
      <c r="T864" s="23">
        <v>-22262</v>
      </c>
      <c r="U864" s="20">
        <v>15384.6</v>
      </c>
      <c r="V864" s="23">
        <f t="shared" si="307"/>
        <v>-6877.4</v>
      </c>
      <c r="W864" s="7">
        <v>30789.549999999996</v>
      </c>
      <c r="X864" s="23">
        <f t="shared" si="304"/>
        <v>-37666.949999999997</v>
      </c>
      <c r="Y864" s="23">
        <v>-599409.25</v>
      </c>
    </row>
    <row r="865" spans="1:25" ht="15.75" x14ac:dyDescent="0.25">
      <c r="A865" s="21" t="s">
        <v>107</v>
      </c>
      <c r="B865" s="22">
        <f t="shared" ref="B865:G865" si="308">SUM(B849:B864)</f>
        <v>-145948</v>
      </c>
      <c r="C865" s="18">
        <f t="shared" si="308"/>
        <v>0</v>
      </c>
      <c r="D865" s="23">
        <f t="shared" si="308"/>
        <v>-145948</v>
      </c>
      <c r="E865" s="18">
        <f t="shared" si="308"/>
        <v>0</v>
      </c>
      <c r="F865" s="23">
        <f t="shared" si="308"/>
        <v>-145948</v>
      </c>
      <c r="G865" s="17">
        <f t="shared" si="308"/>
        <v>-4042108</v>
      </c>
      <c r="J865" s="21" t="s">
        <v>107</v>
      </c>
      <c r="K865" s="22">
        <f t="shared" ref="K865" si="309">SUM(K849:K864)</f>
        <v>811669</v>
      </c>
      <c r="L865" s="18">
        <f t="shared" ref="L865" si="310">SUM(L849:L864)</f>
        <v>-1343257.5</v>
      </c>
      <c r="M865" s="23">
        <f t="shared" ref="M865" si="311">SUM(M849:M864)</f>
        <v>-531588.5</v>
      </c>
      <c r="N865" s="18">
        <f t="shared" ref="N865" si="312">SUM(N849:N864)</f>
        <v>-5809.5</v>
      </c>
      <c r="O865" s="23">
        <f t="shared" ref="O865" si="313">SUM(O849:O864)</f>
        <v>-525779</v>
      </c>
      <c r="P865" s="17">
        <f t="shared" ref="P865" si="314">SUM(P849:P864)</f>
        <v>-8277173.7999999998</v>
      </c>
      <c r="S865" s="21" t="s">
        <v>107</v>
      </c>
      <c r="T865" s="22">
        <f t="shared" ref="T865:Y865" si="315">SUM(T849:T864)</f>
        <v>-364265</v>
      </c>
      <c r="U865" s="18">
        <f t="shared" si="315"/>
        <v>31829.59999999994</v>
      </c>
      <c r="V865" s="23">
        <f t="shared" si="315"/>
        <v>-332435.40000000008</v>
      </c>
      <c r="W865" s="18">
        <f t="shared" si="315"/>
        <v>86897.049999999988</v>
      </c>
      <c r="X865" s="23">
        <f t="shared" si="315"/>
        <v>-419332.45000000007</v>
      </c>
      <c r="Y865" s="17">
        <f t="shared" si="315"/>
        <v>-8615594.25</v>
      </c>
    </row>
    <row r="869" spans="1:25" ht="15.75" x14ac:dyDescent="0.25">
      <c r="A869" s="106">
        <v>45034</v>
      </c>
      <c r="B869" s="106"/>
      <c r="C869" s="106"/>
      <c r="D869" s="106"/>
      <c r="E869" s="106"/>
      <c r="F869" s="106"/>
      <c r="G869" s="106"/>
      <c r="J869" s="106">
        <v>45035</v>
      </c>
      <c r="K869" s="106"/>
      <c r="L869" s="106"/>
      <c r="M869" s="106"/>
      <c r="N869" s="106"/>
      <c r="O869" s="106"/>
      <c r="P869" s="106"/>
      <c r="S869" s="106">
        <v>45036</v>
      </c>
      <c r="T869" s="106"/>
      <c r="U869" s="106"/>
      <c r="V869" s="106"/>
      <c r="W869" s="106"/>
      <c r="X869" s="106"/>
      <c r="Y869" s="106"/>
    </row>
    <row r="870" spans="1:25" ht="15.75" x14ac:dyDescent="0.25">
      <c r="A870" s="22" t="s">
        <v>34</v>
      </c>
      <c r="B870" s="22" t="s">
        <v>104</v>
      </c>
      <c r="C870" s="22" t="s">
        <v>105</v>
      </c>
      <c r="D870" s="22" t="s">
        <v>112</v>
      </c>
      <c r="E870" s="22" t="s">
        <v>106</v>
      </c>
      <c r="F870" s="21" t="s">
        <v>108</v>
      </c>
      <c r="G870" s="21" t="s">
        <v>28</v>
      </c>
      <c r="J870" s="22" t="s">
        <v>34</v>
      </c>
      <c r="K870" s="22" t="s">
        <v>104</v>
      </c>
      <c r="L870" s="22" t="s">
        <v>105</v>
      </c>
      <c r="M870" s="22" t="s">
        <v>112</v>
      </c>
      <c r="N870" s="22" t="s">
        <v>106</v>
      </c>
      <c r="O870" s="21" t="s">
        <v>108</v>
      </c>
      <c r="P870" s="21" t="s">
        <v>28</v>
      </c>
      <c r="S870" s="22" t="s">
        <v>34</v>
      </c>
      <c r="T870" s="22" t="s">
        <v>104</v>
      </c>
      <c r="U870" s="22" t="s">
        <v>105</v>
      </c>
      <c r="V870" s="22" t="s">
        <v>112</v>
      </c>
      <c r="W870" s="22" t="s">
        <v>106</v>
      </c>
      <c r="X870" s="21" t="s">
        <v>108</v>
      </c>
      <c r="Y870" s="21" t="s">
        <v>28</v>
      </c>
    </row>
    <row r="871" spans="1:25" ht="15.75" x14ac:dyDescent="0.25">
      <c r="A871" s="27" t="s">
        <v>68</v>
      </c>
      <c r="B871" s="23">
        <v>-7020</v>
      </c>
      <c r="C871" s="20">
        <v>79170</v>
      </c>
      <c r="D871" s="23">
        <f>+C871+B871</f>
        <v>72150</v>
      </c>
      <c r="E871" s="7">
        <v>2860</v>
      </c>
      <c r="F871" s="23">
        <f t="shared" ref="F871:F886" si="316">+B871+C871-E871</f>
        <v>69290</v>
      </c>
      <c r="G871" s="23">
        <v>-364260</v>
      </c>
      <c r="J871" s="27" t="s">
        <v>68</v>
      </c>
      <c r="K871" s="23">
        <v>5460</v>
      </c>
      <c r="L871" s="20">
        <v>28730</v>
      </c>
      <c r="M871" s="23">
        <f>+L871+K871</f>
        <v>34190</v>
      </c>
      <c r="N871" s="7">
        <v>33930</v>
      </c>
      <c r="O871" s="23">
        <f t="shared" ref="O871:O886" si="317">+K871+L871-N871</f>
        <v>260</v>
      </c>
      <c r="P871" s="23">
        <v>-348270</v>
      </c>
      <c r="S871" s="27" t="s">
        <v>68</v>
      </c>
      <c r="T871" s="23">
        <v>260</v>
      </c>
      <c r="U871" s="20">
        <v>-71110</v>
      </c>
      <c r="V871" s="23">
        <f>+U871+T871</f>
        <v>-70850</v>
      </c>
      <c r="W871" s="7">
        <v>-4030</v>
      </c>
      <c r="X871" s="23">
        <f t="shared" ref="X871:X886" si="318">+T871+U871-W871</f>
        <v>-66820</v>
      </c>
      <c r="Y871" s="23">
        <v>-410150</v>
      </c>
    </row>
    <row r="872" spans="1:25" ht="15.75" x14ac:dyDescent="0.25">
      <c r="A872" s="27" t="s">
        <v>71</v>
      </c>
      <c r="B872" s="23">
        <v>49175</v>
      </c>
      <c r="C872" s="20">
        <v>-179900</v>
      </c>
      <c r="D872" s="23">
        <f t="shared" ref="D872:D886" si="319">+C872+B872</f>
        <v>-130725</v>
      </c>
      <c r="E872" s="7">
        <v>1575</v>
      </c>
      <c r="F872" s="23">
        <f t="shared" si="316"/>
        <v>-132300</v>
      </c>
      <c r="G872" s="23">
        <v>-497000</v>
      </c>
      <c r="J872" s="27" t="s">
        <v>71</v>
      </c>
      <c r="K872" s="23">
        <v>-8750</v>
      </c>
      <c r="L872" s="20">
        <v>136150</v>
      </c>
      <c r="M872" s="23">
        <f t="shared" ref="M872:M886" si="320">+L872+K872</f>
        <v>127400</v>
      </c>
      <c r="N872" s="7">
        <v>-12600</v>
      </c>
      <c r="O872" s="23">
        <f t="shared" si="317"/>
        <v>140000</v>
      </c>
      <c r="P872" s="23">
        <v>-348950</v>
      </c>
      <c r="S872" s="27" t="s">
        <v>71</v>
      </c>
      <c r="T872" s="23">
        <v>-11900</v>
      </c>
      <c r="U872" s="20">
        <v>65800</v>
      </c>
      <c r="V872" s="23">
        <f t="shared" ref="V872:V886" si="321">+U872+T872</f>
        <v>53900</v>
      </c>
      <c r="W872" s="7">
        <v>8400</v>
      </c>
      <c r="X872" s="23">
        <f t="shared" si="318"/>
        <v>45500</v>
      </c>
      <c r="Y872" s="23">
        <v>-385000</v>
      </c>
    </row>
    <row r="873" spans="1:25" ht="15.75" x14ac:dyDescent="0.25">
      <c r="A873" s="27" t="s">
        <v>100</v>
      </c>
      <c r="B873" s="23">
        <v>9700</v>
      </c>
      <c r="C873" s="20">
        <v>268250</v>
      </c>
      <c r="D873" s="23">
        <f t="shared" si="319"/>
        <v>277950</v>
      </c>
      <c r="E873" s="7">
        <v>-24250</v>
      </c>
      <c r="F873" s="23">
        <f t="shared" si="316"/>
        <v>302200</v>
      </c>
      <c r="G873" s="23">
        <v>-951100</v>
      </c>
      <c r="J873" s="27" t="s">
        <v>100</v>
      </c>
      <c r="K873" s="23">
        <v>-15250</v>
      </c>
      <c r="L873" s="20">
        <v>168450</v>
      </c>
      <c r="M873" s="23">
        <f t="shared" si="320"/>
        <v>153200</v>
      </c>
      <c r="N873" s="7">
        <v>11400</v>
      </c>
      <c r="O873" s="23">
        <f t="shared" si="317"/>
        <v>141800</v>
      </c>
      <c r="P873" s="23">
        <v>-810000</v>
      </c>
      <c r="S873" s="27" t="s">
        <v>100</v>
      </c>
      <c r="T873" s="23">
        <v>-10250</v>
      </c>
      <c r="U873" s="20">
        <v>223850</v>
      </c>
      <c r="V873" s="23">
        <f t="shared" si="321"/>
        <v>213600</v>
      </c>
      <c r="W873" s="7">
        <v>20550</v>
      </c>
      <c r="X873" s="23">
        <f t="shared" si="318"/>
        <v>193050</v>
      </c>
      <c r="Y873" s="23">
        <v>-705250</v>
      </c>
    </row>
    <row r="874" spans="1:25" ht="15.75" x14ac:dyDescent="0.25">
      <c r="A874" s="27" t="s">
        <v>94</v>
      </c>
      <c r="B874" s="23">
        <v>-225720</v>
      </c>
      <c r="C874" s="20">
        <v>-273150</v>
      </c>
      <c r="D874" s="23">
        <f t="shared" si="319"/>
        <v>-498870</v>
      </c>
      <c r="E874" s="7">
        <v>1800</v>
      </c>
      <c r="F874" s="23">
        <f t="shared" si="316"/>
        <v>-500670</v>
      </c>
      <c r="G874" s="23">
        <v>-764550</v>
      </c>
      <c r="J874" s="27" t="s">
        <v>94</v>
      </c>
      <c r="K874" s="23">
        <v>-188460</v>
      </c>
      <c r="L874" s="20">
        <v>140490</v>
      </c>
      <c r="M874" s="23">
        <f t="shared" si="320"/>
        <v>-47970</v>
      </c>
      <c r="N874" s="7">
        <v>-8550</v>
      </c>
      <c r="O874" s="23">
        <f t="shared" si="317"/>
        <v>-39420</v>
      </c>
      <c r="P874" s="23">
        <v>-730800</v>
      </c>
      <c r="S874" s="27" t="s">
        <v>94</v>
      </c>
      <c r="T874" s="23">
        <v>-43290</v>
      </c>
      <c r="U874" s="20">
        <v>121320</v>
      </c>
      <c r="V874" s="23">
        <f t="shared" si="321"/>
        <v>78030</v>
      </c>
      <c r="W874" s="7">
        <v>35370</v>
      </c>
      <c r="X874" s="23">
        <f t="shared" si="318"/>
        <v>42660</v>
      </c>
      <c r="Y874" s="23">
        <v>-718020</v>
      </c>
    </row>
    <row r="875" spans="1:25" ht="15.75" x14ac:dyDescent="0.25">
      <c r="A875" s="27" t="s">
        <v>67</v>
      </c>
      <c r="B875" s="23">
        <v>-16500</v>
      </c>
      <c r="C875" s="20">
        <v>-8000</v>
      </c>
      <c r="D875" s="23">
        <f t="shared" si="319"/>
        <v>-24500</v>
      </c>
      <c r="E875" s="7">
        <v>7500</v>
      </c>
      <c r="F875" s="23">
        <f t="shared" si="316"/>
        <v>-32000</v>
      </c>
      <c r="G875" s="23">
        <v>-453500</v>
      </c>
      <c r="J875" s="27" t="s">
        <v>67</v>
      </c>
      <c r="K875" s="23">
        <v>-14800</v>
      </c>
      <c r="L875" s="20">
        <v>-106500</v>
      </c>
      <c r="M875" s="23">
        <f t="shared" si="320"/>
        <v>-121300</v>
      </c>
      <c r="N875" s="7">
        <v>-30500</v>
      </c>
      <c r="O875" s="23">
        <f t="shared" si="317"/>
        <v>-90800</v>
      </c>
      <c r="P875" s="23">
        <v>-388500</v>
      </c>
      <c r="S875" s="27" t="s">
        <v>67</v>
      </c>
      <c r="T875" s="23">
        <v>-2400</v>
      </c>
      <c r="U875" s="20">
        <v>111000</v>
      </c>
      <c r="V875" s="23">
        <f t="shared" si="321"/>
        <v>108600</v>
      </c>
      <c r="W875" s="7">
        <v>13500</v>
      </c>
      <c r="X875" s="23">
        <f t="shared" si="318"/>
        <v>95100</v>
      </c>
      <c r="Y875" s="23">
        <v>-356500</v>
      </c>
    </row>
    <row r="876" spans="1:25" ht="15.75" x14ac:dyDescent="0.25">
      <c r="A876" s="27" t="s">
        <v>16</v>
      </c>
      <c r="B876" s="23">
        <v>-53025</v>
      </c>
      <c r="C876" s="20">
        <v>20849.999999999993</v>
      </c>
      <c r="D876" s="23">
        <f t="shared" si="319"/>
        <v>-32175.000000000007</v>
      </c>
      <c r="E876" s="7">
        <v>-7050</v>
      </c>
      <c r="F876" s="23">
        <f t="shared" si="316"/>
        <v>-25125.000000000007</v>
      </c>
      <c r="G876" s="23">
        <v>-320700</v>
      </c>
      <c r="J876" s="27" t="s">
        <v>16</v>
      </c>
      <c r="K876" s="23">
        <v>1050</v>
      </c>
      <c r="L876" s="20">
        <v>8775</v>
      </c>
      <c r="M876" s="23">
        <f t="shared" si="320"/>
        <v>9825</v>
      </c>
      <c r="N876" s="7">
        <v>225.00000000000091</v>
      </c>
      <c r="O876" s="23">
        <f t="shared" si="317"/>
        <v>9600</v>
      </c>
      <c r="P876" s="23">
        <v>-279375</v>
      </c>
      <c r="S876" s="27" t="s">
        <v>16</v>
      </c>
      <c r="T876" s="23">
        <v>0</v>
      </c>
      <c r="U876" s="20">
        <v>64200</v>
      </c>
      <c r="V876" s="23">
        <f t="shared" si="321"/>
        <v>64200</v>
      </c>
      <c r="W876" s="7">
        <v>-41550</v>
      </c>
      <c r="X876" s="23">
        <f t="shared" si="318"/>
        <v>105750</v>
      </c>
      <c r="Y876" s="23">
        <v>-224250</v>
      </c>
    </row>
    <row r="877" spans="1:25" ht="15.75" x14ac:dyDescent="0.25">
      <c r="A877" s="27" t="s">
        <v>58</v>
      </c>
      <c r="B877" s="23">
        <v>-6000</v>
      </c>
      <c r="C877" s="20">
        <v>95000</v>
      </c>
      <c r="D877" s="23">
        <f t="shared" si="319"/>
        <v>89000</v>
      </c>
      <c r="E877" s="7">
        <v>3000</v>
      </c>
      <c r="F877" s="23">
        <f t="shared" si="316"/>
        <v>86000</v>
      </c>
      <c r="G877" s="23">
        <v>-408000</v>
      </c>
      <c r="J877" s="27" t="s">
        <v>58</v>
      </c>
      <c r="K877" s="23">
        <v>-6000</v>
      </c>
      <c r="L877" s="20">
        <v>34000</v>
      </c>
      <c r="M877" s="23">
        <f t="shared" si="320"/>
        <v>28000</v>
      </c>
      <c r="N877" s="7">
        <v>13000</v>
      </c>
      <c r="O877" s="23">
        <f t="shared" si="317"/>
        <v>15000</v>
      </c>
      <c r="P877" s="23">
        <v>-364000</v>
      </c>
      <c r="S877" s="27" t="s">
        <v>58</v>
      </c>
      <c r="T877" s="23">
        <v>-10000</v>
      </c>
      <c r="U877" s="20">
        <v>157000</v>
      </c>
      <c r="V877" s="23">
        <f t="shared" si="321"/>
        <v>147000</v>
      </c>
      <c r="W877" s="7">
        <v>8000</v>
      </c>
      <c r="X877" s="23">
        <f t="shared" si="318"/>
        <v>139000</v>
      </c>
      <c r="Y877" s="23">
        <v>-278000</v>
      </c>
    </row>
    <row r="878" spans="1:25" ht="15.75" x14ac:dyDescent="0.25">
      <c r="A878" s="27" t="s">
        <v>92</v>
      </c>
      <c r="B878" s="23">
        <v>14100</v>
      </c>
      <c r="C878" s="20">
        <v>20500</v>
      </c>
      <c r="D878" s="23">
        <f t="shared" si="319"/>
        <v>34600</v>
      </c>
      <c r="E878" s="7">
        <v>-2500</v>
      </c>
      <c r="F878" s="23">
        <f t="shared" si="316"/>
        <v>37100</v>
      </c>
      <c r="G878" s="23">
        <v>-600000</v>
      </c>
      <c r="J878" s="27" t="s">
        <v>92</v>
      </c>
      <c r="K878" s="23">
        <v>-8400</v>
      </c>
      <c r="L878" s="20">
        <v>54300</v>
      </c>
      <c r="M878" s="23">
        <f t="shared" si="320"/>
        <v>45900</v>
      </c>
      <c r="N878" s="7">
        <v>31800</v>
      </c>
      <c r="O878" s="23">
        <f t="shared" si="317"/>
        <v>14100</v>
      </c>
      <c r="P878" s="23">
        <v>-603500</v>
      </c>
      <c r="S878" s="27" t="s">
        <v>92</v>
      </c>
      <c r="T878" s="23">
        <v>-200</v>
      </c>
      <c r="U878" s="20">
        <v>36600.000000000007</v>
      </c>
      <c r="V878" s="23">
        <f t="shared" si="321"/>
        <v>36400.000000000007</v>
      </c>
      <c r="W878" s="7">
        <v>4600</v>
      </c>
      <c r="X878" s="23">
        <f t="shared" si="318"/>
        <v>31800.000000000007</v>
      </c>
      <c r="Y878" s="23">
        <v>-745000</v>
      </c>
    </row>
    <row r="879" spans="1:25" ht="15.75" x14ac:dyDescent="0.25">
      <c r="A879" s="27" t="s">
        <v>89</v>
      </c>
      <c r="B879" s="23">
        <v>-69600</v>
      </c>
      <c r="C879" s="20">
        <v>-24940</v>
      </c>
      <c r="D879" s="23">
        <f t="shared" si="319"/>
        <v>-94540</v>
      </c>
      <c r="E879" s="7">
        <v>-7975</v>
      </c>
      <c r="F879" s="23">
        <f t="shared" si="316"/>
        <v>-86565</v>
      </c>
      <c r="G879" s="23">
        <v>-601025</v>
      </c>
      <c r="J879" s="27" t="s">
        <v>89</v>
      </c>
      <c r="K879" s="23">
        <v>-5365</v>
      </c>
      <c r="L879" s="20">
        <v>82505</v>
      </c>
      <c r="M879" s="23">
        <f t="shared" si="320"/>
        <v>77140</v>
      </c>
      <c r="N879" s="7">
        <v>27260</v>
      </c>
      <c r="O879" s="23">
        <f t="shared" si="317"/>
        <v>49880</v>
      </c>
      <c r="P879" s="23">
        <v>-517215</v>
      </c>
      <c r="S879" s="27" t="s">
        <v>89</v>
      </c>
      <c r="T879" s="23">
        <v>-21170</v>
      </c>
      <c r="U879" s="20">
        <v>-45240</v>
      </c>
      <c r="V879" s="23">
        <f t="shared" si="321"/>
        <v>-66410</v>
      </c>
      <c r="W879" s="7">
        <v>13195</v>
      </c>
      <c r="X879" s="23">
        <f t="shared" si="318"/>
        <v>-79605</v>
      </c>
      <c r="Y879" s="23">
        <v>-492710</v>
      </c>
    </row>
    <row r="880" spans="1:25" ht="15.75" x14ac:dyDescent="0.25">
      <c r="A880" s="27" t="s">
        <v>97</v>
      </c>
      <c r="B880" s="23">
        <v>3562</v>
      </c>
      <c r="C880" s="20">
        <v>20000</v>
      </c>
      <c r="D880" s="23">
        <f t="shared" si="319"/>
        <v>23562</v>
      </c>
      <c r="E880" s="7">
        <v>9500</v>
      </c>
      <c r="F880" s="23">
        <f t="shared" si="316"/>
        <v>14062</v>
      </c>
      <c r="G880" s="23">
        <v>-555812.5</v>
      </c>
      <c r="J880" s="27" t="s">
        <v>97</v>
      </c>
      <c r="K880" s="23">
        <v>150312</v>
      </c>
      <c r="L880" s="20">
        <v>-209750</v>
      </c>
      <c r="M880" s="23">
        <f t="shared" si="320"/>
        <v>-59438</v>
      </c>
      <c r="N880" s="7">
        <v>-18187.5</v>
      </c>
      <c r="O880" s="23">
        <f t="shared" si="317"/>
        <v>-41250.5</v>
      </c>
      <c r="P880" s="23">
        <v>-751000</v>
      </c>
      <c r="S880" s="27" t="s">
        <v>97</v>
      </c>
      <c r="T880" s="23">
        <v>-54687</v>
      </c>
      <c r="U880" s="20">
        <v>178250</v>
      </c>
      <c r="V880" s="23">
        <f t="shared" si="321"/>
        <v>123563</v>
      </c>
      <c r="W880" s="7">
        <v>7250</v>
      </c>
      <c r="X880" s="23">
        <f t="shared" si="318"/>
        <v>116313</v>
      </c>
      <c r="Y880" s="23">
        <v>-670000</v>
      </c>
    </row>
    <row r="881" spans="1:25" ht="15.75" x14ac:dyDescent="0.25">
      <c r="A881" s="27" t="s">
        <v>84</v>
      </c>
      <c r="B881" s="23">
        <v>-43725</v>
      </c>
      <c r="C881" s="20">
        <v>-24750</v>
      </c>
      <c r="D881" s="23">
        <f t="shared" si="319"/>
        <v>-68475</v>
      </c>
      <c r="E881" s="7">
        <v>-4675</v>
      </c>
      <c r="F881" s="23">
        <f t="shared" si="316"/>
        <v>-63800</v>
      </c>
      <c r="G881" s="23">
        <v>-684200</v>
      </c>
      <c r="J881" s="27" t="s">
        <v>84</v>
      </c>
      <c r="K881" s="23">
        <v>-93280</v>
      </c>
      <c r="L881" s="20">
        <v>108185</v>
      </c>
      <c r="M881" s="23">
        <f t="shared" si="320"/>
        <v>14905</v>
      </c>
      <c r="N881" s="7">
        <v>-2365</v>
      </c>
      <c r="O881" s="23">
        <f t="shared" si="317"/>
        <v>17270</v>
      </c>
      <c r="P881" s="23">
        <v>-695200</v>
      </c>
      <c r="S881" s="27" t="s">
        <v>84</v>
      </c>
      <c r="T881" s="23">
        <v>-6490</v>
      </c>
      <c r="U881" s="20">
        <v>-20735</v>
      </c>
      <c r="V881" s="23">
        <f t="shared" si="321"/>
        <v>-27225</v>
      </c>
      <c r="W881" s="7">
        <v>-8635.0000000000018</v>
      </c>
      <c r="X881" s="23">
        <f t="shared" si="318"/>
        <v>-18590</v>
      </c>
      <c r="Y881" s="23">
        <v>-568700</v>
      </c>
    </row>
    <row r="882" spans="1:25" ht="15.75" x14ac:dyDescent="0.25">
      <c r="A882" s="27" t="s">
        <v>116</v>
      </c>
      <c r="B882" s="23">
        <v>-49380</v>
      </c>
      <c r="C882" s="20">
        <v>92745</v>
      </c>
      <c r="D882" s="23">
        <f t="shared" si="319"/>
        <v>43365</v>
      </c>
      <c r="E882" s="7">
        <v>-6105</v>
      </c>
      <c r="F882" s="23">
        <f t="shared" si="316"/>
        <v>49470</v>
      </c>
      <c r="G882" s="23">
        <v>-693450</v>
      </c>
      <c r="J882" s="27" t="s">
        <v>116</v>
      </c>
      <c r="K882" s="23">
        <v>136875</v>
      </c>
      <c r="L882" s="20">
        <v>-49785</v>
      </c>
      <c r="M882" s="23">
        <f t="shared" si="320"/>
        <v>87090</v>
      </c>
      <c r="N882" s="7">
        <v>2355</v>
      </c>
      <c r="O882" s="23">
        <f t="shared" si="317"/>
        <v>84735</v>
      </c>
      <c r="P882" s="23">
        <v>-733110</v>
      </c>
      <c r="S882" s="27" t="s">
        <v>116</v>
      </c>
      <c r="T882" s="23">
        <v>-712</v>
      </c>
      <c r="U882" s="20">
        <v>154530</v>
      </c>
      <c r="V882" s="23">
        <f t="shared" si="321"/>
        <v>153818</v>
      </c>
      <c r="W882" s="7">
        <v>-51015</v>
      </c>
      <c r="X882" s="23">
        <f t="shared" si="318"/>
        <v>204833</v>
      </c>
      <c r="Y882" s="23">
        <v>-557265</v>
      </c>
    </row>
    <row r="883" spans="1:25" ht="15.75" x14ac:dyDescent="0.25">
      <c r="A883" s="27" t="s">
        <v>70</v>
      </c>
      <c r="B883" s="23">
        <v>-7875</v>
      </c>
      <c r="C883" s="20">
        <v>5187.4999999999991</v>
      </c>
      <c r="D883" s="23">
        <f t="shared" si="319"/>
        <v>-2687.5000000000009</v>
      </c>
      <c r="E883" s="7">
        <v>-5312.5</v>
      </c>
      <c r="F883" s="23">
        <f t="shared" si="316"/>
        <v>2624.9999999999991</v>
      </c>
      <c r="G883" s="23">
        <v>-318750</v>
      </c>
      <c r="J883" s="27" t="s">
        <v>70</v>
      </c>
      <c r="K883" s="23">
        <v>69468</v>
      </c>
      <c r="L883" s="20">
        <v>-75875</v>
      </c>
      <c r="M883" s="23">
        <f t="shared" si="320"/>
        <v>-6407</v>
      </c>
      <c r="N883" s="7">
        <v>13625</v>
      </c>
      <c r="O883" s="23">
        <f t="shared" si="317"/>
        <v>-20032</v>
      </c>
      <c r="P883" s="23">
        <v>-315500</v>
      </c>
      <c r="S883" s="27" t="s">
        <v>70</v>
      </c>
      <c r="T883" s="23">
        <v>-1062</v>
      </c>
      <c r="U883" s="20">
        <v>78125</v>
      </c>
      <c r="V883" s="23">
        <f t="shared" si="321"/>
        <v>77063</v>
      </c>
      <c r="W883" s="7">
        <v>5000</v>
      </c>
      <c r="X883" s="23">
        <f t="shared" si="318"/>
        <v>72063</v>
      </c>
      <c r="Y883" s="23">
        <v>-329500</v>
      </c>
    </row>
    <row r="884" spans="1:25" ht="15.75" x14ac:dyDescent="0.25">
      <c r="A884" s="27" t="s">
        <v>47</v>
      </c>
      <c r="B884" s="23">
        <v>32435</v>
      </c>
      <c r="C884" s="20">
        <v>-150280</v>
      </c>
      <c r="D884" s="23">
        <f t="shared" si="319"/>
        <v>-117845</v>
      </c>
      <c r="E884" s="7">
        <v>-29900</v>
      </c>
      <c r="F884" s="23">
        <f t="shared" si="316"/>
        <v>-87945</v>
      </c>
      <c r="G884" s="23">
        <v>-829497.5</v>
      </c>
      <c r="J884" s="27" t="s">
        <v>47</v>
      </c>
      <c r="K884" s="23">
        <v>67437</v>
      </c>
      <c r="L884" s="20">
        <v>-27040.000000000004</v>
      </c>
      <c r="M884" s="23">
        <f t="shared" si="320"/>
        <v>40397</v>
      </c>
      <c r="N884" s="7">
        <v>-84727.5</v>
      </c>
      <c r="O884" s="23">
        <f t="shared" si="317"/>
        <v>125124.5</v>
      </c>
      <c r="P884" s="23">
        <v>-557310</v>
      </c>
      <c r="S884" s="27" t="s">
        <v>47</v>
      </c>
      <c r="T884" s="23">
        <v>-17160</v>
      </c>
      <c r="U884" s="20">
        <v>189442.5</v>
      </c>
      <c r="V884" s="23">
        <f t="shared" si="321"/>
        <v>172282.5</v>
      </c>
      <c r="W884" s="7">
        <v>4745</v>
      </c>
      <c r="X884" s="23">
        <f t="shared" si="318"/>
        <v>167537.5</v>
      </c>
      <c r="Y884" s="23">
        <v>-637487.5</v>
      </c>
    </row>
    <row r="885" spans="1:25" ht="15.75" x14ac:dyDescent="0.25">
      <c r="A885" s="27" t="s">
        <v>62</v>
      </c>
      <c r="B885" s="23">
        <v>-9375</v>
      </c>
      <c r="C885" s="20">
        <v>17850</v>
      </c>
      <c r="D885" s="23">
        <f t="shared" si="319"/>
        <v>8475</v>
      </c>
      <c r="E885" s="7">
        <v>-8250</v>
      </c>
      <c r="F885" s="23">
        <f t="shared" si="316"/>
        <v>16725</v>
      </c>
      <c r="G885" s="23">
        <v>-483100</v>
      </c>
      <c r="J885" s="27" t="s">
        <v>62</v>
      </c>
      <c r="K885" s="23">
        <v>49756</v>
      </c>
      <c r="L885" s="20">
        <v>-22275</v>
      </c>
      <c r="M885" s="23">
        <f t="shared" si="320"/>
        <v>27481</v>
      </c>
      <c r="N885" s="7">
        <v>-36625</v>
      </c>
      <c r="O885" s="23">
        <f t="shared" si="317"/>
        <v>64106</v>
      </c>
      <c r="P885" s="23">
        <v>-460000</v>
      </c>
      <c r="S885" s="27" t="s">
        <v>62</v>
      </c>
      <c r="T885" s="23">
        <v>-2131</v>
      </c>
      <c r="U885" s="20">
        <v>115112.5</v>
      </c>
      <c r="V885" s="23">
        <f t="shared" si="321"/>
        <v>112981.5</v>
      </c>
      <c r="W885" s="7">
        <v>9425</v>
      </c>
      <c r="X885" s="23">
        <f t="shared" si="318"/>
        <v>103556.5</v>
      </c>
      <c r="Y885" s="23">
        <v>-438156.25</v>
      </c>
    </row>
    <row r="886" spans="1:25" ht="15.75" x14ac:dyDescent="0.25">
      <c r="A886" s="27" t="s">
        <v>95</v>
      </c>
      <c r="B886" s="23">
        <v>10358</v>
      </c>
      <c r="C886" s="20">
        <v>-27818.45</v>
      </c>
      <c r="D886" s="23">
        <f t="shared" si="319"/>
        <v>-17460.45</v>
      </c>
      <c r="E886" s="7">
        <v>8994.7000000000007</v>
      </c>
      <c r="F886" s="23">
        <f t="shared" si="316"/>
        <v>-26455.15</v>
      </c>
      <c r="G886" s="23">
        <v>-696051.4</v>
      </c>
      <c r="J886" s="27" t="s">
        <v>95</v>
      </c>
      <c r="K886" s="23">
        <v>201648</v>
      </c>
      <c r="L886" s="20">
        <v>-265669.25</v>
      </c>
      <c r="M886" s="23">
        <f t="shared" si="320"/>
        <v>-64021.25</v>
      </c>
      <c r="N886" s="7">
        <v>-29141.200000000001</v>
      </c>
      <c r="O886" s="23">
        <f t="shared" si="317"/>
        <v>-34880.050000000003</v>
      </c>
      <c r="P886" s="23">
        <v>-568741.80000000005</v>
      </c>
      <c r="S886" s="27" t="s">
        <v>95</v>
      </c>
      <c r="T886" s="23">
        <v>-6552</v>
      </c>
      <c r="U886" s="20">
        <v>67338.149999999994</v>
      </c>
      <c r="V886" s="23">
        <f t="shared" si="321"/>
        <v>60786.149999999994</v>
      </c>
      <c r="W886" s="7">
        <v>7651.6</v>
      </c>
      <c r="X886" s="23">
        <f t="shared" si="318"/>
        <v>53134.549999999996</v>
      </c>
      <c r="Y886" s="23">
        <v>-658709.15</v>
      </c>
    </row>
    <row r="887" spans="1:25" ht="15.75" x14ac:dyDescent="0.25">
      <c r="A887" s="21" t="s">
        <v>107</v>
      </c>
      <c r="B887" s="22">
        <f t="shared" ref="B887:G887" si="322">SUM(B871:B886)</f>
        <v>-368890</v>
      </c>
      <c r="C887" s="18">
        <f t="shared" si="322"/>
        <v>-69285.95</v>
      </c>
      <c r="D887" s="23">
        <f t="shared" si="322"/>
        <v>-438175.95</v>
      </c>
      <c r="E887" s="18">
        <f t="shared" si="322"/>
        <v>-60787.8</v>
      </c>
      <c r="F887" s="23">
        <f t="shared" si="322"/>
        <v>-377388.15</v>
      </c>
      <c r="G887" s="17">
        <f t="shared" si="322"/>
        <v>-9220996.4000000004</v>
      </c>
      <c r="J887" s="21" t="s">
        <v>107</v>
      </c>
      <c r="K887" s="22">
        <f t="shared" ref="K887:P887" si="323">SUM(K871:K886)</f>
        <v>341701</v>
      </c>
      <c r="L887" s="18">
        <f t="shared" si="323"/>
        <v>4690.75</v>
      </c>
      <c r="M887" s="23">
        <f t="shared" si="323"/>
        <v>346391.75</v>
      </c>
      <c r="N887" s="18">
        <f t="shared" si="323"/>
        <v>-89101.2</v>
      </c>
      <c r="O887" s="23">
        <f t="shared" si="323"/>
        <v>435492.95</v>
      </c>
      <c r="P887" s="17">
        <f t="shared" si="323"/>
        <v>-8471471.8000000007</v>
      </c>
      <c r="S887" s="21" t="s">
        <v>107</v>
      </c>
      <c r="T887" s="22">
        <f t="shared" ref="T887:Y887" si="324">SUM(T871:T886)</f>
        <v>-187744</v>
      </c>
      <c r="U887" s="18">
        <f t="shared" si="324"/>
        <v>1425483.15</v>
      </c>
      <c r="V887" s="23">
        <f t="shared" si="324"/>
        <v>1237739.1499999999</v>
      </c>
      <c r="W887" s="18">
        <f t="shared" si="324"/>
        <v>32456.6</v>
      </c>
      <c r="X887" s="23">
        <f t="shared" si="324"/>
        <v>1205282.55</v>
      </c>
      <c r="Y887" s="17">
        <f t="shared" si="324"/>
        <v>-8174697.9000000004</v>
      </c>
    </row>
    <row r="890" spans="1:25" ht="15.75" x14ac:dyDescent="0.25">
      <c r="A890" s="106">
        <v>45037</v>
      </c>
      <c r="B890" s="106"/>
      <c r="C890" s="106"/>
      <c r="D890" s="106"/>
      <c r="E890" s="106"/>
      <c r="F890" s="106"/>
      <c r="G890" s="106"/>
      <c r="J890" s="106">
        <v>45040</v>
      </c>
      <c r="K890" s="106"/>
      <c r="L890" s="106"/>
      <c r="M890" s="106"/>
      <c r="N890" s="106"/>
      <c r="O890" s="106"/>
      <c r="P890" s="106"/>
      <c r="S890" s="106">
        <v>45041</v>
      </c>
      <c r="T890" s="106"/>
      <c r="U890" s="106"/>
      <c r="V890" s="106"/>
      <c r="W890" s="106"/>
      <c r="X890" s="106"/>
      <c r="Y890" s="106"/>
    </row>
    <row r="891" spans="1:25" ht="15.75" x14ac:dyDescent="0.25">
      <c r="A891" s="22" t="s">
        <v>34</v>
      </c>
      <c r="B891" s="22" t="s">
        <v>104</v>
      </c>
      <c r="C891" s="22" t="s">
        <v>105</v>
      </c>
      <c r="D891" s="22" t="s">
        <v>112</v>
      </c>
      <c r="E891" s="22" t="s">
        <v>106</v>
      </c>
      <c r="F891" s="21" t="s">
        <v>108</v>
      </c>
      <c r="G891" s="21" t="s">
        <v>28</v>
      </c>
      <c r="J891" s="22" t="s">
        <v>34</v>
      </c>
      <c r="K891" s="22" t="s">
        <v>104</v>
      </c>
      <c r="L891" s="22" t="s">
        <v>105</v>
      </c>
      <c r="M891" s="22" t="s">
        <v>112</v>
      </c>
      <c r="N891" s="22" t="s">
        <v>106</v>
      </c>
      <c r="O891" s="21" t="s">
        <v>108</v>
      </c>
      <c r="P891" s="21" t="s">
        <v>28</v>
      </c>
      <c r="S891" s="22" t="s">
        <v>34</v>
      </c>
      <c r="T891" s="22" t="s">
        <v>104</v>
      </c>
      <c r="U891" s="22" t="s">
        <v>105</v>
      </c>
      <c r="V891" s="22" t="s">
        <v>112</v>
      </c>
      <c r="W891" s="22" t="s">
        <v>106</v>
      </c>
      <c r="X891" s="21" t="s">
        <v>108</v>
      </c>
      <c r="Y891" s="21" t="s">
        <v>28</v>
      </c>
    </row>
    <row r="892" spans="1:25" ht="15.75" x14ac:dyDescent="0.25">
      <c r="A892" s="27" t="s">
        <v>68</v>
      </c>
      <c r="B892" s="23">
        <v>9230</v>
      </c>
      <c r="C892" s="20">
        <v>31980</v>
      </c>
      <c r="D892" s="23">
        <f>+C892+B892</f>
        <v>41210</v>
      </c>
      <c r="E892" s="7">
        <v>-23400</v>
      </c>
      <c r="F892" s="23">
        <f t="shared" ref="F892:F907" si="325">+B892+C892-E892</f>
        <v>64610</v>
      </c>
      <c r="G892" s="23">
        <v>-390780</v>
      </c>
      <c r="J892" s="27" t="s">
        <v>68</v>
      </c>
      <c r="K892" s="23">
        <v>-26130</v>
      </c>
      <c r="L892" s="20">
        <v>188500</v>
      </c>
      <c r="M892" s="23">
        <f>+L892+K892</f>
        <v>162370</v>
      </c>
      <c r="N892" s="7">
        <v>12610</v>
      </c>
      <c r="O892" s="23">
        <f t="shared" ref="O892:O907" si="326">+K892+L892-N892</f>
        <v>149760</v>
      </c>
      <c r="P892" s="23">
        <v>-204100</v>
      </c>
      <c r="S892" s="27" t="s">
        <v>68</v>
      </c>
      <c r="T892" s="23">
        <v>-7670</v>
      </c>
      <c r="U892" s="20">
        <v>-29770</v>
      </c>
      <c r="V892" s="23">
        <f>+U892+T892</f>
        <v>-37440</v>
      </c>
      <c r="W892" s="7">
        <v>4940</v>
      </c>
      <c r="X892" s="23">
        <f t="shared" ref="X892:X907" si="327">+T892+U892-W892</f>
        <v>-42380</v>
      </c>
      <c r="Y892" s="23">
        <v>0</v>
      </c>
    </row>
    <row r="893" spans="1:25" ht="15.75" x14ac:dyDescent="0.25">
      <c r="A893" s="27" t="s">
        <v>71</v>
      </c>
      <c r="B893" s="23">
        <v>-38150</v>
      </c>
      <c r="C893" s="20">
        <v>90475</v>
      </c>
      <c r="D893" s="23">
        <f t="shared" ref="D893:D907" si="328">+C893+B893</f>
        <v>52325</v>
      </c>
      <c r="E893" s="7">
        <v>-10150</v>
      </c>
      <c r="F893" s="23">
        <f t="shared" si="325"/>
        <v>62475</v>
      </c>
      <c r="G893" s="23">
        <v>-292075</v>
      </c>
      <c r="J893" s="27" t="s">
        <v>71</v>
      </c>
      <c r="K893" s="23">
        <v>-74025</v>
      </c>
      <c r="L893" s="20">
        <v>129150</v>
      </c>
      <c r="M893" s="23">
        <f t="shared" ref="M893:M907" si="329">+L893+K893</f>
        <v>55125</v>
      </c>
      <c r="N893" s="7">
        <v>23275</v>
      </c>
      <c r="O893" s="23">
        <f t="shared" si="326"/>
        <v>31850</v>
      </c>
      <c r="P893" s="23">
        <v>0</v>
      </c>
      <c r="S893" s="27" t="s">
        <v>71</v>
      </c>
      <c r="T893" s="23">
        <v>0</v>
      </c>
      <c r="U893" s="20">
        <v>0</v>
      </c>
      <c r="V893" s="23">
        <f t="shared" ref="V893:V907" si="330">+U893+T893</f>
        <v>0</v>
      </c>
      <c r="W893" s="7">
        <v>0</v>
      </c>
      <c r="X893" s="23">
        <f t="shared" si="327"/>
        <v>0</v>
      </c>
      <c r="Y893" s="23">
        <v>0</v>
      </c>
    </row>
    <row r="894" spans="1:25" ht="15.75" x14ac:dyDescent="0.25">
      <c r="A894" s="27" t="s">
        <v>100</v>
      </c>
      <c r="B894" s="23">
        <v>-41950</v>
      </c>
      <c r="C894" s="20">
        <v>47850</v>
      </c>
      <c r="D894" s="23">
        <f t="shared" si="328"/>
        <v>5900</v>
      </c>
      <c r="E894" s="7">
        <v>21100</v>
      </c>
      <c r="F894" s="23">
        <f t="shared" si="325"/>
        <v>-15200</v>
      </c>
      <c r="G894" s="23">
        <v>-702100</v>
      </c>
      <c r="J894" s="27" t="s">
        <v>100</v>
      </c>
      <c r="K894" s="23">
        <v>-30400</v>
      </c>
      <c r="L894" s="20">
        <v>-20400</v>
      </c>
      <c r="M894" s="23">
        <f t="shared" si="329"/>
        <v>-50800</v>
      </c>
      <c r="N894" s="7">
        <v>17200</v>
      </c>
      <c r="O894" s="23">
        <f t="shared" si="326"/>
        <v>-68000</v>
      </c>
      <c r="P894" s="23">
        <v>-384750</v>
      </c>
      <c r="S894" s="27" t="s">
        <v>100</v>
      </c>
      <c r="T894" s="23">
        <v>1800</v>
      </c>
      <c r="U894" s="20">
        <v>-23250</v>
      </c>
      <c r="V894" s="23">
        <f t="shared" si="330"/>
        <v>-21450</v>
      </c>
      <c r="W894" s="7">
        <v>-14750</v>
      </c>
      <c r="X894" s="23">
        <f t="shared" si="327"/>
        <v>-6700</v>
      </c>
      <c r="Y894" s="23">
        <v>0</v>
      </c>
    </row>
    <row r="895" spans="1:25" ht="15.75" x14ac:dyDescent="0.25">
      <c r="A895" s="27" t="s">
        <v>94</v>
      </c>
      <c r="B895" s="23">
        <v>-38700</v>
      </c>
      <c r="C895" s="20">
        <v>293040</v>
      </c>
      <c r="D895" s="23">
        <f t="shared" si="328"/>
        <v>254340</v>
      </c>
      <c r="E895" s="7">
        <v>-7920</v>
      </c>
      <c r="F895" s="23">
        <f t="shared" si="325"/>
        <v>262260</v>
      </c>
      <c r="G895" s="23">
        <v>-525240</v>
      </c>
      <c r="J895" s="27" t="s">
        <v>94</v>
      </c>
      <c r="K895" s="23">
        <v>-92700</v>
      </c>
      <c r="L895" s="20">
        <v>174240</v>
      </c>
      <c r="M895" s="23">
        <f t="shared" si="329"/>
        <v>81540</v>
      </c>
      <c r="N895" s="7">
        <v>35730</v>
      </c>
      <c r="O895" s="23">
        <f t="shared" si="326"/>
        <v>45810</v>
      </c>
      <c r="P895" s="23">
        <v>-333990</v>
      </c>
      <c r="S895" s="27" t="s">
        <v>94</v>
      </c>
      <c r="T895" s="23">
        <v>-81000</v>
      </c>
      <c r="U895" s="20">
        <v>91890</v>
      </c>
      <c r="V895" s="23">
        <f t="shared" si="330"/>
        <v>10890</v>
      </c>
      <c r="W895" s="7">
        <v>7380</v>
      </c>
      <c r="X895" s="23">
        <f t="shared" si="327"/>
        <v>3510</v>
      </c>
      <c r="Y895" s="23">
        <v>0</v>
      </c>
    </row>
    <row r="896" spans="1:25" ht="15.75" x14ac:dyDescent="0.25">
      <c r="A896" s="27" t="s">
        <v>67</v>
      </c>
      <c r="B896" s="23">
        <v>19100</v>
      </c>
      <c r="C896" s="20">
        <v>145000</v>
      </c>
      <c r="D896" s="23">
        <f t="shared" si="328"/>
        <v>164100</v>
      </c>
      <c r="E896" s="7">
        <v>-4500</v>
      </c>
      <c r="F896" s="23">
        <f t="shared" si="325"/>
        <v>168600</v>
      </c>
      <c r="G896" s="23">
        <v>-276900</v>
      </c>
      <c r="J896" s="27" t="s">
        <v>67</v>
      </c>
      <c r="K896" s="23">
        <v>182900</v>
      </c>
      <c r="L896" s="20">
        <v>-253000</v>
      </c>
      <c r="M896" s="23">
        <f t="shared" si="329"/>
        <v>-70100</v>
      </c>
      <c r="N896" s="7">
        <v>-5700</v>
      </c>
      <c r="O896" s="23">
        <f t="shared" si="326"/>
        <v>-64400</v>
      </c>
      <c r="P896" s="23">
        <v>-318000</v>
      </c>
      <c r="S896" s="27" t="s">
        <v>67</v>
      </c>
      <c r="T896" s="23">
        <v>-178700</v>
      </c>
      <c r="U896" s="20">
        <v>52100</v>
      </c>
      <c r="V896" s="23">
        <f t="shared" si="330"/>
        <v>-126600</v>
      </c>
      <c r="W896" s="7">
        <v>-2000</v>
      </c>
      <c r="X896" s="23">
        <f t="shared" si="327"/>
        <v>-124600</v>
      </c>
      <c r="Y896" s="23">
        <v>0</v>
      </c>
    </row>
    <row r="897" spans="1:25" ht="15.75" x14ac:dyDescent="0.25">
      <c r="A897" s="27" t="s">
        <v>16</v>
      </c>
      <c r="B897" s="23">
        <v>-6000</v>
      </c>
      <c r="C897" s="20">
        <v>60675</v>
      </c>
      <c r="D897" s="23">
        <f t="shared" si="328"/>
        <v>54675</v>
      </c>
      <c r="E897" s="7">
        <v>18525</v>
      </c>
      <c r="F897" s="23">
        <f t="shared" si="325"/>
        <v>36150</v>
      </c>
      <c r="G897" s="23">
        <v>-109575</v>
      </c>
      <c r="J897" s="27" t="s">
        <v>16</v>
      </c>
      <c r="K897" s="23">
        <v>-38100</v>
      </c>
      <c r="L897" s="20">
        <v>58500</v>
      </c>
      <c r="M897" s="23">
        <f t="shared" si="329"/>
        <v>20400</v>
      </c>
      <c r="N897" s="7">
        <v>18600</v>
      </c>
      <c r="O897" s="23">
        <f t="shared" si="326"/>
        <v>1800</v>
      </c>
      <c r="P897" s="23">
        <v>0</v>
      </c>
      <c r="S897" s="27" t="s">
        <v>16</v>
      </c>
      <c r="T897" s="23">
        <v>0</v>
      </c>
      <c r="U897" s="20">
        <v>0</v>
      </c>
      <c r="V897" s="23">
        <f t="shared" si="330"/>
        <v>0</v>
      </c>
      <c r="W897" s="7">
        <v>0</v>
      </c>
      <c r="X897" s="23">
        <f t="shared" si="327"/>
        <v>0</v>
      </c>
      <c r="Y897" s="23">
        <v>0</v>
      </c>
    </row>
    <row r="898" spans="1:25" ht="15.75" x14ac:dyDescent="0.25">
      <c r="A898" s="27" t="s">
        <v>58</v>
      </c>
      <c r="B898" s="23">
        <v>14800</v>
      </c>
      <c r="C898" s="20">
        <v>71000</v>
      </c>
      <c r="D898" s="23">
        <f t="shared" si="328"/>
        <v>85800</v>
      </c>
      <c r="E898" s="7">
        <v>16000</v>
      </c>
      <c r="F898" s="23">
        <f t="shared" si="325"/>
        <v>69800</v>
      </c>
      <c r="G898" s="23">
        <v>-272000</v>
      </c>
      <c r="J898" s="27" t="s">
        <v>58</v>
      </c>
      <c r="K898" s="23">
        <v>-98400</v>
      </c>
      <c r="L898" s="20">
        <v>-40000</v>
      </c>
      <c r="M898" s="23">
        <f t="shared" si="329"/>
        <v>-138400</v>
      </c>
      <c r="N898" s="7">
        <v>3000</v>
      </c>
      <c r="O898" s="23">
        <f t="shared" si="326"/>
        <v>-141400</v>
      </c>
      <c r="P898" s="23">
        <v>0</v>
      </c>
      <c r="S898" s="27" t="s">
        <v>58</v>
      </c>
      <c r="T898" s="23">
        <v>0</v>
      </c>
      <c r="U898" s="20">
        <v>0</v>
      </c>
      <c r="V898" s="23">
        <f t="shared" si="330"/>
        <v>0</v>
      </c>
      <c r="W898" s="7">
        <v>0</v>
      </c>
      <c r="X898" s="23">
        <f t="shared" si="327"/>
        <v>0</v>
      </c>
      <c r="Y898" s="23">
        <v>0</v>
      </c>
    </row>
    <row r="899" spans="1:25" ht="15.75" x14ac:dyDescent="0.25">
      <c r="A899" s="27" t="s">
        <v>92</v>
      </c>
      <c r="B899" s="23">
        <v>400</v>
      </c>
      <c r="C899" s="20">
        <v>354600</v>
      </c>
      <c r="D899" s="23">
        <f t="shared" si="328"/>
        <v>355000</v>
      </c>
      <c r="E899" s="7">
        <v>-17300</v>
      </c>
      <c r="F899" s="23">
        <f t="shared" si="325"/>
        <v>372300</v>
      </c>
      <c r="G899" s="23">
        <v>-442800</v>
      </c>
      <c r="J899" s="27" t="s">
        <v>92</v>
      </c>
      <c r="K899" s="23">
        <v>-163600</v>
      </c>
      <c r="L899" s="20">
        <v>254000</v>
      </c>
      <c r="M899" s="23">
        <f t="shared" si="329"/>
        <v>90400</v>
      </c>
      <c r="N899" s="7">
        <v>56700</v>
      </c>
      <c r="O899" s="23">
        <f t="shared" si="326"/>
        <v>33700</v>
      </c>
      <c r="P899" s="23">
        <v>-233900</v>
      </c>
      <c r="S899" s="27" t="s">
        <v>92</v>
      </c>
      <c r="T899" s="23">
        <v>-37300</v>
      </c>
      <c r="U899" s="20">
        <v>47600</v>
      </c>
      <c r="V899" s="23">
        <f t="shared" si="330"/>
        <v>10300</v>
      </c>
      <c r="W899" s="7">
        <v>28200</v>
      </c>
      <c r="X899" s="23">
        <f t="shared" si="327"/>
        <v>-17900</v>
      </c>
      <c r="Y899" s="23">
        <v>0</v>
      </c>
    </row>
    <row r="900" spans="1:25" ht="15.75" x14ac:dyDescent="0.25">
      <c r="A900" s="27" t="s">
        <v>89</v>
      </c>
      <c r="B900" s="23">
        <v>68295</v>
      </c>
      <c r="C900" s="20">
        <v>-9135</v>
      </c>
      <c r="D900" s="23">
        <f t="shared" si="328"/>
        <v>59160</v>
      </c>
      <c r="E900" s="7">
        <v>-33495</v>
      </c>
      <c r="F900" s="23">
        <f t="shared" si="325"/>
        <v>92655</v>
      </c>
      <c r="G900" s="23">
        <v>-317260</v>
      </c>
      <c r="J900" s="27" t="s">
        <v>89</v>
      </c>
      <c r="K900" s="23">
        <v>-52490</v>
      </c>
      <c r="L900" s="20">
        <v>110490</v>
      </c>
      <c r="M900" s="23">
        <f t="shared" si="329"/>
        <v>58000</v>
      </c>
      <c r="N900" s="7">
        <v>10440</v>
      </c>
      <c r="O900" s="23">
        <f t="shared" si="326"/>
        <v>47560</v>
      </c>
      <c r="P900" s="23">
        <v>0</v>
      </c>
      <c r="S900" s="27" t="s">
        <v>89</v>
      </c>
      <c r="T900" s="23">
        <v>0</v>
      </c>
      <c r="U900" s="20">
        <v>0</v>
      </c>
      <c r="V900" s="23">
        <f t="shared" si="330"/>
        <v>0</v>
      </c>
      <c r="W900" s="7">
        <v>0</v>
      </c>
      <c r="X900" s="23">
        <f t="shared" si="327"/>
        <v>0</v>
      </c>
      <c r="Y900" s="23">
        <v>0</v>
      </c>
    </row>
    <row r="901" spans="1:25" ht="15.75" x14ac:dyDescent="0.25">
      <c r="A901" s="27" t="s">
        <v>97</v>
      </c>
      <c r="B901" s="23">
        <v>15187</v>
      </c>
      <c r="C901" s="20">
        <v>46375.000000000036</v>
      </c>
      <c r="D901" s="23">
        <f t="shared" si="328"/>
        <v>61562.000000000036</v>
      </c>
      <c r="E901" s="7">
        <v>-25250</v>
      </c>
      <c r="F901" s="23">
        <f t="shared" si="325"/>
        <v>86812.000000000029</v>
      </c>
      <c r="G901" s="23">
        <v>-319000</v>
      </c>
      <c r="J901" s="27" t="s">
        <v>97</v>
      </c>
      <c r="K901" s="23">
        <v>-32750</v>
      </c>
      <c r="L901" s="20">
        <v>203125</v>
      </c>
      <c r="M901" s="23">
        <f t="shared" si="329"/>
        <v>170375</v>
      </c>
      <c r="N901" s="7">
        <v>18875</v>
      </c>
      <c r="O901" s="23">
        <f t="shared" si="326"/>
        <v>151500</v>
      </c>
      <c r="P901" s="23">
        <v>-211812.5</v>
      </c>
      <c r="S901" s="27" t="s">
        <v>97</v>
      </c>
      <c r="T901" s="23">
        <f>-32250+8875</f>
        <v>-23375</v>
      </c>
      <c r="U901" s="20">
        <v>55937.5</v>
      </c>
      <c r="V901" s="23">
        <f t="shared" si="330"/>
        <v>32562.5</v>
      </c>
      <c r="W901" s="7">
        <v>22187.5</v>
      </c>
      <c r="X901" s="23">
        <f t="shared" si="327"/>
        <v>10375</v>
      </c>
      <c r="Y901" s="23">
        <v>0</v>
      </c>
    </row>
    <row r="902" spans="1:25" ht="15.75" x14ac:dyDescent="0.25">
      <c r="A902" s="27" t="s">
        <v>84</v>
      </c>
      <c r="B902" s="23">
        <v>24035</v>
      </c>
      <c r="C902" s="20">
        <v>62810</v>
      </c>
      <c r="D902" s="23">
        <f t="shared" si="328"/>
        <v>86845</v>
      </c>
      <c r="E902" s="7">
        <v>1540</v>
      </c>
      <c r="F902" s="23">
        <f t="shared" si="325"/>
        <v>85305</v>
      </c>
      <c r="G902" s="23">
        <v>-611600</v>
      </c>
      <c r="J902" s="27" t="s">
        <v>84</v>
      </c>
      <c r="K902" s="23">
        <v>-46420</v>
      </c>
      <c r="L902" s="20">
        <v>-92070</v>
      </c>
      <c r="M902" s="23">
        <f t="shared" si="329"/>
        <v>-138490</v>
      </c>
      <c r="N902" s="7">
        <v>19250</v>
      </c>
      <c r="O902" s="23">
        <f t="shared" si="326"/>
        <v>-157740</v>
      </c>
      <c r="P902" s="23">
        <v>-347050</v>
      </c>
      <c r="S902" s="27" t="s">
        <v>84</v>
      </c>
      <c r="T902" s="23">
        <v>-84315</v>
      </c>
      <c r="U902" s="20">
        <v>74525</v>
      </c>
      <c r="V902" s="23">
        <f t="shared" si="330"/>
        <v>-9790</v>
      </c>
      <c r="W902" s="7">
        <v>3135</v>
      </c>
      <c r="X902" s="23">
        <f t="shared" si="327"/>
        <v>-12925</v>
      </c>
      <c r="Y902" s="23">
        <v>0</v>
      </c>
    </row>
    <row r="903" spans="1:25" ht="15.75" x14ac:dyDescent="0.25">
      <c r="A903" s="27" t="s">
        <v>116</v>
      </c>
      <c r="B903" s="23">
        <v>16635</v>
      </c>
      <c r="C903" s="20">
        <v>284977.5</v>
      </c>
      <c r="D903" s="23">
        <f t="shared" si="328"/>
        <v>301612.5</v>
      </c>
      <c r="E903" s="7">
        <v>-22567.5</v>
      </c>
      <c r="F903" s="23">
        <f t="shared" si="325"/>
        <v>324180</v>
      </c>
      <c r="G903" s="23">
        <v>-524205</v>
      </c>
      <c r="J903" s="27" t="s">
        <v>116</v>
      </c>
      <c r="K903" s="23">
        <v>9300</v>
      </c>
      <c r="L903" s="20">
        <v>262852.5</v>
      </c>
      <c r="M903" s="23">
        <f t="shared" si="329"/>
        <v>272152.5</v>
      </c>
      <c r="N903" s="7">
        <v>46792.5</v>
      </c>
      <c r="O903" s="23">
        <f t="shared" si="326"/>
        <v>225360</v>
      </c>
      <c r="P903" s="23">
        <v>-312690</v>
      </c>
      <c r="S903" s="27" t="s">
        <v>116</v>
      </c>
      <c r="T903" s="23">
        <v>-7237</v>
      </c>
      <c r="U903" s="20">
        <v>55822.5</v>
      </c>
      <c r="V903" s="23">
        <f t="shared" si="330"/>
        <v>48585.5</v>
      </c>
      <c r="W903" s="7">
        <v>-6862.5</v>
      </c>
      <c r="X903" s="23">
        <f t="shared" si="327"/>
        <v>55448</v>
      </c>
      <c r="Y903" s="23">
        <v>-32580</v>
      </c>
    </row>
    <row r="904" spans="1:25" ht="15.75" x14ac:dyDescent="0.25">
      <c r="A904" s="27" t="s">
        <v>70</v>
      </c>
      <c r="B904" s="23">
        <v>27281</v>
      </c>
      <c r="C904" s="20">
        <v>130875</v>
      </c>
      <c r="D904" s="23">
        <f t="shared" si="328"/>
        <v>158156</v>
      </c>
      <c r="E904" s="7">
        <v>-13625</v>
      </c>
      <c r="F904" s="23">
        <f t="shared" si="325"/>
        <v>171781</v>
      </c>
      <c r="G904" s="23">
        <v>-331437.5</v>
      </c>
      <c r="J904" s="27" t="s">
        <v>70</v>
      </c>
      <c r="K904" s="23">
        <v>-33062</v>
      </c>
      <c r="L904" s="20">
        <v>112937.5</v>
      </c>
      <c r="M904" s="23">
        <f t="shared" si="329"/>
        <v>79875.5</v>
      </c>
      <c r="N904" s="7">
        <v>19750</v>
      </c>
      <c r="O904" s="23">
        <f t="shared" si="326"/>
        <v>60125.5</v>
      </c>
      <c r="P904" s="23">
        <v>0</v>
      </c>
      <c r="S904" s="27" t="s">
        <v>70</v>
      </c>
      <c r="T904" s="23">
        <v>0</v>
      </c>
      <c r="U904" s="20">
        <v>0</v>
      </c>
      <c r="V904" s="23">
        <f t="shared" si="330"/>
        <v>0</v>
      </c>
      <c r="W904" s="7">
        <v>0</v>
      </c>
      <c r="X904" s="23">
        <f t="shared" si="327"/>
        <v>0</v>
      </c>
      <c r="Y904" s="23">
        <v>0</v>
      </c>
    </row>
    <row r="905" spans="1:25" ht="15.75" x14ac:dyDescent="0.25">
      <c r="A905" s="27" t="s">
        <v>47</v>
      </c>
      <c r="B905" s="23">
        <v>128212</v>
      </c>
      <c r="C905" s="20">
        <v>-116057.5</v>
      </c>
      <c r="D905" s="23">
        <f t="shared" si="328"/>
        <v>12154.5</v>
      </c>
      <c r="E905" s="7">
        <v>2015</v>
      </c>
      <c r="F905" s="23">
        <f t="shared" si="325"/>
        <v>10139.5</v>
      </c>
      <c r="G905" s="23">
        <v>-412067.5</v>
      </c>
      <c r="J905" s="27" t="s">
        <v>47</v>
      </c>
      <c r="K905" s="23">
        <v>-62042</v>
      </c>
      <c r="L905" s="20">
        <v>184470</v>
      </c>
      <c r="M905" s="23">
        <f t="shared" si="329"/>
        <v>122428</v>
      </c>
      <c r="N905" s="7">
        <v>10952.5</v>
      </c>
      <c r="O905" s="23">
        <f t="shared" si="326"/>
        <v>111475.5</v>
      </c>
      <c r="P905" s="23">
        <v>-202800</v>
      </c>
      <c r="S905" s="27" t="s">
        <v>47</v>
      </c>
      <c r="T905" s="23">
        <v>-126327</v>
      </c>
      <c r="U905" s="20">
        <v>-12870</v>
      </c>
      <c r="V905" s="23">
        <f t="shared" si="330"/>
        <v>-139197</v>
      </c>
      <c r="W905" s="7">
        <v>390</v>
      </c>
      <c r="X905" s="23">
        <f t="shared" si="327"/>
        <v>-139587</v>
      </c>
      <c r="Y905" s="23">
        <v>0</v>
      </c>
    </row>
    <row r="906" spans="1:25" ht="15.75" x14ac:dyDescent="0.25">
      <c r="A906" s="27" t="s">
        <v>62</v>
      </c>
      <c r="B906" s="23">
        <v>16843</v>
      </c>
      <c r="C906" s="20">
        <v>257568.75</v>
      </c>
      <c r="D906" s="23">
        <f t="shared" si="328"/>
        <v>274411.75</v>
      </c>
      <c r="E906" s="7">
        <v>2100</v>
      </c>
      <c r="F906" s="23">
        <f t="shared" si="325"/>
        <v>272311.75</v>
      </c>
      <c r="G906" s="23">
        <v>-413000</v>
      </c>
      <c r="J906" s="27" t="s">
        <v>62</v>
      </c>
      <c r="K906" s="23">
        <v>12931</v>
      </c>
      <c r="L906" s="20">
        <v>156425</v>
      </c>
      <c r="M906" s="23">
        <f t="shared" si="329"/>
        <v>169356</v>
      </c>
      <c r="N906" s="7">
        <v>38200</v>
      </c>
      <c r="O906" s="23">
        <f t="shared" si="326"/>
        <v>131156</v>
      </c>
      <c r="P906" s="23">
        <v>-324900</v>
      </c>
      <c r="S906" s="27" t="s">
        <v>62</v>
      </c>
      <c r="T906" s="23">
        <v>-67477</v>
      </c>
      <c r="U906" s="20">
        <v>20350</v>
      </c>
      <c r="V906" s="23">
        <f t="shared" si="330"/>
        <v>-47127</v>
      </c>
      <c r="W906" s="7">
        <v>35300</v>
      </c>
      <c r="X906" s="23">
        <f t="shared" si="327"/>
        <v>-82427</v>
      </c>
      <c r="Y906" s="23">
        <v>0</v>
      </c>
    </row>
    <row r="907" spans="1:25" ht="15.75" x14ac:dyDescent="0.25">
      <c r="A907" s="27" t="s">
        <v>95</v>
      </c>
      <c r="B907" s="23">
        <v>-43365</v>
      </c>
      <c r="C907" s="20">
        <v>188624.15</v>
      </c>
      <c r="D907" s="23">
        <f t="shared" si="328"/>
        <v>145259.15</v>
      </c>
      <c r="E907" s="7">
        <v>10500.6</v>
      </c>
      <c r="F907" s="23">
        <f t="shared" si="325"/>
        <v>134758.54999999999</v>
      </c>
      <c r="G907" s="23">
        <v>-631134.9</v>
      </c>
      <c r="J907" s="27" t="s">
        <v>95</v>
      </c>
      <c r="K907" s="23">
        <v>-115425</v>
      </c>
      <c r="L907" s="20">
        <v>52523.35000000002</v>
      </c>
      <c r="M907" s="23">
        <f t="shared" si="329"/>
        <v>-62901.64999999998</v>
      </c>
      <c r="N907" s="7">
        <v>24318.25</v>
      </c>
      <c r="O907" s="23">
        <f t="shared" si="326"/>
        <v>-87219.89999999998</v>
      </c>
      <c r="P907" s="23">
        <v>-190069</v>
      </c>
      <c r="S907" s="27" t="s">
        <v>95</v>
      </c>
      <c r="T907" s="23">
        <v>-91391</v>
      </c>
      <c r="U907" s="20">
        <v>92063.4</v>
      </c>
      <c r="V907" s="23">
        <f t="shared" si="330"/>
        <v>672.39999999999418</v>
      </c>
      <c r="W907" s="7">
        <v>-2442.0000000000009</v>
      </c>
      <c r="X907" s="23">
        <f t="shared" si="327"/>
        <v>3114.3999999999951</v>
      </c>
      <c r="Y907" s="23">
        <v>0</v>
      </c>
    </row>
    <row r="908" spans="1:25" ht="15.75" x14ac:dyDescent="0.25">
      <c r="A908" s="21" t="s">
        <v>107</v>
      </c>
      <c r="B908" s="22">
        <f t="shared" ref="B908:G908" si="331">SUM(B892:B907)</f>
        <v>171853</v>
      </c>
      <c r="C908" s="18">
        <f t="shared" si="331"/>
        <v>1940657.9</v>
      </c>
      <c r="D908" s="23">
        <f t="shared" si="331"/>
        <v>2112510.9</v>
      </c>
      <c r="E908" s="18">
        <f t="shared" si="331"/>
        <v>-86426.9</v>
      </c>
      <c r="F908" s="23">
        <f t="shared" si="331"/>
        <v>2198937.7999999998</v>
      </c>
      <c r="G908" s="17">
        <f t="shared" si="331"/>
        <v>-6571174.9000000004</v>
      </c>
      <c r="J908" s="21" t="s">
        <v>107</v>
      </c>
      <c r="K908" s="22">
        <f t="shared" ref="K908:P908" si="332">SUM(K892:K907)</f>
        <v>-660413</v>
      </c>
      <c r="L908" s="18">
        <f t="shared" si="332"/>
        <v>1481743.35</v>
      </c>
      <c r="M908" s="23">
        <f t="shared" si="332"/>
        <v>821330.35</v>
      </c>
      <c r="N908" s="18">
        <f t="shared" si="332"/>
        <v>349993.25</v>
      </c>
      <c r="O908" s="23">
        <f t="shared" si="332"/>
        <v>471337.10000000003</v>
      </c>
      <c r="P908" s="17">
        <f t="shared" si="332"/>
        <v>-3064061.5</v>
      </c>
      <c r="S908" s="21" t="s">
        <v>107</v>
      </c>
      <c r="T908" s="22">
        <f t="shared" ref="T908:Y908" si="333">SUM(T892:T907)</f>
        <v>-702992</v>
      </c>
      <c r="U908" s="18">
        <f t="shared" si="333"/>
        <v>424398.4</v>
      </c>
      <c r="V908" s="23">
        <f t="shared" si="333"/>
        <v>-278593.59999999998</v>
      </c>
      <c r="W908" s="18">
        <f t="shared" si="333"/>
        <v>75478</v>
      </c>
      <c r="X908" s="23">
        <f t="shared" si="333"/>
        <v>-354071.6</v>
      </c>
      <c r="Y908" s="17">
        <f t="shared" si="333"/>
        <v>-32580</v>
      </c>
    </row>
    <row r="912" spans="1:25" x14ac:dyDescent="0.25">
      <c r="A912" s="130">
        <v>45047</v>
      </c>
      <c r="B912" s="131"/>
      <c r="C912" s="131"/>
      <c r="D912" s="131"/>
      <c r="E912" s="131"/>
      <c r="F912" s="131"/>
    </row>
    <row r="913" spans="1:26" x14ac:dyDescent="0.25">
      <c r="A913" s="131"/>
      <c r="B913" s="131"/>
      <c r="C913" s="131"/>
      <c r="D913" s="131"/>
      <c r="E913" s="131"/>
      <c r="F913" s="131"/>
    </row>
    <row r="914" spans="1:26" x14ac:dyDescent="0.25">
      <c r="A914" s="131"/>
      <c r="B914" s="131"/>
      <c r="C914" s="131"/>
      <c r="D914" s="131"/>
      <c r="E914" s="131"/>
      <c r="F914" s="131"/>
    </row>
    <row r="915" spans="1:26" x14ac:dyDescent="0.25">
      <c r="A915" s="131"/>
      <c r="B915" s="131"/>
      <c r="C915" s="131"/>
      <c r="D915" s="131"/>
      <c r="E915" s="131"/>
      <c r="F915" s="131"/>
    </row>
    <row r="917" spans="1:26" ht="15.75" x14ac:dyDescent="0.25">
      <c r="A917" s="106">
        <v>45057</v>
      </c>
      <c r="B917" s="106"/>
      <c r="C917" s="106"/>
      <c r="D917" s="106"/>
      <c r="E917" s="106"/>
      <c r="F917" s="106"/>
      <c r="G917" s="106"/>
      <c r="J917" s="106">
        <v>45058</v>
      </c>
      <c r="K917" s="106"/>
      <c r="L917" s="106"/>
      <c r="M917" s="106"/>
      <c r="N917" s="106"/>
      <c r="O917" s="106"/>
      <c r="P917" s="106"/>
      <c r="S917" s="106">
        <v>45061</v>
      </c>
      <c r="T917" s="106"/>
      <c r="U917" s="106"/>
      <c r="V917" s="106"/>
      <c r="W917" s="106"/>
      <c r="X917" s="106"/>
      <c r="Y917" s="106"/>
    </row>
    <row r="918" spans="1:26" ht="15.75" x14ac:dyDescent="0.25">
      <c r="A918" s="22" t="s">
        <v>34</v>
      </c>
      <c r="B918" s="22" t="s">
        <v>104</v>
      </c>
      <c r="C918" s="22" t="s">
        <v>105</v>
      </c>
      <c r="D918" s="22" t="s">
        <v>112</v>
      </c>
      <c r="E918" s="22" t="s">
        <v>106</v>
      </c>
      <c r="F918" s="21" t="s">
        <v>108</v>
      </c>
      <c r="G918" s="21" t="s">
        <v>28</v>
      </c>
      <c r="J918" s="22" t="s">
        <v>34</v>
      </c>
      <c r="K918" s="22" t="s">
        <v>104</v>
      </c>
      <c r="L918" s="22" t="s">
        <v>105</v>
      </c>
      <c r="M918" s="22" t="s">
        <v>112</v>
      </c>
      <c r="N918" s="22" t="s">
        <v>106</v>
      </c>
      <c r="O918" s="21" t="s">
        <v>108</v>
      </c>
      <c r="P918" s="21" t="s">
        <v>28</v>
      </c>
      <c r="S918" s="22" t="s">
        <v>34</v>
      </c>
      <c r="T918" s="22" t="s">
        <v>104</v>
      </c>
      <c r="U918" s="22" t="s">
        <v>105</v>
      </c>
      <c r="V918" s="22" t="s">
        <v>112</v>
      </c>
      <c r="W918" s="22" t="s">
        <v>106</v>
      </c>
      <c r="X918" s="21" t="s">
        <v>108</v>
      </c>
      <c r="Y918" s="21" t="s">
        <v>28</v>
      </c>
    </row>
    <row r="919" spans="1:26" ht="15.75" x14ac:dyDescent="0.25">
      <c r="A919" s="27" t="s">
        <v>100</v>
      </c>
      <c r="B919" s="23">
        <v>-2860</v>
      </c>
      <c r="C919" s="20">
        <v>0</v>
      </c>
      <c r="D919" s="23">
        <f t="shared" ref="D919:D925" si="334">+C919+B919</f>
        <v>-2860</v>
      </c>
      <c r="E919" s="7">
        <v>0</v>
      </c>
      <c r="F919" s="23">
        <f t="shared" ref="F919:F925" si="335">+B919+C919-E919</f>
        <v>-2860</v>
      </c>
      <c r="G919" s="23">
        <v>-183750</v>
      </c>
      <c r="H919">
        <v>36.200000000000003</v>
      </c>
      <c r="J919" s="27" t="s">
        <v>100</v>
      </c>
      <c r="K919" s="23">
        <v>24220</v>
      </c>
      <c r="L919" s="20">
        <v>29900</v>
      </c>
      <c r="M919" s="23">
        <f t="shared" ref="M919:M931" si="336">+L919+K919</f>
        <v>54120</v>
      </c>
      <c r="N919" s="7">
        <v>3050</v>
      </c>
      <c r="O919" s="23">
        <f t="shared" ref="O919:O931" si="337">+K919+L919-N919</f>
        <v>51070</v>
      </c>
      <c r="P919" s="23">
        <v>-469000</v>
      </c>
      <c r="Q919">
        <v>35.950000000000003</v>
      </c>
      <c r="S919" s="27" t="s">
        <v>100</v>
      </c>
      <c r="T919" s="23">
        <v>-4700</v>
      </c>
      <c r="U919" s="20">
        <v>123210.15</v>
      </c>
      <c r="V919" s="23">
        <f t="shared" ref="V919:V930" si="338">+U919+T919</f>
        <v>118510.15</v>
      </c>
      <c r="W919" s="7">
        <v>15000</v>
      </c>
      <c r="X919" s="23">
        <f t="shared" ref="X919:X930" si="339">+T919+U919-W919</f>
        <v>103510.15</v>
      </c>
      <c r="Y919" s="23">
        <v>-428904.5</v>
      </c>
      <c r="Z919">
        <v>32.6</v>
      </c>
    </row>
    <row r="920" spans="1:26" ht="15.75" x14ac:dyDescent="0.25">
      <c r="A920" s="27" t="s">
        <v>94</v>
      </c>
      <c r="B920" s="23">
        <v>1260</v>
      </c>
      <c r="C920" s="20">
        <v>0</v>
      </c>
      <c r="D920" s="23">
        <f t="shared" si="334"/>
        <v>1260</v>
      </c>
      <c r="E920" s="7">
        <v>0</v>
      </c>
      <c r="F920" s="23">
        <f t="shared" si="335"/>
        <v>1260</v>
      </c>
      <c r="G920" s="23">
        <v>-212400</v>
      </c>
      <c r="H920">
        <v>13.75</v>
      </c>
      <c r="J920" s="27" t="s">
        <v>94</v>
      </c>
      <c r="K920" s="23">
        <v>48150</v>
      </c>
      <c r="L920" s="20">
        <v>70650</v>
      </c>
      <c r="M920" s="23">
        <f t="shared" si="336"/>
        <v>118800</v>
      </c>
      <c r="N920" s="7">
        <v>-1800</v>
      </c>
      <c r="O920" s="23">
        <f t="shared" si="337"/>
        <v>120600</v>
      </c>
      <c r="P920" s="23">
        <v>-362250</v>
      </c>
      <c r="Q920">
        <v>13.1</v>
      </c>
      <c r="S920" s="27" t="s">
        <v>94</v>
      </c>
      <c r="T920" s="23">
        <v>-17910</v>
      </c>
      <c r="U920" s="20">
        <v>-170100</v>
      </c>
      <c r="V920" s="23">
        <f t="shared" si="338"/>
        <v>-188010</v>
      </c>
      <c r="W920" s="7">
        <v>91350</v>
      </c>
      <c r="X920" s="23">
        <f t="shared" si="339"/>
        <v>-279360</v>
      </c>
      <c r="Y920" s="23">
        <v>-495450</v>
      </c>
      <c r="Z920">
        <v>12.5</v>
      </c>
    </row>
    <row r="921" spans="1:26" ht="15.75" x14ac:dyDescent="0.25">
      <c r="A921" s="27" t="s">
        <v>67</v>
      </c>
      <c r="B921" s="23">
        <v>-13300</v>
      </c>
      <c r="C921" s="20">
        <v>0</v>
      </c>
      <c r="D921" s="23">
        <f t="shared" si="334"/>
        <v>-13300</v>
      </c>
      <c r="E921" s="7">
        <v>0</v>
      </c>
      <c r="F921" s="23">
        <f t="shared" si="335"/>
        <v>-13300</v>
      </c>
      <c r="G921" s="23">
        <v>-144500</v>
      </c>
      <c r="H921">
        <v>15.600000000000001</v>
      </c>
      <c r="J921" s="27" t="s">
        <v>67</v>
      </c>
      <c r="K921" s="23">
        <v>10600</v>
      </c>
      <c r="L921" s="20">
        <v>17500</v>
      </c>
      <c r="M921" s="23">
        <f t="shared" si="336"/>
        <v>28100</v>
      </c>
      <c r="N921" s="7">
        <v>-3000</v>
      </c>
      <c r="O921" s="23">
        <f t="shared" si="337"/>
        <v>31100</v>
      </c>
      <c r="P921" s="23">
        <v>-415000</v>
      </c>
      <c r="Q921">
        <v>15.5</v>
      </c>
      <c r="S921" s="27" t="s">
        <v>67</v>
      </c>
      <c r="T921" s="23">
        <v>-4700</v>
      </c>
      <c r="U921" s="20">
        <v>104000</v>
      </c>
      <c r="V921" s="23">
        <f t="shared" si="338"/>
        <v>99300</v>
      </c>
      <c r="W921" s="7">
        <v>20500</v>
      </c>
      <c r="X921" s="23">
        <f t="shared" si="339"/>
        <v>78800</v>
      </c>
      <c r="Y921" s="23">
        <v>-392000</v>
      </c>
      <c r="Z921">
        <v>14.75</v>
      </c>
    </row>
    <row r="922" spans="1:26" ht="15.75" x14ac:dyDescent="0.25">
      <c r="A922" s="27" t="s">
        <v>16</v>
      </c>
      <c r="B922" s="23">
        <v>-21000</v>
      </c>
      <c r="C922" s="20">
        <v>0</v>
      </c>
      <c r="D922" s="23">
        <f t="shared" si="334"/>
        <v>-21000</v>
      </c>
      <c r="E922" s="7">
        <v>0</v>
      </c>
      <c r="F922" s="23">
        <f t="shared" si="335"/>
        <v>-21000</v>
      </c>
      <c r="G922" s="23">
        <v>-180000</v>
      </c>
      <c r="H922">
        <v>16.850000000000001</v>
      </c>
      <c r="J922" s="27" t="s">
        <v>16</v>
      </c>
      <c r="K922" s="23">
        <v>1320</v>
      </c>
      <c r="L922" s="20">
        <v>31800.000000000004</v>
      </c>
      <c r="M922" s="23">
        <f t="shared" si="336"/>
        <v>33120</v>
      </c>
      <c r="N922" s="7">
        <v>-600</v>
      </c>
      <c r="O922" s="23">
        <f t="shared" si="337"/>
        <v>33720</v>
      </c>
      <c r="P922" s="23">
        <v>-455250</v>
      </c>
      <c r="Q922">
        <v>16.55</v>
      </c>
      <c r="S922" s="27" t="s">
        <v>16</v>
      </c>
      <c r="T922" s="23">
        <v>-1500</v>
      </c>
      <c r="U922" s="20">
        <v>66450</v>
      </c>
      <c r="V922" s="23">
        <f t="shared" si="338"/>
        <v>64950</v>
      </c>
      <c r="W922" s="7">
        <v>-7950</v>
      </c>
      <c r="X922" s="23">
        <f t="shared" si="339"/>
        <v>72900</v>
      </c>
      <c r="Y922" s="23">
        <v>-396000</v>
      </c>
      <c r="Z922">
        <v>15.6</v>
      </c>
    </row>
    <row r="923" spans="1:26" ht="15.75" x14ac:dyDescent="0.25">
      <c r="A923" s="27" t="s">
        <v>58</v>
      </c>
      <c r="B923" s="23">
        <v>-10360</v>
      </c>
      <c r="C923" s="20">
        <v>0</v>
      </c>
      <c r="D923" s="23">
        <f t="shared" si="334"/>
        <v>-10360</v>
      </c>
      <c r="E923" s="7">
        <v>0</v>
      </c>
      <c r="F923" s="23">
        <f t="shared" si="335"/>
        <v>-10360</v>
      </c>
      <c r="G923" s="23">
        <v>-142000</v>
      </c>
      <c r="H923">
        <v>9.35</v>
      </c>
      <c r="J923" s="27" t="s">
        <v>58</v>
      </c>
      <c r="K923" s="23">
        <v>-11120</v>
      </c>
      <c r="L923" s="20">
        <v>19400</v>
      </c>
      <c r="M923" s="23">
        <f t="shared" si="336"/>
        <v>8280</v>
      </c>
      <c r="N923" s="7">
        <v>-4600</v>
      </c>
      <c r="O923" s="23">
        <f t="shared" si="337"/>
        <v>12880</v>
      </c>
      <c r="P923" s="23">
        <v>-447000</v>
      </c>
      <c r="Q923">
        <v>9.1</v>
      </c>
      <c r="S923" s="27" t="s">
        <v>58</v>
      </c>
      <c r="T923" s="23">
        <v>-1400</v>
      </c>
      <c r="U923" s="20">
        <v>36000</v>
      </c>
      <c r="V923" s="23">
        <f t="shared" si="338"/>
        <v>34600</v>
      </c>
      <c r="W923" s="7">
        <v>-9000</v>
      </c>
      <c r="X923" s="23">
        <f t="shared" si="339"/>
        <v>43600</v>
      </c>
      <c r="Y923" s="23">
        <v>-596000</v>
      </c>
      <c r="Z923">
        <v>8.6</v>
      </c>
    </row>
    <row r="924" spans="1:26" ht="15.75" x14ac:dyDescent="0.25">
      <c r="A924" s="27" t="s">
        <v>97</v>
      </c>
      <c r="B924" s="23">
        <v>3450</v>
      </c>
      <c r="C924" s="20">
        <v>0</v>
      </c>
      <c r="D924" s="23">
        <f t="shared" si="334"/>
        <v>3450</v>
      </c>
      <c r="E924" s="7">
        <v>0</v>
      </c>
      <c r="F924" s="23">
        <f t="shared" si="335"/>
        <v>3450</v>
      </c>
      <c r="G924" s="23">
        <v>-150250</v>
      </c>
      <c r="H924">
        <v>32.049999999999997</v>
      </c>
      <c r="J924" s="27" t="s">
        <v>97</v>
      </c>
      <c r="K924" s="23">
        <v>-24100</v>
      </c>
      <c r="L924" s="20">
        <v>7750</v>
      </c>
      <c r="M924" s="23">
        <f t="shared" si="336"/>
        <v>-16350</v>
      </c>
      <c r="N924" s="7">
        <v>1500</v>
      </c>
      <c r="O924" s="23">
        <f t="shared" si="337"/>
        <v>-17850</v>
      </c>
      <c r="P924" s="23">
        <v>-477750</v>
      </c>
      <c r="Q924">
        <v>31.7</v>
      </c>
      <c r="S924" s="27" t="s">
        <v>97</v>
      </c>
      <c r="T924" s="23">
        <v>-51737</v>
      </c>
      <c r="U924" s="20">
        <v>34750</v>
      </c>
      <c r="V924" s="23">
        <f t="shared" si="338"/>
        <v>-16987</v>
      </c>
      <c r="W924" s="7">
        <v>-12250</v>
      </c>
      <c r="X924" s="23">
        <f t="shared" si="339"/>
        <v>-4737</v>
      </c>
      <c r="Y924" s="23">
        <v>-395000</v>
      </c>
      <c r="Z924">
        <v>30.8</v>
      </c>
    </row>
    <row r="925" spans="1:26" ht="15.75" x14ac:dyDescent="0.25">
      <c r="A925" s="27" t="s">
        <v>95</v>
      </c>
      <c r="B925" s="23">
        <v>-11864</v>
      </c>
      <c r="C925" s="20">
        <v>0</v>
      </c>
      <c r="D925" s="23">
        <f t="shared" si="334"/>
        <v>-11864</v>
      </c>
      <c r="E925" s="7">
        <v>0</v>
      </c>
      <c r="F925" s="23">
        <f t="shared" si="335"/>
        <v>-11864</v>
      </c>
      <c r="G925" s="23">
        <v>-147334</v>
      </c>
      <c r="H925">
        <v>83.25</v>
      </c>
      <c r="J925" s="27" t="s">
        <v>119</v>
      </c>
      <c r="K925" s="23">
        <v>2319</v>
      </c>
      <c r="L925" s="20">
        <v>-17195.75</v>
      </c>
      <c r="M925" s="23">
        <f t="shared" si="336"/>
        <v>-14876.75</v>
      </c>
      <c r="N925" s="7">
        <v>2543.75</v>
      </c>
      <c r="O925" s="23">
        <f t="shared" si="337"/>
        <v>-17420.5</v>
      </c>
      <c r="P925" s="23">
        <v>0</v>
      </c>
      <c r="Q925">
        <v>81.849999999999994</v>
      </c>
      <c r="S925" s="27" t="s">
        <v>76</v>
      </c>
      <c r="T925" s="23">
        <v>2430</v>
      </c>
      <c r="U925" s="20">
        <v>129330</v>
      </c>
      <c r="V925" s="23">
        <f t="shared" si="338"/>
        <v>131760</v>
      </c>
      <c r="W925" s="7">
        <v>20790</v>
      </c>
      <c r="X925" s="23">
        <f t="shared" si="339"/>
        <v>110970</v>
      </c>
      <c r="Y925" s="23">
        <v>-440100</v>
      </c>
      <c r="Z925">
        <v>81.2</v>
      </c>
    </row>
    <row r="926" spans="1:26" ht="15.75" x14ac:dyDescent="0.25">
      <c r="A926" s="21" t="s">
        <v>107</v>
      </c>
      <c r="B926" s="22">
        <f t="shared" ref="B926:G926" si="340">SUM(B919:B925)</f>
        <v>-54674</v>
      </c>
      <c r="C926" s="18">
        <f t="shared" si="340"/>
        <v>0</v>
      </c>
      <c r="D926" s="23">
        <f t="shared" si="340"/>
        <v>-54674</v>
      </c>
      <c r="E926" s="18">
        <f t="shared" si="340"/>
        <v>0</v>
      </c>
      <c r="F926" s="23">
        <f t="shared" si="340"/>
        <v>-54674</v>
      </c>
      <c r="G926" s="17">
        <f t="shared" si="340"/>
        <v>-1160234</v>
      </c>
      <c r="J926" s="27" t="s">
        <v>76</v>
      </c>
      <c r="K926" s="23">
        <v>62370</v>
      </c>
      <c r="L926" s="20">
        <v>0</v>
      </c>
      <c r="M926" s="23">
        <f t="shared" si="336"/>
        <v>62370</v>
      </c>
      <c r="N926" s="7"/>
      <c r="O926" s="23">
        <f t="shared" si="337"/>
        <v>62370</v>
      </c>
      <c r="P926" s="23">
        <v>-364500</v>
      </c>
      <c r="Q926">
        <v>7.75</v>
      </c>
      <c r="S926" s="27" t="s">
        <v>90</v>
      </c>
      <c r="T926" s="23">
        <v>-19040</v>
      </c>
      <c r="U926" s="20">
        <v>96000</v>
      </c>
      <c r="V926" s="23">
        <f t="shared" si="338"/>
        <v>76960</v>
      </c>
      <c r="W926" s="7">
        <v>-3600</v>
      </c>
      <c r="X926" s="23">
        <f t="shared" si="339"/>
        <v>80560</v>
      </c>
      <c r="Y926" s="23">
        <v>-440000</v>
      </c>
      <c r="Z926">
        <v>7.4</v>
      </c>
    </row>
    <row r="927" spans="1:26" ht="15.75" x14ac:dyDescent="0.25">
      <c r="J927" s="27" t="s">
        <v>90</v>
      </c>
      <c r="K927" s="23">
        <v>153600</v>
      </c>
      <c r="L927" s="20">
        <v>0</v>
      </c>
      <c r="M927" s="23">
        <f t="shared" si="336"/>
        <v>153600</v>
      </c>
      <c r="N927" s="7"/>
      <c r="O927" s="23">
        <f t="shared" si="337"/>
        <v>153600</v>
      </c>
      <c r="P927" s="23">
        <v>-445600</v>
      </c>
      <c r="Q927">
        <v>22.8</v>
      </c>
      <c r="S927" s="27" t="s">
        <v>43</v>
      </c>
      <c r="T927" s="23">
        <v>-4625</v>
      </c>
      <c r="U927" s="20">
        <v>68500</v>
      </c>
      <c r="V927" s="23">
        <f t="shared" si="338"/>
        <v>63875</v>
      </c>
      <c r="W927" s="7">
        <v>12000</v>
      </c>
      <c r="X927" s="23">
        <f t="shared" si="339"/>
        <v>51875</v>
      </c>
      <c r="Y927" s="23">
        <v>-447500</v>
      </c>
      <c r="Z927">
        <v>20.149999999999999</v>
      </c>
    </row>
    <row r="928" spans="1:26" ht="15.75" x14ac:dyDescent="0.25">
      <c r="J928" s="27" t="s">
        <v>43</v>
      </c>
      <c r="K928" s="23">
        <v>96187</v>
      </c>
      <c r="L928" s="20">
        <v>0</v>
      </c>
      <c r="M928" s="23">
        <f t="shared" si="336"/>
        <v>96187</v>
      </c>
      <c r="N928" s="7"/>
      <c r="O928" s="23">
        <f t="shared" si="337"/>
        <v>96187</v>
      </c>
      <c r="P928" s="23">
        <v>-440000</v>
      </c>
      <c r="Q928">
        <v>24</v>
      </c>
      <c r="S928" s="27" t="s">
        <v>85</v>
      </c>
      <c r="T928" s="23">
        <v>0</v>
      </c>
      <c r="U928" s="20">
        <v>5550</v>
      </c>
      <c r="V928" s="23">
        <f t="shared" si="338"/>
        <v>5550</v>
      </c>
      <c r="W928" s="7">
        <v>1050</v>
      </c>
      <c r="X928" s="23">
        <f t="shared" si="339"/>
        <v>4500</v>
      </c>
      <c r="Y928" s="23">
        <v>-514800</v>
      </c>
      <c r="Z928">
        <v>21.85</v>
      </c>
    </row>
    <row r="929" spans="1:26" ht="15.75" x14ac:dyDescent="0.25">
      <c r="J929" s="27" t="s">
        <v>85</v>
      </c>
      <c r="K929" s="23">
        <v>-19590</v>
      </c>
      <c r="L929" s="20">
        <v>0</v>
      </c>
      <c r="M929" s="23">
        <f t="shared" si="336"/>
        <v>-19590</v>
      </c>
      <c r="N929" s="7"/>
      <c r="O929" s="23">
        <f t="shared" si="337"/>
        <v>-19590</v>
      </c>
      <c r="P929" s="23">
        <v>-451050</v>
      </c>
      <c r="Q929">
        <v>23.25</v>
      </c>
      <c r="S929" s="27" t="s">
        <v>15</v>
      </c>
      <c r="T929" s="23">
        <v>0</v>
      </c>
      <c r="U929" s="20">
        <v>-31750</v>
      </c>
      <c r="V929" s="23">
        <f t="shared" si="338"/>
        <v>-31750</v>
      </c>
      <c r="W929" s="7">
        <v>-18250</v>
      </c>
      <c r="X929" s="23">
        <f t="shared" si="339"/>
        <v>-13500</v>
      </c>
      <c r="Y929" s="23">
        <v>-499000</v>
      </c>
      <c r="Z929">
        <v>22.8</v>
      </c>
    </row>
    <row r="930" spans="1:26" ht="15.75" x14ac:dyDescent="0.25">
      <c r="J930" s="27" t="s">
        <v>15</v>
      </c>
      <c r="K930" s="23">
        <v>-4525</v>
      </c>
      <c r="L930" s="20">
        <v>0</v>
      </c>
      <c r="M930" s="23">
        <f t="shared" si="336"/>
        <v>-4525</v>
      </c>
      <c r="N930" s="7"/>
      <c r="O930" s="23">
        <f t="shared" si="337"/>
        <v>-4525</v>
      </c>
      <c r="P930" s="23">
        <v>-450500</v>
      </c>
      <c r="Q930">
        <v>27.7</v>
      </c>
      <c r="S930" s="27" t="s">
        <v>61</v>
      </c>
      <c r="T930" s="23">
        <v>-200</v>
      </c>
      <c r="U930" s="20">
        <v>59600</v>
      </c>
      <c r="V930" s="23">
        <f t="shared" si="338"/>
        <v>59400</v>
      </c>
      <c r="W930" s="7">
        <v>-9700</v>
      </c>
      <c r="X930" s="23">
        <f t="shared" si="339"/>
        <v>69100</v>
      </c>
      <c r="Y930" s="23">
        <v>-501000</v>
      </c>
      <c r="Z930">
        <v>27.85</v>
      </c>
    </row>
    <row r="931" spans="1:26" ht="15.75" x14ac:dyDescent="0.25">
      <c r="J931" s="27" t="s">
        <v>61</v>
      </c>
      <c r="K931" s="23">
        <v>-34980</v>
      </c>
      <c r="L931" s="20">
        <v>0</v>
      </c>
      <c r="M931" s="23">
        <f t="shared" si="336"/>
        <v>-34980</v>
      </c>
      <c r="N931" s="7"/>
      <c r="O931" s="23">
        <f t="shared" si="337"/>
        <v>-34980</v>
      </c>
      <c r="P931" s="23">
        <v>-483000</v>
      </c>
      <c r="Q931">
        <v>29.5</v>
      </c>
      <c r="S931" s="21" t="s">
        <v>107</v>
      </c>
      <c r="T931" s="22">
        <f t="shared" ref="T931:Y931" si="341">SUM(T919:T930)</f>
        <v>-103382</v>
      </c>
      <c r="U931" s="18">
        <f t="shared" si="341"/>
        <v>521540.15</v>
      </c>
      <c r="V931" s="23">
        <f t="shared" si="341"/>
        <v>418158.15</v>
      </c>
      <c r="W931" s="18">
        <f t="shared" si="341"/>
        <v>99940</v>
      </c>
      <c r="X931" s="23">
        <f t="shared" si="341"/>
        <v>318218.15000000002</v>
      </c>
      <c r="Y931" s="17">
        <f t="shared" si="341"/>
        <v>-5545754.5</v>
      </c>
      <c r="Z931">
        <v>30.05</v>
      </c>
    </row>
    <row r="932" spans="1:26" ht="15.75" x14ac:dyDescent="0.25">
      <c r="J932" s="21" t="s">
        <v>107</v>
      </c>
      <c r="K932" s="22">
        <f t="shared" ref="K932:P932" si="342">SUM(K919:K931)</f>
        <v>304451</v>
      </c>
      <c r="L932" s="18">
        <f t="shared" si="342"/>
        <v>159804.25</v>
      </c>
      <c r="M932" s="23">
        <f t="shared" si="342"/>
        <v>464255.25</v>
      </c>
      <c r="N932" s="18">
        <f t="shared" si="342"/>
        <v>-2906.25</v>
      </c>
      <c r="O932" s="23">
        <f t="shared" si="342"/>
        <v>467161.5</v>
      </c>
      <c r="P932" s="17">
        <f t="shared" si="342"/>
        <v>-5260900</v>
      </c>
    </row>
    <row r="937" spans="1:26" ht="15.75" x14ac:dyDescent="0.25">
      <c r="A937" s="106">
        <v>45062</v>
      </c>
      <c r="B937" s="106"/>
      <c r="C937" s="106"/>
      <c r="D937" s="106"/>
      <c r="E937" s="106"/>
      <c r="F937" s="106"/>
      <c r="G937" s="106"/>
      <c r="J937" s="106">
        <v>45063</v>
      </c>
      <c r="K937" s="106"/>
      <c r="L937" s="106"/>
      <c r="M937" s="106"/>
      <c r="N937" s="106"/>
      <c r="O937" s="106"/>
      <c r="P937" s="106"/>
      <c r="S937" s="106">
        <v>45064</v>
      </c>
      <c r="T937" s="106"/>
      <c r="U937" s="106"/>
      <c r="V937" s="106"/>
      <c r="W937" s="106"/>
      <c r="X937" s="106"/>
      <c r="Y937" s="106"/>
    </row>
    <row r="938" spans="1:26" ht="15.75" x14ac:dyDescent="0.25">
      <c r="A938" s="22" t="s">
        <v>34</v>
      </c>
      <c r="B938" s="22" t="s">
        <v>104</v>
      </c>
      <c r="C938" s="22" t="s">
        <v>105</v>
      </c>
      <c r="D938" s="22" t="s">
        <v>112</v>
      </c>
      <c r="E938" s="22" t="s">
        <v>106</v>
      </c>
      <c r="F938" s="21" t="s">
        <v>108</v>
      </c>
      <c r="G938" s="21" t="s">
        <v>28</v>
      </c>
      <c r="J938" s="22" t="s">
        <v>34</v>
      </c>
      <c r="K938" s="22" t="s">
        <v>104</v>
      </c>
      <c r="L938" s="22" t="s">
        <v>105</v>
      </c>
      <c r="M938" s="22" t="s">
        <v>112</v>
      </c>
      <c r="N938" s="22" t="s">
        <v>106</v>
      </c>
      <c r="O938" s="21" t="s">
        <v>108</v>
      </c>
      <c r="P938" s="21" t="s">
        <v>28</v>
      </c>
      <c r="S938" s="22" t="s">
        <v>34</v>
      </c>
      <c r="T938" s="22" t="s">
        <v>104</v>
      </c>
      <c r="U938" s="22" t="s">
        <v>105</v>
      </c>
      <c r="V938" s="22" t="s">
        <v>112</v>
      </c>
      <c r="W938" s="22" t="s">
        <v>106</v>
      </c>
      <c r="X938" s="21" t="s">
        <v>108</v>
      </c>
      <c r="Y938" s="21" t="s">
        <v>28</v>
      </c>
    </row>
    <row r="939" spans="1:26" ht="15.75" x14ac:dyDescent="0.25">
      <c r="A939" s="27" t="s">
        <v>100</v>
      </c>
      <c r="B939" s="23">
        <v>-31550</v>
      </c>
      <c r="C939" s="20">
        <v>-81250</v>
      </c>
      <c r="D939" s="23">
        <f t="shared" ref="D939:D951" si="343">+C939+B939</f>
        <v>-112800</v>
      </c>
      <c r="E939" s="7">
        <v>-9097.1</v>
      </c>
      <c r="F939" s="23">
        <f t="shared" ref="F939:F951" si="344">+B939+C939-E939</f>
        <v>-103702.9</v>
      </c>
      <c r="G939" s="23">
        <v>-465500</v>
      </c>
      <c r="H939">
        <v>29.6</v>
      </c>
      <c r="J939" s="27" t="s">
        <v>100</v>
      </c>
      <c r="K939" s="23">
        <v>-19350</v>
      </c>
      <c r="L939" s="20">
        <v>110800</v>
      </c>
      <c r="M939" s="23">
        <f t="shared" ref="M939:M951" si="345">+L939+K939</f>
        <v>91450</v>
      </c>
      <c r="N939" s="7">
        <v>-31450</v>
      </c>
      <c r="O939" s="23">
        <f t="shared" ref="O939:O951" si="346">+K939+L939-N939</f>
        <v>122900</v>
      </c>
      <c r="P939" s="23">
        <v>-474500</v>
      </c>
      <c r="Q939">
        <v>24.75</v>
      </c>
      <c r="S939" s="27" t="s">
        <v>100</v>
      </c>
      <c r="T939" s="23">
        <v>8600</v>
      </c>
      <c r="U939" s="20">
        <v>-206500</v>
      </c>
      <c r="V939" s="23">
        <f t="shared" ref="V939:V951" si="347">+U939+T939</f>
        <v>-197900</v>
      </c>
      <c r="W939" s="7">
        <v>-31450</v>
      </c>
      <c r="X939" s="23">
        <f t="shared" ref="X939:X951" si="348">+T939+U939-W939</f>
        <v>-166450</v>
      </c>
      <c r="Y939" s="23">
        <v>-515000</v>
      </c>
      <c r="Z939">
        <v>27</v>
      </c>
    </row>
    <row r="940" spans="1:26" ht="15.75" x14ac:dyDescent="0.25">
      <c r="A940" s="27" t="s">
        <v>94</v>
      </c>
      <c r="B940" s="23">
        <v>0</v>
      </c>
      <c r="C940" s="20">
        <v>-25650</v>
      </c>
      <c r="D940" s="23">
        <f t="shared" si="343"/>
        <v>-25650</v>
      </c>
      <c r="E940" s="7">
        <v>-10350</v>
      </c>
      <c r="F940" s="23">
        <f t="shared" si="344"/>
        <v>-15300</v>
      </c>
      <c r="G940" s="23">
        <v>-519750</v>
      </c>
      <c r="H940">
        <v>12.25</v>
      </c>
      <c r="J940" s="27" t="s">
        <v>94</v>
      </c>
      <c r="K940" s="23">
        <v>-21150</v>
      </c>
      <c r="L940" s="20">
        <v>36450</v>
      </c>
      <c r="M940" s="23">
        <f t="shared" si="345"/>
        <v>15300</v>
      </c>
      <c r="N940" s="7">
        <v>2250</v>
      </c>
      <c r="O940" s="23">
        <f t="shared" si="346"/>
        <v>13050</v>
      </c>
      <c r="P940" s="23">
        <v>-445050</v>
      </c>
      <c r="Q940">
        <v>12.75</v>
      </c>
      <c r="S940" s="27" t="s">
        <v>94</v>
      </c>
      <c r="T940" s="23">
        <v>-48330</v>
      </c>
      <c r="U940" s="20">
        <v>8550</v>
      </c>
      <c r="V940" s="23">
        <f t="shared" si="347"/>
        <v>-39780</v>
      </c>
      <c r="W940" s="7">
        <v>2250</v>
      </c>
      <c r="X940" s="23">
        <f t="shared" si="348"/>
        <v>-42030</v>
      </c>
      <c r="Y940" s="23">
        <v>-283500</v>
      </c>
      <c r="Z940">
        <v>13.35</v>
      </c>
    </row>
    <row r="941" spans="1:26" ht="15.75" x14ac:dyDescent="0.25">
      <c r="A941" s="27" t="s">
        <v>67</v>
      </c>
      <c r="B941" s="23">
        <v>299600</v>
      </c>
      <c r="C941" s="20">
        <v>-714000</v>
      </c>
      <c r="D941" s="23">
        <f t="shared" si="343"/>
        <v>-414400</v>
      </c>
      <c r="E941" s="7">
        <v>0</v>
      </c>
      <c r="F941" s="23">
        <f t="shared" si="344"/>
        <v>-414400</v>
      </c>
      <c r="G941" s="23">
        <v>-328500</v>
      </c>
      <c r="H941">
        <v>14.399999999999999</v>
      </c>
      <c r="J941" s="27" t="s">
        <v>67</v>
      </c>
      <c r="K941" s="23">
        <v>-30500</v>
      </c>
      <c r="L941" s="20">
        <v>-10500.000000000007</v>
      </c>
      <c r="M941" s="23">
        <f t="shared" si="345"/>
        <v>-41000.000000000007</v>
      </c>
      <c r="N941" s="7">
        <v>15000</v>
      </c>
      <c r="O941" s="23">
        <f t="shared" si="346"/>
        <v>-56000.000000000007</v>
      </c>
      <c r="P941" s="23">
        <v>-333500</v>
      </c>
      <c r="Q941">
        <v>11.399999999999999</v>
      </c>
      <c r="S941" s="27" t="s">
        <v>67</v>
      </c>
      <c r="T941" s="23">
        <v>-47400</v>
      </c>
      <c r="U941" s="20">
        <v>66000</v>
      </c>
      <c r="V941" s="23">
        <f t="shared" si="347"/>
        <v>18600</v>
      </c>
      <c r="W941" s="7">
        <v>15000</v>
      </c>
      <c r="X941" s="23">
        <f t="shared" si="348"/>
        <v>3600</v>
      </c>
      <c r="Y941" s="23">
        <v>-347500</v>
      </c>
      <c r="Z941">
        <v>10.600000000000001</v>
      </c>
    </row>
    <row r="942" spans="1:26" ht="15.75" x14ac:dyDescent="0.25">
      <c r="A942" s="27" t="s">
        <v>16</v>
      </c>
      <c r="B942" s="23">
        <v>-9075</v>
      </c>
      <c r="C942" s="20">
        <v>24600</v>
      </c>
      <c r="D942" s="23">
        <f t="shared" si="343"/>
        <v>15525</v>
      </c>
      <c r="E942" s="7">
        <v>1050</v>
      </c>
      <c r="F942" s="23">
        <f t="shared" si="344"/>
        <v>14475</v>
      </c>
      <c r="G942" s="23">
        <v>-395250</v>
      </c>
      <c r="H942">
        <v>14.2</v>
      </c>
      <c r="J942" s="27" t="s">
        <v>16</v>
      </c>
      <c r="K942" s="23">
        <v>0</v>
      </c>
      <c r="L942" s="20">
        <v>-150750</v>
      </c>
      <c r="M942" s="23">
        <f t="shared" si="345"/>
        <v>-150750</v>
      </c>
      <c r="N942" s="7">
        <v>-8625</v>
      </c>
      <c r="O942" s="23">
        <f t="shared" si="346"/>
        <v>-142125</v>
      </c>
      <c r="P942" s="23">
        <v>-498000</v>
      </c>
      <c r="Q942">
        <v>16.350000000000001</v>
      </c>
      <c r="S942" s="27" t="s">
        <v>16</v>
      </c>
      <c r="T942" s="23">
        <v>5850</v>
      </c>
      <c r="U942" s="20">
        <v>-24525</v>
      </c>
      <c r="V942" s="23">
        <f t="shared" si="347"/>
        <v>-18675</v>
      </c>
      <c r="W942" s="7">
        <v>-8625</v>
      </c>
      <c r="X942" s="23">
        <f t="shared" si="348"/>
        <v>-10050</v>
      </c>
      <c r="Y942" s="23">
        <v>-334500</v>
      </c>
      <c r="Z942">
        <v>16.200000000000003</v>
      </c>
    </row>
    <row r="943" spans="1:26" ht="15.75" x14ac:dyDescent="0.25">
      <c r="A943" s="27" t="s">
        <v>58</v>
      </c>
      <c r="B943" s="23">
        <v>-18000</v>
      </c>
      <c r="C943" s="20">
        <v>29000</v>
      </c>
      <c r="D943" s="23">
        <f t="shared" si="343"/>
        <v>11000</v>
      </c>
      <c r="E943" s="7">
        <v>-4000</v>
      </c>
      <c r="F943" s="23">
        <f t="shared" si="344"/>
        <v>15000</v>
      </c>
      <c r="G943" s="23">
        <v>-449400</v>
      </c>
      <c r="H943">
        <v>8.15</v>
      </c>
      <c r="J943" s="27" t="s">
        <v>58</v>
      </c>
      <c r="K943" s="23">
        <v>-53600</v>
      </c>
      <c r="L943" s="20">
        <v>83200</v>
      </c>
      <c r="M943" s="23">
        <f t="shared" si="345"/>
        <v>29600</v>
      </c>
      <c r="N943" s="7">
        <v>17800</v>
      </c>
      <c r="O943" s="23">
        <f t="shared" si="346"/>
        <v>11800</v>
      </c>
      <c r="P943" s="23">
        <v>-614000</v>
      </c>
      <c r="Q943">
        <v>7.45</v>
      </c>
      <c r="S943" s="27" t="s">
        <v>58</v>
      </c>
      <c r="T943" s="23">
        <v>-4000</v>
      </c>
      <c r="U943" s="20">
        <v>11000</v>
      </c>
      <c r="V943" s="23">
        <f t="shared" si="347"/>
        <v>7000</v>
      </c>
      <c r="W943" s="7">
        <v>17800</v>
      </c>
      <c r="X943" s="23">
        <f t="shared" si="348"/>
        <v>-10800</v>
      </c>
      <c r="Y943" s="23">
        <v>-404800</v>
      </c>
      <c r="Z943">
        <v>7.15</v>
      </c>
    </row>
    <row r="944" spans="1:26" ht="15.75" x14ac:dyDescent="0.25">
      <c r="A944" s="27" t="s">
        <v>97</v>
      </c>
      <c r="B944" s="23">
        <v>1000</v>
      </c>
      <c r="C944" s="20">
        <v>-6500</v>
      </c>
      <c r="D944" s="23">
        <f t="shared" si="343"/>
        <v>-5500</v>
      </c>
      <c r="E944" s="7">
        <v>-9500</v>
      </c>
      <c r="F944" s="23">
        <f t="shared" si="344"/>
        <v>4000</v>
      </c>
      <c r="G944" s="23">
        <v>0</v>
      </c>
      <c r="H944">
        <v>30.099999999999998</v>
      </c>
      <c r="J944" s="27" t="s">
        <v>97</v>
      </c>
      <c r="K944" s="23">
        <v>-62262</v>
      </c>
      <c r="L944" s="20">
        <v>0</v>
      </c>
      <c r="M944" s="23">
        <f t="shared" si="345"/>
        <v>-62262</v>
      </c>
      <c r="N944" s="7">
        <v>0</v>
      </c>
      <c r="O944" s="23">
        <f t="shared" si="346"/>
        <v>-62262</v>
      </c>
      <c r="P944" s="23">
        <v>-473187.5</v>
      </c>
      <c r="Q944">
        <v>20.3</v>
      </c>
      <c r="S944" s="27" t="s">
        <v>97</v>
      </c>
      <c r="T944" s="23">
        <v>19637</v>
      </c>
      <c r="U944" s="20">
        <v>10625</v>
      </c>
      <c r="V944" s="23">
        <f t="shared" si="347"/>
        <v>30262</v>
      </c>
      <c r="W944" s="7">
        <v>0</v>
      </c>
      <c r="X944" s="23">
        <f t="shared" si="348"/>
        <v>30262</v>
      </c>
      <c r="Y944" s="23">
        <v>-205500</v>
      </c>
      <c r="Z944">
        <v>18.75</v>
      </c>
    </row>
    <row r="945" spans="1:26" ht="15.75" x14ac:dyDescent="0.25">
      <c r="A945" s="27" t="s">
        <v>119</v>
      </c>
      <c r="B945" s="23">
        <v>0</v>
      </c>
      <c r="C945" s="20">
        <v>0</v>
      </c>
      <c r="D945" s="23">
        <f t="shared" si="343"/>
        <v>0</v>
      </c>
      <c r="E945" s="7">
        <v>0</v>
      </c>
      <c r="F945" s="23">
        <f t="shared" si="344"/>
        <v>0</v>
      </c>
      <c r="G945" s="23">
        <v>0</v>
      </c>
      <c r="H945">
        <v>83.75</v>
      </c>
      <c r="J945" s="27" t="s">
        <v>119</v>
      </c>
      <c r="K945" s="23">
        <v>-6365</v>
      </c>
      <c r="L945" s="20">
        <v>0</v>
      </c>
      <c r="M945" s="23">
        <f t="shared" si="345"/>
        <v>-6365</v>
      </c>
      <c r="N945" s="7">
        <v>0</v>
      </c>
      <c r="O945" s="23">
        <f t="shared" si="346"/>
        <v>-6365</v>
      </c>
      <c r="P945" s="23">
        <v>-341473</v>
      </c>
      <c r="Q945">
        <v>54.1</v>
      </c>
      <c r="S945" s="27" t="s">
        <v>119</v>
      </c>
      <c r="T945" s="23">
        <v>-13854</v>
      </c>
      <c r="U945" s="20">
        <v>60561.599999999999</v>
      </c>
      <c r="V945" s="23">
        <f t="shared" si="347"/>
        <v>46707.6</v>
      </c>
      <c r="W945" s="7">
        <v>0</v>
      </c>
      <c r="X945" s="23">
        <f t="shared" si="348"/>
        <v>46707.6</v>
      </c>
      <c r="Y945" s="23">
        <v>-375050.5</v>
      </c>
      <c r="Z945">
        <v>47.1</v>
      </c>
    </row>
    <row r="946" spans="1:26" ht="15.75" x14ac:dyDescent="0.25">
      <c r="A946" s="27" t="s">
        <v>76</v>
      </c>
      <c r="B946" s="23">
        <v>-144828</v>
      </c>
      <c r="C946" s="20">
        <v>40230</v>
      </c>
      <c r="D946" s="23">
        <f t="shared" si="343"/>
        <v>-104598</v>
      </c>
      <c r="E946" s="7">
        <v>17820</v>
      </c>
      <c r="F946" s="23">
        <f t="shared" si="344"/>
        <v>-122418</v>
      </c>
      <c r="G946" s="23">
        <v>-349650</v>
      </c>
      <c r="H946">
        <v>6.35</v>
      </c>
      <c r="J946" s="27" t="s">
        <v>76</v>
      </c>
      <c r="K946" s="23">
        <v>-18468</v>
      </c>
      <c r="L946" s="20">
        <v>57780</v>
      </c>
      <c r="M946" s="23">
        <f t="shared" si="345"/>
        <v>39312</v>
      </c>
      <c r="N946" s="7">
        <v>15930</v>
      </c>
      <c r="O946" s="23">
        <f t="shared" si="346"/>
        <v>23382</v>
      </c>
      <c r="P946" s="23">
        <v>-385020</v>
      </c>
      <c r="Q946">
        <v>5.35</v>
      </c>
      <c r="S946" s="27" t="s">
        <v>76</v>
      </c>
      <c r="T946" s="23">
        <v>-71820</v>
      </c>
      <c r="U946" s="20">
        <v>41850</v>
      </c>
      <c r="V946" s="23">
        <f t="shared" si="347"/>
        <v>-29970</v>
      </c>
      <c r="W946" s="7">
        <v>15930</v>
      </c>
      <c r="X946" s="23">
        <f t="shared" si="348"/>
        <v>-45900</v>
      </c>
      <c r="Y946" s="23">
        <v>-337770</v>
      </c>
      <c r="Z946">
        <v>4.6500000000000004</v>
      </c>
    </row>
    <row r="947" spans="1:26" ht="15.75" x14ac:dyDescent="0.25">
      <c r="A947" s="27" t="s">
        <v>90</v>
      </c>
      <c r="B947" s="23">
        <v>31280</v>
      </c>
      <c r="C947" s="20">
        <v>72400</v>
      </c>
      <c r="D947" s="23">
        <f t="shared" si="343"/>
        <v>103680</v>
      </c>
      <c r="E947" s="7">
        <v>34400</v>
      </c>
      <c r="F947" s="23">
        <f t="shared" si="344"/>
        <v>69280</v>
      </c>
      <c r="G947" s="23">
        <v>-353200</v>
      </c>
      <c r="H947">
        <v>18.3</v>
      </c>
      <c r="J947" s="27" t="s">
        <v>90</v>
      </c>
      <c r="K947" s="23">
        <v>0</v>
      </c>
      <c r="L947" s="20">
        <v>75600</v>
      </c>
      <c r="M947" s="23">
        <f t="shared" si="345"/>
        <v>75600</v>
      </c>
      <c r="N947" s="7">
        <v>14240</v>
      </c>
      <c r="O947" s="23">
        <f t="shared" si="346"/>
        <v>61360</v>
      </c>
      <c r="P947" s="23">
        <v>-391200</v>
      </c>
      <c r="Q947">
        <v>12.9</v>
      </c>
      <c r="S947" s="27" t="s">
        <v>90</v>
      </c>
      <c r="T947" s="23">
        <v>0</v>
      </c>
      <c r="U947" s="20">
        <v>126560</v>
      </c>
      <c r="V947" s="23">
        <f t="shared" si="347"/>
        <v>126560</v>
      </c>
      <c r="W947" s="7">
        <v>14240</v>
      </c>
      <c r="X947" s="23">
        <f t="shared" si="348"/>
        <v>112320</v>
      </c>
      <c r="Y947" s="23">
        <v>-318800</v>
      </c>
      <c r="Z947">
        <v>9.3999999999999986</v>
      </c>
    </row>
    <row r="948" spans="1:26" ht="15.75" x14ac:dyDescent="0.25">
      <c r="A948" s="27" t="s">
        <v>43</v>
      </c>
      <c r="B948" s="23">
        <v>-45187</v>
      </c>
      <c r="C948" s="20">
        <v>66750</v>
      </c>
      <c r="D948" s="23">
        <f t="shared" si="343"/>
        <v>21563</v>
      </c>
      <c r="E948" s="7">
        <v>-26250</v>
      </c>
      <c r="F948" s="23">
        <f t="shared" si="344"/>
        <v>47813</v>
      </c>
      <c r="G948" s="23">
        <v>-394000</v>
      </c>
      <c r="H948">
        <v>20.05</v>
      </c>
      <c r="J948" s="27" t="s">
        <v>43</v>
      </c>
      <c r="K948" s="23">
        <v>-24700</v>
      </c>
      <c r="L948" s="20">
        <v>-31875</v>
      </c>
      <c r="M948" s="23">
        <f t="shared" si="345"/>
        <v>-56575</v>
      </c>
      <c r="N948" s="7">
        <v>26375</v>
      </c>
      <c r="O948" s="23">
        <f t="shared" si="346"/>
        <v>-82950</v>
      </c>
      <c r="P948" s="23">
        <v>-476500</v>
      </c>
      <c r="Q948">
        <v>19.5</v>
      </c>
      <c r="S948" s="27" t="s">
        <v>43</v>
      </c>
      <c r="T948" s="23">
        <v>-110850</v>
      </c>
      <c r="U948" s="20">
        <v>122500.00000000001</v>
      </c>
      <c r="V948" s="23">
        <f t="shared" si="347"/>
        <v>11650.000000000015</v>
      </c>
      <c r="W948" s="7">
        <v>26375</v>
      </c>
      <c r="X948" s="23">
        <f t="shared" si="348"/>
        <v>-14724.999999999985</v>
      </c>
      <c r="Y948" s="23">
        <v>-491000</v>
      </c>
      <c r="Z948">
        <v>16.8</v>
      </c>
    </row>
    <row r="949" spans="1:26" ht="15.75" x14ac:dyDescent="0.25">
      <c r="A949" s="27" t="s">
        <v>85</v>
      </c>
      <c r="B949" s="23">
        <v>2415</v>
      </c>
      <c r="C949" s="20">
        <v>-29400</v>
      </c>
      <c r="D949" s="23">
        <f t="shared" si="343"/>
        <v>-26985</v>
      </c>
      <c r="E949" s="7">
        <v>-5100</v>
      </c>
      <c r="F949" s="23">
        <f t="shared" si="344"/>
        <v>-21885</v>
      </c>
      <c r="G949" s="23">
        <v>-464550</v>
      </c>
      <c r="H949">
        <v>22.299999999999997</v>
      </c>
      <c r="J949" s="27" t="s">
        <v>85</v>
      </c>
      <c r="K949" s="23">
        <v>-4080</v>
      </c>
      <c r="L949" s="20">
        <v>-74700</v>
      </c>
      <c r="M949" s="23">
        <f t="shared" si="345"/>
        <v>-78780</v>
      </c>
      <c r="N949" s="7">
        <v>8400</v>
      </c>
      <c r="O949" s="23">
        <f t="shared" si="346"/>
        <v>-87180</v>
      </c>
      <c r="P949" s="23">
        <v>-264750</v>
      </c>
      <c r="Q949">
        <v>20.9</v>
      </c>
      <c r="S949" s="27" t="s">
        <v>85</v>
      </c>
      <c r="T949" s="23">
        <v>0</v>
      </c>
      <c r="U949" s="20">
        <v>81750</v>
      </c>
      <c r="V949" s="23">
        <f t="shared" si="347"/>
        <v>81750</v>
      </c>
      <c r="W949" s="7">
        <v>8400</v>
      </c>
      <c r="X949" s="23">
        <f t="shared" si="348"/>
        <v>73350</v>
      </c>
      <c r="Y949" s="23">
        <v>-189000</v>
      </c>
      <c r="Z949">
        <v>17.8</v>
      </c>
    </row>
    <row r="950" spans="1:26" ht="15.75" x14ac:dyDescent="0.25">
      <c r="A950" s="27" t="s">
        <v>15</v>
      </c>
      <c r="B950" s="23">
        <v>-76062</v>
      </c>
      <c r="C950" s="20">
        <v>-72250</v>
      </c>
      <c r="D950" s="23">
        <f t="shared" si="343"/>
        <v>-148312</v>
      </c>
      <c r="E950" s="7">
        <v>-12375</v>
      </c>
      <c r="F950" s="23">
        <f t="shared" si="344"/>
        <v>-135937</v>
      </c>
      <c r="G950" s="23">
        <v>-509000</v>
      </c>
      <c r="H950">
        <v>28.05</v>
      </c>
      <c r="J950" s="27" t="s">
        <v>15</v>
      </c>
      <c r="K950" s="23">
        <v>-313775</v>
      </c>
      <c r="L950" s="20">
        <v>55375</v>
      </c>
      <c r="M950" s="23">
        <f t="shared" si="345"/>
        <v>-258400</v>
      </c>
      <c r="N950" s="7">
        <v>-39000</v>
      </c>
      <c r="O950" s="23">
        <f t="shared" si="346"/>
        <v>-219400</v>
      </c>
      <c r="P950" s="23">
        <v>-817000</v>
      </c>
      <c r="Q950">
        <v>22.1</v>
      </c>
      <c r="S950" s="27" t="s">
        <v>15</v>
      </c>
      <c r="T950" s="23">
        <v>1300</v>
      </c>
      <c r="U950" s="20">
        <v>124500</v>
      </c>
      <c r="V950" s="23">
        <f t="shared" si="347"/>
        <v>125800</v>
      </c>
      <c r="W950" s="7">
        <v>-39000</v>
      </c>
      <c r="X950" s="23">
        <f t="shared" si="348"/>
        <v>164800</v>
      </c>
      <c r="Y950" s="23">
        <v>-157500</v>
      </c>
      <c r="Z950">
        <v>16.600000000000001</v>
      </c>
    </row>
    <row r="951" spans="1:26" ht="15.75" x14ac:dyDescent="0.25">
      <c r="A951" s="27" t="s">
        <v>61</v>
      </c>
      <c r="B951" s="23">
        <v>247260</v>
      </c>
      <c r="C951" s="20">
        <v>-602100</v>
      </c>
      <c r="D951" s="23">
        <f t="shared" si="343"/>
        <v>-354840</v>
      </c>
      <c r="E951" s="7">
        <v>1750</v>
      </c>
      <c r="F951" s="23">
        <f t="shared" si="344"/>
        <v>-356590</v>
      </c>
      <c r="G951" s="23">
        <v>-340000</v>
      </c>
      <c r="H951">
        <v>27.35</v>
      </c>
      <c r="J951" s="27" t="s">
        <v>61</v>
      </c>
      <c r="K951" s="23">
        <v>114650</v>
      </c>
      <c r="L951" s="20">
        <v>-104750</v>
      </c>
      <c r="M951" s="23">
        <f t="shared" si="345"/>
        <v>9900</v>
      </c>
      <c r="N951" s="7">
        <v>1500</v>
      </c>
      <c r="O951" s="23">
        <f t="shared" si="346"/>
        <v>8400</v>
      </c>
      <c r="P951" s="23">
        <v>-469000</v>
      </c>
      <c r="Q951">
        <v>23.65</v>
      </c>
      <c r="S951" s="27" t="s">
        <v>61</v>
      </c>
      <c r="T951" s="23">
        <v>44000</v>
      </c>
      <c r="U951" s="20">
        <v>-136000</v>
      </c>
      <c r="V951" s="23">
        <f t="shared" si="347"/>
        <v>-92000</v>
      </c>
      <c r="W951" s="7">
        <v>1500</v>
      </c>
      <c r="X951" s="23">
        <f t="shared" si="348"/>
        <v>-93500</v>
      </c>
      <c r="Y951" s="23">
        <v>-608000</v>
      </c>
      <c r="Z951">
        <v>21.4</v>
      </c>
    </row>
    <row r="952" spans="1:26" ht="15.75" x14ac:dyDescent="0.25">
      <c r="A952" s="21" t="s">
        <v>107</v>
      </c>
      <c r="B952" s="22">
        <f t="shared" ref="B952:G952" si="349">SUM(B939:B951)</f>
        <v>256853</v>
      </c>
      <c r="C952" s="18">
        <f t="shared" si="349"/>
        <v>-1298170</v>
      </c>
      <c r="D952" s="23">
        <f t="shared" si="349"/>
        <v>-1041317</v>
      </c>
      <c r="E952" s="18">
        <f t="shared" si="349"/>
        <v>-21652.1</v>
      </c>
      <c r="F952" s="23">
        <f t="shared" si="349"/>
        <v>-1019664.9</v>
      </c>
      <c r="G952" s="17">
        <f t="shared" si="349"/>
        <v>-4568800</v>
      </c>
      <c r="J952" s="21" t="s">
        <v>107</v>
      </c>
      <c r="K952" s="22">
        <f t="shared" ref="K952:P952" si="350">SUM(K939:K951)</f>
        <v>-439600</v>
      </c>
      <c r="L952" s="18">
        <f t="shared" si="350"/>
        <v>46630</v>
      </c>
      <c r="M952" s="23">
        <f t="shared" si="350"/>
        <v>-392970</v>
      </c>
      <c r="N952" s="18">
        <f t="shared" si="350"/>
        <v>22420</v>
      </c>
      <c r="O952" s="23">
        <f t="shared" si="350"/>
        <v>-415390</v>
      </c>
      <c r="P952" s="17">
        <f t="shared" si="350"/>
        <v>-5983180.5</v>
      </c>
      <c r="S952" s="21" t="s">
        <v>107</v>
      </c>
      <c r="T952" s="22">
        <f t="shared" ref="T952:Y952" si="351">SUM(T939:T951)</f>
        <v>-216867</v>
      </c>
      <c r="U952" s="18">
        <f t="shared" si="351"/>
        <v>286871.60000000003</v>
      </c>
      <c r="V952" s="23">
        <f t="shared" si="351"/>
        <v>70004.600000000035</v>
      </c>
      <c r="W952" s="18">
        <f t="shared" si="351"/>
        <v>22420</v>
      </c>
      <c r="X952" s="23">
        <f t="shared" si="351"/>
        <v>47584.600000000035</v>
      </c>
      <c r="Y952" s="17">
        <f t="shared" si="351"/>
        <v>-4567920.5</v>
      </c>
    </row>
    <row r="956" spans="1:26" ht="15.75" x14ac:dyDescent="0.25">
      <c r="A956" s="106">
        <v>45065</v>
      </c>
      <c r="B956" s="106"/>
      <c r="C956" s="106"/>
      <c r="D956" s="106"/>
      <c r="E956" s="106"/>
      <c r="F956" s="106"/>
      <c r="G956" s="106"/>
      <c r="J956" s="106">
        <v>45065</v>
      </c>
      <c r="K956" s="106"/>
      <c r="L956" s="106"/>
      <c r="M956" s="106"/>
      <c r="N956" s="106"/>
      <c r="O956" s="106"/>
      <c r="P956" s="106"/>
    </row>
    <row r="957" spans="1:26" ht="15.75" x14ac:dyDescent="0.25">
      <c r="A957" s="22" t="s">
        <v>34</v>
      </c>
      <c r="B957" s="22" t="s">
        <v>104</v>
      </c>
      <c r="C957" s="22" t="s">
        <v>105</v>
      </c>
      <c r="D957" s="22" t="s">
        <v>112</v>
      </c>
      <c r="E957" s="22" t="s">
        <v>106</v>
      </c>
      <c r="F957" s="21" t="s">
        <v>108</v>
      </c>
      <c r="G957" s="21" t="s">
        <v>28</v>
      </c>
      <c r="J957" s="22" t="s">
        <v>34</v>
      </c>
      <c r="K957" s="22" t="s">
        <v>104</v>
      </c>
      <c r="L957" s="22" t="s">
        <v>105</v>
      </c>
      <c r="M957" s="22" t="s">
        <v>112</v>
      </c>
      <c r="N957" s="22" t="s">
        <v>106</v>
      </c>
      <c r="O957" s="21" t="s">
        <v>108</v>
      </c>
      <c r="P957" s="21" t="s">
        <v>28</v>
      </c>
    </row>
    <row r="958" spans="1:26" ht="15.75" x14ac:dyDescent="0.25">
      <c r="A958" s="27" t="s">
        <v>100</v>
      </c>
      <c r="B958" s="23">
        <v>-55500</v>
      </c>
      <c r="C958" s="20">
        <v>246000</v>
      </c>
      <c r="D958" s="23">
        <f t="shared" ref="D958:D970" si="352">+C958+B958</f>
        <v>190500</v>
      </c>
      <c r="E958" s="7">
        <v>-6500</v>
      </c>
      <c r="F958" s="23">
        <f t="shared" ref="F958:F970" si="353">+B958+C958-E958</f>
        <v>197000</v>
      </c>
      <c r="G958" s="23">
        <v>-429000</v>
      </c>
      <c r="J958" s="27" t="s">
        <v>100</v>
      </c>
      <c r="K958" s="23">
        <v>-64400</v>
      </c>
      <c r="L958" s="20">
        <v>12500</v>
      </c>
      <c r="M958" s="23">
        <f t="shared" ref="M958:M970" si="354">+L958+K958</f>
        <v>-51900</v>
      </c>
      <c r="N958" s="7">
        <v>5000</v>
      </c>
      <c r="O958" s="23">
        <f t="shared" ref="O958:O970" si="355">+K958+L958-N958</f>
        <v>-56900</v>
      </c>
      <c r="P958" s="23">
        <v>0</v>
      </c>
      <c r="Q958">
        <v>27</v>
      </c>
    </row>
    <row r="959" spans="1:26" ht="15.75" x14ac:dyDescent="0.25">
      <c r="A959" s="27" t="s">
        <v>94</v>
      </c>
      <c r="B959" s="23">
        <f>19980+1800</f>
        <v>21780</v>
      </c>
      <c r="C959" s="20">
        <v>49500</v>
      </c>
      <c r="D959" s="23">
        <f t="shared" si="352"/>
        <v>71280</v>
      </c>
      <c r="E959" s="7">
        <v>0</v>
      </c>
      <c r="F959" s="23">
        <f t="shared" si="353"/>
        <v>71280</v>
      </c>
      <c r="G959" s="23">
        <v>-627750</v>
      </c>
      <c r="J959" s="27" t="s">
        <v>94</v>
      </c>
      <c r="K959" s="23">
        <v>-111150</v>
      </c>
      <c r="L959" s="20">
        <v>303300</v>
      </c>
      <c r="M959" s="23">
        <f t="shared" si="354"/>
        <v>192150</v>
      </c>
      <c r="N959" s="7">
        <v>38250</v>
      </c>
      <c r="O959" s="23">
        <f t="shared" si="355"/>
        <v>153900</v>
      </c>
      <c r="P959" s="23">
        <v>0</v>
      </c>
      <c r="Q959">
        <v>12.55</v>
      </c>
    </row>
    <row r="960" spans="1:26" ht="15.75" x14ac:dyDescent="0.25">
      <c r="A960" s="27" t="s">
        <v>67</v>
      </c>
      <c r="B960" s="23">
        <v>-335700</v>
      </c>
      <c r="C960" s="20">
        <v>-33200</v>
      </c>
      <c r="D960" s="23">
        <f t="shared" si="352"/>
        <v>-368900</v>
      </c>
      <c r="E960" s="7">
        <v>23000</v>
      </c>
      <c r="F960" s="23">
        <f t="shared" si="353"/>
        <v>-391900</v>
      </c>
      <c r="G960" s="23">
        <v>-517900</v>
      </c>
      <c r="J960" s="27" t="s">
        <v>67</v>
      </c>
      <c r="K960" s="23">
        <v>-100060</v>
      </c>
      <c r="L960" s="20">
        <v>21600</v>
      </c>
      <c r="M960" s="23">
        <f t="shared" si="354"/>
        <v>-78460</v>
      </c>
      <c r="N960" s="7">
        <v>-2500</v>
      </c>
      <c r="O960" s="23">
        <f t="shared" si="355"/>
        <v>-75960</v>
      </c>
      <c r="P960" s="23">
        <v>0</v>
      </c>
      <c r="Q960">
        <v>10.600000000000001</v>
      </c>
    </row>
    <row r="961" spans="1:18" ht="15.75" x14ac:dyDescent="0.25">
      <c r="A961" s="27" t="s">
        <v>16</v>
      </c>
      <c r="B961" s="23">
        <v>0</v>
      </c>
      <c r="C961" s="20">
        <v>8925</v>
      </c>
      <c r="D961" s="23">
        <f t="shared" si="352"/>
        <v>8925</v>
      </c>
      <c r="E961" s="7">
        <v>1500</v>
      </c>
      <c r="F961" s="23">
        <f t="shared" si="353"/>
        <v>7425</v>
      </c>
      <c r="G961" s="23">
        <v>-327750</v>
      </c>
      <c r="J961" s="27" t="s">
        <v>16</v>
      </c>
      <c r="K961" s="23">
        <v>-114300</v>
      </c>
      <c r="L961" s="20">
        <v>69300</v>
      </c>
      <c r="M961" s="23">
        <f t="shared" si="354"/>
        <v>-45000</v>
      </c>
      <c r="N961" s="7">
        <v>-6000</v>
      </c>
      <c r="O961" s="23">
        <f t="shared" si="355"/>
        <v>-39000</v>
      </c>
      <c r="P961" s="23">
        <v>0</v>
      </c>
      <c r="Q961">
        <v>16.200000000000003</v>
      </c>
    </row>
    <row r="962" spans="1:18" ht="15.75" x14ac:dyDescent="0.25">
      <c r="A962" s="27" t="s">
        <v>58</v>
      </c>
      <c r="B962" s="23">
        <v>-76600</v>
      </c>
      <c r="C962" s="20">
        <v>181800</v>
      </c>
      <c r="D962" s="23">
        <f t="shared" si="352"/>
        <v>105200</v>
      </c>
      <c r="E962" s="7">
        <v>24800</v>
      </c>
      <c r="F962" s="23">
        <f t="shared" si="353"/>
        <v>80400</v>
      </c>
      <c r="G962" s="23">
        <v>-411800</v>
      </c>
      <c r="J962" s="27" t="s">
        <v>58</v>
      </c>
      <c r="K962" s="23">
        <v>53600</v>
      </c>
      <c r="L962" s="20">
        <v>-162000</v>
      </c>
      <c r="M962" s="23">
        <f t="shared" si="354"/>
        <v>-108400</v>
      </c>
      <c r="N962" s="7">
        <v>9000</v>
      </c>
      <c r="O962" s="23">
        <f t="shared" si="355"/>
        <v>-117400</v>
      </c>
      <c r="P962" s="23">
        <v>0</v>
      </c>
      <c r="Q962">
        <v>7.15</v>
      </c>
    </row>
    <row r="963" spans="1:18" ht="15.75" x14ac:dyDescent="0.25">
      <c r="A963" s="27" t="s">
        <v>97</v>
      </c>
      <c r="B963" s="23">
        <v>-70112</v>
      </c>
      <c r="C963" s="20">
        <v>81500</v>
      </c>
      <c r="D963" s="23">
        <f t="shared" si="352"/>
        <v>11388</v>
      </c>
      <c r="E963" s="7">
        <v>6000</v>
      </c>
      <c r="F963" s="23">
        <f t="shared" si="353"/>
        <v>5388</v>
      </c>
      <c r="G963" s="23">
        <v>-363000</v>
      </c>
      <c r="J963" s="27" t="s">
        <v>97</v>
      </c>
      <c r="K963" s="23">
        <v>-70000</v>
      </c>
      <c r="L963" s="20">
        <v>134500</v>
      </c>
      <c r="M963" s="23">
        <f t="shared" si="354"/>
        <v>64500</v>
      </c>
      <c r="N963" s="7">
        <v>24250</v>
      </c>
      <c r="O963" s="23">
        <f t="shared" si="355"/>
        <v>40250</v>
      </c>
      <c r="P963" s="23">
        <v>0</v>
      </c>
      <c r="Q963">
        <v>18.75</v>
      </c>
    </row>
    <row r="964" spans="1:18" ht="15.75" x14ac:dyDescent="0.25">
      <c r="A964" s="27" t="s">
        <v>119</v>
      </c>
      <c r="B964" s="23">
        <v>2442</v>
      </c>
      <c r="C964" s="20">
        <v>105820</v>
      </c>
      <c r="D964" s="23">
        <f t="shared" si="352"/>
        <v>108262</v>
      </c>
      <c r="E964" s="7">
        <v>-14652</v>
      </c>
      <c r="F964" s="23">
        <f t="shared" si="353"/>
        <v>122914</v>
      </c>
      <c r="G964" s="23">
        <v>-321530</v>
      </c>
      <c r="J964" s="27" t="s">
        <v>119</v>
      </c>
      <c r="K964" s="23">
        <v>-53072</v>
      </c>
      <c r="L964" s="20">
        <v>77533.5</v>
      </c>
      <c r="M964" s="23">
        <f t="shared" si="354"/>
        <v>24461.5</v>
      </c>
      <c r="N964" s="7">
        <v>-17297.5</v>
      </c>
      <c r="O964" s="23">
        <f t="shared" si="355"/>
        <v>41759</v>
      </c>
      <c r="P964" s="23">
        <v>0</v>
      </c>
      <c r="Q964">
        <v>47.1</v>
      </c>
    </row>
    <row r="965" spans="1:18" ht="15.75" x14ac:dyDescent="0.25">
      <c r="A965" s="27" t="s">
        <v>76</v>
      </c>
      <c r="B965" s="23">
        <v>-270</v>
      </c>
      <c r="C965" s="20">
        <v>35910</v>
      </c>
      <c r="D965" s="23">
        <f t="shared" si="352"/>
        <v>35640</v>
      </c>
      <c r="E965" s="7">
        <v>4320</v>
      </c>
      <c r="F965" s="23">
        <f t="shared" si="353"/>
        <v>31320</v>
      </c>
      <c r="G965" s="23">
        <v>-321300</v>
      </c>
      <c r="J965" s="27" t="s">
        <v>76</v>
      </c>
      <c r="K965" s="23">
        <v>-18846</v>
      </c>
      <c r="L965" s="20">
        <v>121230</v>
      </c>
      <c r="M965" s="23">
        <f t="shared" si="354"/>
        <v>102384</v>
      </c>
      <c r="N965" s="7">
        <v>60210</v>
      </c>
      <c r="O965" s="23">
        <f t="shared" si="355"/>
        <v>42174</v>
      </c>
      <c r="P965" s="23">
        <v>0</v>
      </c>
      <c r="Q965">
        <v>4.6500000000000004</v>
      </c>
      <c r="R965">
        <f>+K970+K961+K963+K969+K964</f>
        <v>-118634</v>
      </c>
    </row>
    <row r="966" spans="1:18" ht="15.75" x14ac:dyDescent="0.25">
      <c r="A966" s="27" t="s">
        <v>90</v>
      </c>
      <c r="B966" s="23">
        <v>0</v>
      </c>
      <c r="C966" s="20">
        <v>150480</v>
      </c>
      <c r="D966" s="23">
        <f t="shared" si="352"/>
        <v>150480</v>
      </c>
      <c r="E966" s="7">
        <v>44080</v>
      </c>
      <c r="F966" s="23">
        <f t="shared" si="353"/>
        <v>106400</v>
      </c>
      <c r="G966" s="23">
        <v>-327600</v>
      </c>
      <c r="J966" s="27" t="s">
        <v>90</v>
      </c>
      <c r="K966" s="23">
        <v>19184</v>
      </c>
      <c r="L966" s="20">
        <v>-93280</v>
      </c>
      <c r="M966" s="23">
        <f t="shared" si="354"/>
        <v>-74096</v>
      </c>
      <c r="N966" s="7">
        <v>2800</v>
      </c>
      <c r="O966" s="23">
        <f t="shared" si="355"/>
        <v>-76896</v>
      </c>
      <c r="P966" s="23">
        <v>-381600</v>
      </c>
      <c r="Q966">
        <v>9.3999999999999986</v>
      </c>
    </row>
    <row r="967" spans="1:18" ht="15.75" x14ac:dyDescent="0.25">
      <c r="A967" s="27" t="s">
        <v>43</v>
      </c>
      <c r="B967" s="23">
        <v>28725</v>
      </c>
      <c r="C967" s="20">
        <v>50875.000000000022</v>
      </c>
      <c r="D967" s="23">
        <f t="shared" si="352"/>
        <v>79600.000000000029</v>
      </c>
      <c r="E967" s="7">
        <v>-18500</v>
      </c>
      <c r="F967" s="23">
        <f t="shared" si="353"/>
        <v>98100.000000000029</v>
      </c>
      <c r="G967" s="23">
        <v>-487000</v>
      </c>
      <c r="J967" s="27" t="s">
        <v>43</v>
      </c>
      <c r="K967" s="23">
        <v>-7950</v>
      </c>
      <c r="L967" s="20">
        <v>173375</v>
      </c>
      <c r="M967" s="23">
        <f t="shared" si="354"/>
        <v>165425</v>
      </c>
      <c r="N967" s="7">
        <v>9875</v>
      </c>
      <c r="O967" s="23">
        <f t="shared" si="355"/>
        <v>155550</v>
      </c>
      <c r="P967" s="23">
        <v>0</v>
      </c>
      <c r="Q967">
        <v>16.8</v>
      </c>
    </row>
    <row r="968" spans="1:18" ht="15.75" x14ac:dyDescent="0.25">
      <c r="A968" s="27" t="s">
        <v>85</v>
      </c>
      <c r="B968" s="23">
        <v>9825</v>
      </c>
      <c r="C968" s="20">
        <v>120000</v>
      </c>
      <c r="D968" s="23">
        <f t="shared" si="352"/>
        <v>129825</v>
      </c>
      <c r="E968" s="7">
        <v>15750</v>
      </c>
      <c r="F968" s="23">
        <f t="shared" si="353"/>
        <v>114075</v>
      </c>
      <c r="G968" s="23">
        <v>-387000</v>
      </c>
      <c r="J968" s="27" t="s">
        <v>85</v>
      </c>
      <c r="K968" s="23">
        <v>-16350</v>
      </c>
      <c r="L968" s="20">
        <v>121500</v>
      </c>
      <c r="M968" s="23">
        <f t="shared" si="354"/>
        <v>105150</v>
      </c>
      <c r="N968" s="7">
        <v>6000</v>
      </c>
      <c r="O968" s="23">
        <f t="shared" si="355"/>
        <v>99150</v>
      </c>
      <c r="P968" s="23">
        <v>0</v>
      </c>
      <c r="Q968">
        <v>17.8</v>
      </c>
    </row>
    <row r="969" spans="1:18" ht="15.75" x14ac:dyDescent="0.25">
      <c r="A969" s="27" t="s">
        <v>15</v>
      </c>
      <c r="B969" s="23">
        <v>28987</v>
      </c>
      <c r="C969" s="20">
        <v>58500</v>
      </c>
      <c r="D969" s="23">
        <f t="shared" si="352"/>
        <v>87487</v>
      </c>
      <c r="E969" s="7">
        <v>1500</v>
      </c>
      <c r="F969" s="23">
        <f t="shared" si="353"/>
        <v>85987</v>
      </c>
      <c r="G969" s="23">
        <v>-378000</v>
      </c>
      <c r="J969" s="27" t="s">
        <v>15</v>
      </c>
      <c r="K969" s="23">
        <v>-50012</v>
      </c>
      <c r="L969" s="20">
        <v>125312.5</v>
      </c>
      <c r="M969" s="23">
        <f t="shared" si="354"/>
        <v>75300.5</v>
      </c>
      <c r="N969" s="7">
        <v>8500</v>
      </c>
      <c r="O969" s="23">
        <f t="shared" si="355"/>
        <v>66800.5</v>
      </c>
      <c r="P969" s="23">
        <v>0</v>
      </c>
      <c r="Q969">
        <v>16.600000000000001</v>
      </c>
    </row>
    <row r="970" spans="1:18" ht="15.75" x14ac:dyDescent="0.25">
      <c r="A970" s="27" t="s">
        <v>61</v>
      </c>
      <c r="B970" s="23">
        <v>205800</v>
      </c>
      <c r="C970" s="20">
        <v>115500</v>
      </c>
      <c r="D970" s="23">
        <f t="shared" si="352"/>
        <v>321300</v>
      </c>
      <c r="E970" s="7">
        <v>-47000</v>
      </c>
      <c r="F970" s="23">
        <f t="shared" si="353"/>
        <v>368300</v>
      </c>
      <c r="G970" s="23">
        <v>-412500</v>
      </c>
      <c r="J970" s="27" t="s">
        <v>61</v>
      </c>
      <c r="K970" s="23">
        <v>168750</v>
      </c>
      <c r="L970" s="20">
        <v>-188000</v>
      </c>
      <c r="M970" s="23">
        <f t="shared" si="354"/>
        <v>-19250</v>
      </c>
      <c r="N970" s="7">
        <v>24500</v>
      </c>
      <c r="O970" s="23">
        <f t="shared" si="355"/>
        <v>-43750</v>
      </c>
      <c r="P970" s="23">
        <v>0</v>
      </c>
      <c r="Q970">
        <v>21.4</v>
      </c>
    </row>
    <row r="971" spans="1:18" ht="15.75" x14ac:dyDescent="0.25">
      <c r="A971" s="21" t="s">
        <v>107</v>
      </c>
      <c r="B971" s="22">
        <f t="shared" ref="B971:G971" si="356">SUM(B958:B970)</f>
        <v>-240623</v>
      </c>
      <c r="C971" s="18">
        <f t="shared" si="356"/>
        <v>1171610</v>
      </c>
      <c r="D971" s="23">
        <f t="shared" si="356"/>
        <v>930987</v>
      </c>
      <c r="E971" s="18">
        <f t="shared" si="356"/>
        <v>34298</v>
      </c>
      <c r="F971" s="23">
        <f t="shared" si="356"/>
        <v>896689</v>
      </c>
      <c r="G971" s="17">
        <f t="shared" si="356"/>
        <v>-5312130</v>
      </c>
      <c r="J971" s="21" t="s">
        <v>107</v>
      </c>
      <c r="K971" s="22">
        <f t="shared" ref="K971:P971" si="357">SUM(K958:K970)</f>
        <v>-364606</v>
      </c>
      <c r="L971" s="18">
        <f t="shared" si="357"/>
        <v>716871</v>
      </c>
      <c r="M971" s="23">
        <f t="shared" si="357"/>
        <v>352265</v>
      </c>
      <c r="N971" s="18">
        <f t="shared" si="357"/>
        <v>162587.5</v>
      </c>
      <c r="O971" s="23">
        <f t="shared" si="357"/>
        <v>189677.5</v>
      </c>
      <c r="P971" s="17">
        <f t="shared" si="357"/>
        <v>-381600</v>
      </c>
    </row>
    <row r="973" spans="1:18" x14ac:dyDescent="0.25">
      <c r="A973" s="134">
        <v>45078</v>
      </c>
      <c r="B973" s="135"/>
      <c r="C973" s="135"/>
    </row>
    <row r="974" spans="1:18" x14ac:dyDescent="0.25">
      <c r="A974" s="135"/>
      <c r="B974" s="135"/>
      <c r="C974" s="135"/>
    </row>
    <row r="975" spans="1:18" x14ac:dyDescent="0.25">
      <c r="A975" s="135"/>
      <c r="B975" s="135"/>
      <c r="C975" s="135"/>
    </row>
    <row r="976" spans="1:18" x14ac:dyDescent="0.25">
      <c r="A976" s="135"/>
      <c r="B976" s="135"/>
      <c r="C976" s="135"/>
    </row>
    <row r="979" spans="1:25" ht="15.75" x14ac:dyDescent="0.25">
      <c r="A979" s="106">
        <v>45091</v>
      </c>
      <c r="B979" s="106"/>
      <c r="C979" s="106"/>
      <c r="D979" s="106"/>
      <c r="E979" s="106"/>
      <c r="F979" s="106"/>
      <c r="G979" s="106"/>
      <c r="H979">
        <v>9.8999999999999986</v>
      </c>
      <c r="I979">
        <v>9.8999999999999986</v>
      </c>
      <c r="J979" s="106">
        <v>45091</v>
      </c>
      <c r="K979" s="106"/>
      <c r="L979" s="106"/>
      <c r="M979" s="106"/>
      <c r="N979" s="106"/>
      <c r="O979" s="106"/>
      <c r="P979" s="106"/>
      <c r="R979" s="106">
        <v>45064</v>
      </c>
      <c r="S979" s="106"/>
      <c r="T979" s="106"/>
      <c r="U979" s="106"/>
      <c r="V979" s="106"/>
      <c r="W979" s="106"/>
      <c r="X979" s="106"/>
    </row>
    <row r="980" spans="1:25" ht="15.75" x14ac:dyDescent="0.25">
      <c r="A980" s="22" t="s">
        <v>34</v>
      </c>
      <c r="B980" s="22" t="s">
        <v>104</v>
      </c>
      <c r="C980" s="22" t="s">
        <v>105</v>
      </c>
      <c r="D980" s="22" t="s">
        <v>112</v>
      </c>
      <c r="E980" s="22" t="s">
        <v>106</v>
      </c>
      <c r="F980" s="21" t="s">
        <v>108</v>
      </c>
      <c r="G980" s="21" t="s">
        <v>28</v>
      </c>
      <c r="H980">
        <v>18.25</v>
      </c>
      <c r="I980">
        <v>17.25</v>
      </c>
      <c r="J980" s="22" t="s">
        <v>34</v>
      </c>
      <c r="K980" s="22" t="s">
        <v>104</v>
      </c>
      <c r="L980" s="22" t="s">
        <v>105</v>
      </c>
      <c r="M980" s="22" t="s">
        <v>112</v>
      </c>
      <c r="N980" s="22" t="s">
        <v>106</v>
      </c>
      <c r="O980" s="21" t="s">
        <v>108</v>
      </c>
      <c r="P980" s="21" t="s">
        <v>28</v>
      </c>
      <c r="R980" s="22" t="s">
        <v>34</v>
      </c>
      <c r="S980" s="22" t="s">
        <v>104</v>
      </c>
      <c r="T980" s="22" t="s">
        <v>105</v>
      </c>
      <c r="U980" s="22" t="s">
        <v>112</v>
      </c>
      <c r="V980" s="22" t="s">
        <v>106</v>
      </c>
      <c r="W980" s="21" t="s">
        <v>108</v>
      </c>
      <c r="X980" s="21" t="s">
        <v>28</v>
      </c>
    </row>
    <row r="981" spans="1:25" ht="15.75" x14ac:dyDescent="0.25">
      <c r="A981" s="27" t="s">
        <v>76</v>
      </c>
      <c r="B981" s="23">
        <v>-5670</v>
      </c>
      <c r="C981" s="20"/>
      <c r="D981" s="23">
        <f t="shared" ref="D981:D992" si="358">+C981+B981</f>
        <v>-5670</v>
      </c>
      <c r="E981" s="7"/>
      <c r="F981" s="23">
        <f t="shared" ref="F981:F992" si="359">+B981+C981-E981</f>
        <v>-5670</v>
      </c>
      <c r="G981" s="23">
        <v>-153630</v>
      </c>
      <c r="H981">
        <v>26.549999999999997</v>
      </c>
      <c r="I981">
        <v>26.25</v>
      </c>
      <c r="J981" s="27" t="s">
        <v>76</v>
      </c>
      <c r="K981" s="23">
        <v>-10260</v>
      </c>
      <c r="L981" s="20">
        <v>19980</v>
      </c>
      <c r="M981" s="23">
        <f t="shared" ref="M981:M992" si="360">+L981+K981</f>
        <v>9720</v>
      </c>
      <c r="N981" s="7">
        <v>1080</v>
      </c>
      <c r="O981" s="23">
        <f t="shared" ref="O981:O992" si="361">+K981+L981-N981</f>
        <v>8640</v>
      </c>
      <c r="P981" s="23">
        <v>-222750</v>
      </c>
      <c r="Q981">
        <v>9.4</v>
      </c>
      <c r="R981" s="27" t="s">
        <v>76</v>
      </c>
      <c r="S981" s="23">
        <v>15660</v>
      </c>
      <c r="T981" s="20">
        <v>15930</v>
      </c>
      <c r="U981" s="23">
        <f t="shared" ref="U981:U994" si="362">+T981+S981</f>
        <v>31590</v>
      </c>
      <c r="V981" s="7">
        <v>-1080</v>
      </c>
      <c r="W981" s="23">
        <f t="shared" ref="W981:W994" si="363">+S981+T981-V981</f>
        <v>32670</v>
      </c>
      <c r="X981" s="23">
        <v>-391810</v>
      </c>
      <c r="Y981" s="32">
        <v>8.9499999999999993</v>
      </c>
    </row>
    <row r="982" spans="1:25" ht="15.75" x14ac:dyDescent="0.25">
      <c r="A982" s="27" t="s">
        <v>71</v>
      </c>
      <c r="B982" s="23">
        <v>525</v>
      </c>
      <c r="C982" s="20"/>
      <c r="D982" s="23">
        <f t="shared" si="358"/>
        <v>525</v>
      </c>
      <c r="E982" s="7"/>
      <c r="F982" s="23">
        <f t="shared" si="359"/>
        <v>525</v>
      </c>
      <c r="G982" s="23">
        <v>-127050</v>
      </c>
      <c r="H982">
        <v>14.95</v>
      </c>
      <c r="I982">
        <v>15.3</v>
      </c>
      <c r="J982" s="27" t="s">
        <v>71</v>
      </c>
      <c r="K982" s="23">
        <v>-13475</v>
      </c>
      <c r="L982" s="20">
        <v>1050</v>
      </c>
      <c r="M982" s="23">
        <f t="shared" si="360"/>
        <v>-12425</v>
      </c>
      <c r="N982" s="7">
        <v>350</v>
      </c>
      <c r="O982" s="23">
        <f t="shared" si="361"/>
        <v>-12775</v>
      </c>
      <c r="P982" s="23">
        <v>-246750</v>
      </c>
      <c r="Q982">
        <v>17.350000000000001</v>
      </c>
      <c r="R982" s="27" t="s">
        <v>71</v>
      </c>
      <c r="S982" s="23">
        <v>-7175</v>
      </c>
      <c r="T982" s="20">
        <v>33950</v>
      </c>
      <c r="U982" s="23">
        <f t="shared" si="362"/>
        <v>26775</v>
      </c>
      <c r="V982" s="7">
        <v>-8050</v>
      </c>
      <c r="W982" s="23">
        <f t="shared" si="363"/>
        <v>34825</v>
      </c>
      <c r="X982" s="23">
        <v>-488950</v>
      </c>
      <c r="Y982" s="32">
        <v>15.899999999999999</v>
      </c>
    </row>
    <row r="983" spans="1:25" ht="15.75" x14ac:dyDescent="0.25">
      <c r="A983" s="27" t="s">
        <v>90</v>
      </c>
      <c r="B983" s="23">
        <v>-160</v>
      </c>
      <c r="C983" s="20"/>
      <c r="D983" s="23">
        <f t="shared" si="358"/>
        <v>-160</v>
      </c>
      <c r="E983" s="7"/>
      <c r="F983" s="23">
        <f t="shared" si="359"/>
        <v>-160</v>
      </c>
      <c r="G983" s="23">
        <v>-86800</v>
      </c>
      <c r="H983">
        <v>12.45</v>
      </c>
      <c r="I983">
        <v>12.85</v>
      </c>
      <c r="J983" s="27" t="s">
        <v>90</v>
      </c>
      <c r="K983" s="23">
        <v>-2240</v>
      </c>
      <c r="L983" s="20">
        <v>19360</v>
      </c>
      <c r="M983" s="23">
        <f t="shared" si="360"/>
        <v>17120</v>
      </c>
      <c r="N983" s="7">
        <v>2240</v>
      </c>
      <c r="O983" s="23">
        <f t="shared" si="361"/>
        <v>14880</v>
      </c>
      <c r="P983" s="23">
        <v>-202720</v>
      </c>
      <c r="Q983">
        <v>24.85</v>
      </c>
      <c r="R983" s="27" t="s">
        <v>90</v>
      </c>
      <c r="S983" s="23">
        <v>-7520</v>
      </c>
      <c r="T983" s="20">
        <v>19680</v>
      </c>
      <c r="U983" s="23">
        <f t="shared" si="362"/>
        <v>12160</v>
      </c>
      <c r="V983" s="7">
        <v>-1360</v>
      </c>
      <c r="W983" s="23">
        <f t="shared" si="363"/>
        <v>13520</v>
      </c>
      <c r="X983" s="23">
        <v>-389600</v>
      </c>
      <c r="Y983" s="32">
        <v>22.85</v>
      </c>
    </row>
    <row r="984" spans="1:25" ht="15.75" x14ac:dyDescent="0.25">
      <c r="A984" s="27" t="s">
        <v>94</v>
      </c>
      <c r="B984" s="23">
        <v>-4410</v>
      </c>
      <c r="C984" s="20"/>
      <c r="D984" s="23">
        <f t="shared" si="358"/>
        <v>-4410</v>
      </c>
      <c r="E984" s="7"/>
      <c r="F984" s="23">
        <f t="shared" si="359"/>
        <v>-4410</v>
      </c>
      <c r="G984" s="23">
        <v>-107640</v>
      </c>
      <c r="H984">
        <v>78.400000000000006</v>
      </c>
      <c r="I984">
        <v>78.55</v>
      </c>
      <c r="J984" s="27" t="s">
        <v>94</v>
      </c>
      <c r="K984" s="23">
        <v>-3150</v>
      </c>
      <c r="L984" s="20">
        <v>-7920</v>
      </c>
      <c r="M984" s="23">
        <f t="shared" si="360"/>
        <v>-11070</v>
      </c>
      <c r="N984" s="7">
        <v>-3240</v>
      </c>
      <c r="O984" s="23">
        <f t="shared" si="361"/>
        <v>-7830</v>
      </c>
      <c r="P984" s="23">
        <v>-195300</v>
      </c>
      <c r="Q984">
        <v>14.25</v>
      </c>
      <c r="R984" s="27" t="s">
        <v>94</v>
      </c>
      <c r="S984" s="23">
        <v>6930</v>
      </c>
      <c r="T984" s="20">
        <v>49140</v>
      </c>
      <c r="U984" s="23">
        <f t="shared" si="362"/>
        <v>56070</v>
      </c>
      <c r="V984" s="7">
        <v>720</v>
      </c>
      <c r="W984" s="23">
        <f t="shared" si="363"/>
        <v>55350</v>
      </c>
      <c r="X984" s="23">
        <v>-514350</v>
      </c>
      <c r="Y984" s="32">
        <v>12</v>
      </c>
    </row>
    <row r="985" spans="1:25" ht="15.75" x14ac:dyDescent="0.25">
      <c r="A985" s="27" t="s">
        <v>82</v>
      </c>
      <c r="B985" s="23">
        <v>-22588</v>
      </c>
      <c r="C985" s="20"/>
      <c r="D985" s="23">
        <f t="shared" si="358"/>
        <v>-22588</v>
      </c>
      <c r="E985" s="7"/>
      <c r="F985" s="23">
        <f t="shared" si="359"/>
        <v>-22588</v>
      </c>
      <c r="G985" s="23">
        <v>-147390</v>
      </c>
      <c r="H985">
        <v>23.55</v>
      </c>
      <c r="I985">
        <v>23.75</v>
      </c>
      <c r="J985" s="27" t="s">
        <v>82</v>
      </c>
      <c r="K985" s="23">
        <v>8606</v>
      </c>
      <c r="L985" s="20">
        <v>-153637.5</v>
      </c>
      <c r="M985" s="23">
        <f t="shared" si="360"/>
        <v>-145031.5</v>
      </c>
      <c r="N985" s="7">
        <v>-11283.75</v>
      </c>
      <c r="O985" s="23">
        <f t="shared" si="361"/>
        <v>-133747.75</v>
      </c>
      <c r="P985" s="23">
        <v>-327760</v>
      </c>
      <c r="Q985">
        <v>93.05</v>
      </c>
      <c r="R985" s="27" t="s">
        <v>55</v>
      </c>
      <c r="S985" s="23">
        <v>60300</v>
      </c>
      <c r="T985" s="20">
        <v>0</v>
      </c>
      <c r="U985" s="23">
        <f t="shared" si="362"/>
        <v>60300</v>
      </c>
      <c r="V985" s="7"/>
      <c r="W985" s="23">
        <f t="shared" si="363"/>
        <v>60300</v>
      </c>
      <c r="X985" s="23">
        <v>-379500</v>
      </c>
      <c r="Y985" s="32">
        <v>15.1</v>
      </c>
    </row>
    <row r="986" spans="1:25" ht="15.75" x14ac:dyDescent="0.25">
      <c r="A986" s="27" t="s">
        <v>43</v>
      </c>
      <c r="B986" s="23">
        <v>2500</v>
      </c>
      <c r="C986" s="20"/>
      <c r="D986" s="23">
        <f t="shared" si="358"/>
        <v>2500</v>
      </c>
      <c r="E986" s="7"/>
      <c r="F986" s="23">
        <f t="shared" si="359"/>
        <v>2500</v>
      </c>
      <c r="G986" s="23">
        <v>-112000</v>
      </c>
      <c r="H986">
        <v>25.15</v>
      </c>
      <c r="I986">
        <v>25.35</v>
      </c>
      <c r="J986" s="27" t="s">
        <v>43</v>
      </c>
      <c r="K986" s="23">
        <v>125</v>
      </c>
      <c r="L986" s="20">
        <v>15500</v>
      </c>
      <c r="M986" s="23">
        <f t="shared" si="360"/>
        <v>15625</v>
      </c>
      <c r="N986" s="7">
        <v>1500</v>
      </c>
      <c r="O986" s="23">
        <f t="shared" si="361"/>
        <v>14125</v>
      </c>
      <c r="P986" s="23">
        <v>-209500</v>
      </c>
      <c r="Q986">
        <v>22</v>
      </c>
      <c r="R986" s="27" t="s">
        <v>82</v>
      </c>
      <c r="S986" s="23">
        <v>-39482</v>
      </c>
      <c r="T986" s="20">
        <v>-22099.999999999996</v>
      </c>
      <c r="U986" s="23">
        <f t="shared" si="362"/>
        <v>-61582</v>
      </c>
      <c r="V986" s="7">
        <v>1020</v>
      </c>
      <c r="W986" s="23">
        <f t="shared" si="363"/>
        <v>-62602</v>
      </c>
      <c r="X986" s="23">
        <v>-353600</v>
      </c>
      <c r="Y986" s="32">
        <v>81.5</v>
      </c>
    </row>
    <row r="987" spans="1:25" ht="15.75" x14ac:dyDescent="0.25">
      <c r="A987" s="27" t="s">
        <v>15</v>
      </c>
      <c r="B987" s="23">
        <v>9062</v>
      </c>
      <c r="C987" s="20"/>
      <c r="D987" s="23">
        <f t="shared" si="358"/>
        <v>9062</v>
      </c>
      <c r="E987" s="7"/>
      <c r="F987" s="23">
        <f t="shared" si="359"/>
        <v>9062</v>
      </c>
      <c r="G987" s="23">
        <v>-118500</v>
      </c>
      <c r="H987">
        <v>17.850000000000001</v>
      </c>
      <c r="I987">
        <v>17.899999999999999</v>
      </c>
      <c r="J987" s="27" t="s">
        <v>15</v>
      </c>
      <c r="K987" s="23">
        <v>-937</v>
      </c>
      <c r="L987" s="20">
        <v>20375</v>
      </c>
      <c r="M987" s="23">
        <f t="shared" si="360"/>
        <v>19438</v>
      </c>
      <c r="N987" s="7">
        <v>4875</v>
      </c>
      <c r="O987" s="23">
        <f t="shared" si="361"/>
        <v>14563</v>
      </c>
      <c r="P987" s="23">
        <v>-188500</v>
      </c>
      <c r="Q987">
        <v>23.3</v>
      </c>
      <c r="R987" s="27" t="s">
        <v>43</v>
      </c>
      <c r="S987" s="23">
        <v>-18062</v>
      </c>
      <c r="T987" s="20">
        <v>15249.999999999996</v>
      </c>
      <c r="U987" s="23">
        <f t="shared" si="362"/>
        <v>-2812.0000000000036</v>
      </c>
      <c r="V987" s="7">
        <v>500</v>
      </c>
      <c r="W987" s="23">
        <f t="shared" si="363"/>
        <v>-3312.0000000000036</v>
      </c>
      <c r="X987" s="23">
        <v>-437500</v>
      </c>
      <c r="Y987" s="32">
        <v>22.4</v>
      </c>
    </row>
    <row r="988" spans="1:25" ht="15.75" x14ac:dyDescent="0.25">
      <c r="A988" s="27" t="s">
        <v>75</v>
      </c>
      <c r="B988" s="23">
        <v>-5300</v>
      </c>
      <c r="C988" s="20"/>
      <c r="D988" s="23">
        <f t="shared" si="358"/>
        <v>-5300</v>
      </c>
      <c r="E988" s="7"/>
      <c r="F988" s="23">
        <f t="shared" si="359"/>
        <v>-5300</v>
      </c>
      <c r="G988" s="23">
        <v>-107900</v>
      </c>
      <c r="H988">
        <v>29.85</v>
      </c>
      <c r="I988">
        <v>29.7</v>
      </c>
      <c r="J988" s="27" t="s">
        <v>75</v>
      </c>
      <c r="K988" s="23">
        <v>-24100</v>
      </c>
      <c r="L988" s="20">
        <v>-14000</v>
      </c>
      <c r="M988" s="23">
        <f t="shared" si="360"/>
        <v>-38100</v>
      </c>
      <c r="N988" s="7">
        <v>-400</v>
      </c>
      <c r="O988" s="23">
        <f t="shared" si="361"/>
        <v>-37700</v>
      </c>
      <c r="P988" s="23">
        <v>-252600</v>
      </c>
      <c r="Q988">
        <v>18.25</v>
      </c>
      <c r="R988" s="27" t="s">
        <v>15</v>
      </c>
      <c r="S988" s="23">
        <v>-24625</v>
      </c>
      <c r="T988" s="20">
        <v>7250</v>
      </c>
      <c r="U988" s="23">
        <f t="shared" si="362"/>
        <v>-17375</v>
      </c>
      <c r="V988" s="7">
        <v>2750</v>
      </c>
      <c r="W988" s="23">
        <f t="shared" si="363"/>
        <v>-20125</v>
      </c>
      <c r="X988" s="23">
        <v>-572500</v>
      </c>
      <c r="Y988" s="32">
        <v>22.65</v>
      </c>
    </row>
    <row r="989" spans="1:25" ht="15.75" x14ac:dyDescent="0.25">
      <c r="A989" s="27" t="s">
        <v>73</v>
      </c>
      <c r="B989" s="23">
        <v>-297</v>
      </c>
      <c r="C989" s="20"/>
      <c r="D989" s="23">
        <f t="shared" si="358"/>
        <v>-297</v>
      </c>
      <c r="E989" s="7"/>
      <c r="F989" s="23">
        <f t="shared" si="359"/>
        <v>-297</v>
      </c>
      <c r="G989" s="23">
        <v>-105655</v>
      </c>
      <c r="H989">
        <v>14.9</v>
      </c>
      <c r="I989">
        <v>14.6</v>
      </c>
      <c r="J989" s="27" t="s">
        <v>73</v>
      </c>
      <c r="K989" s="23">
        <v>12665</v>
      </c>
      <c r="L989" s="20">
        <v>-17170</v>
      </c>
      <c r="M989" s="23">
        <f t="shared" si="360"/>
        <v>-4505</v>
      </c>
      <c r="N989" s="7">
        <v>3400</v>
      </c>
      <c r="O989" s="23">
        <f t="shared" si="361"/>
        <v>-7905</v>
      </c>
      <c r="P989" s="23">
        <v>-151725</v>
      </c>
      <c r="Q989">
        <v>31.65</v>
      </c>
      <c r="R989" s="27" t="s">
        <v>75</v>
      </c>
      <c r="S989" s="23">
        <v>-36800</v>
      </c>
      <c r="T989" s="20">
        <v>-16300</v>
      </c>
      <c r="U989" s="23">
        <f t="shared" si="362"/>
        <v>-53100</v>
      </c>
      <c r="V989" s="7">
        <v>7100</v>
      </c>
      <c r="W989" s="23">
        <f t="shared" si="363"/>
        <v>-60200</v>
      </c>
      <c r="X989" s="23">
        <v>-525000</v>
      </c>
      <c r="Y989" s="32">
        <v>17.149999999999999</v>
      </c>
    </row>
    <row r="990" spans="1:25" ht="15.75" x14ac:dyDescent="0.25">
      <c r="A990" s="27" t="s">
        <v>80</v>
      </c>
      <c r="B990" s="23">
        <v>1600</v>
      </c>
      <c r="C990" s="20"/>
      <c r="D990" s="23">
        <f t="shared" si="358"/>
        <v>1600</v>
      </c>
      <c r="E990" s="7"/>
      <c r="F990" s="23">
        <f t="shared" si="359"/>
        <v>1600</v>
      </c>
      <c r="G990" s="23">
        <v>-105000</v>
      </c>
      <c r="H990">
        <v>236.55</v>
      </c>
      <c r="I990">
        <v>238.5</v>
      </c>
      <c r="J990" s="27" t="s">
        <v>80</v>
      </c>
      <c r="K990" s="23">
        <v>-6000</v>
      </c>
      <c r="L990" s="20">
        <v>13600</v>
      </c>
      <c r="M990" s="23">
        <f t="shared" si="360"/>
        <v>7600</v>
      </c>
      <c r="N990" s="7">
        <v>6200</v>
      </c>
      <c r="O990" s="23">
        <f t="shared" si="361"/>
        <v>1400</v>
      </c>
      <c r="P990" s="23">
        <v>-192000</v>
      </c>
      <c r="Q990">
        <v>13.95</v>
      </c>
      <c r="R990" s="27" t="s">
        <v>73</v>
      </c>
      <c r="S990" s="23">
        <v>-9605</v>
      </c>
      <c r="T990" s="20">
        <v>9265</v>
      </c>
      <c r="U990" s="23">
        <f t="shared" si="362"/>
        <v>-340</v>
      </c>
      <c r="V990" s="7">
        <v>2380</v>
      </c>
      <c r="W990" s="23">
        <f t="shared" si="363"/>
        <v>-2720</v>
      </c>
      <c r="X990" s="23">
        <v>-388790</v>
      </c>
      <c r="Y990" s="32">
        <v>29.75</v>
      </c>
    </row>
    <row r="991" spans="1:25" ht="15.75" x14ac:dyDescent="0.25">
      <c r="A991" s="27" t="s">
        <v>62</v>
      </c>
      <c r="B991" s="23">
        <v>-1575</v>
      </c>
      <c r="C991" s="20"/>
      <c r="D991" s="23">
        <f t="shared" si="358"/>
        <v>-1575</v>
      </c>
      <c r="E991" s="7"/>
      <c r="F991" s="23">
        <f t="shared" si="359"/>
        <v>-1575</v>
      </c>
      <c r="G991" s="23">
        <v>-126225</v>
      </c>
      <c r="H991">
        <v>40.049999999999997</v>
      </c>
      <c r="I991">
        <v>40.1</v>
      </c>
      <c r="J991" s="27" t="s">
        <v>62</v>
      </c>
      <c r="K991" s="23">
        <v>-6806</v>
      </c>
      <c r="L991" s="20">
        <v>6975</v>
      </c>
      <c r="M991" s="23">
        <f t="shared" si="360"/>
        <v>169</v>
      </c>
      <c r="N991" s="7">
        <v>-200</v>
      </c>
      <c r="O991" s="23">
        <f t="shared" si="361"/>
        <v>369</v>
      </c>
      <c r="P991" s="23">
        <v>-228300</v>
      </c>
      <c r="Q991">
        <v>232.4</v>
      </c>
      <c r="R991" s="27" t="s">
        <v>80</v>
      </c>
      <c r="S991" s="23">
        <v>38600</v>
      </c>
      <c r="T991" s="20">
        <v>-103000</v>
      </c>
      <c r="U991" s="23">
        <f t="shared" si="362"/>
        <v>-64400</v>
      </c>
      <c r="V991" s="7">
        <v>3200</v>
      </c>
      <c r="W991" s="23">
        <f t="shared" si="363"/>
        <v>-67600</v>
      </c>
      <c r="X991" s="23">
        <v>-391000</v>
      </c>
      <c r="Y991" s="32">
        <v>14.15</v>
      </c>
    </row>
    <row r="992" spans="1:25" ht="15.75" x14ac:dyDescent="0.25">
      <c r="A992" s="27" t="s">
        <v>53</v>
      </c>
      <c r="B992" s="23">
        <v>400</v>
      </c>
      <c r="C992" s="20"/>
      <c r="D992" s="23">
        <f t="shared" si="358"/>
        <v>400</v>
      </c>
      <c r="E992" s="7"/>
      <c r="F992" s="23">
        <f t="shared" si="359"/>
        <v>400</v>
      </c>
      <c r="G992" s="23">
        <v>-94800</v>
      </c>
      <c r="H992">
        <v>12.7</v>
      </c>
      <c r="I992">
        <v>12.399999999999999</v>
      </c>
      <c r="J992" s="27" t="s">
        <v>53</v>
      </c>
      <c r="K992" s="23">
        <v>2800</v>
      </c>
      <c r="L992" s="20">
        <v>12400</v>
      </c>
      <c r="M992" s="23">
        <f t="shared" si="360"/>
        <v>15200</v>
      </c>
      <c r="N992" s="7">
        <v>2800</v>
      </c>
      <c r="O992" s="23">
        <f t="shared" si="361"/>
        <v>12400</v>
      </c>
      <c r="P992" s="23">
        <v>-193500</v>
      </c>
      <c r="Q992">
        <v>11.600000000000001</v>
      </c>
      <c r="R992" s="27" t="s">
        <v>62</v>
      </c>
      <c r="S992" s="23">
        <v>-64550</v>
      </c>
      <c r="T992" s="20">
        <v>-7600</v>
      </c>
      <c r="U992" s="23">
        <f t="shared" si="362"/>
        <v>-72150</v>
      </c>
      <c r="V992" s="7">
        <v>-4550</v>
      </c>
      <c r="W992" s="23">
        <f t="shared" si="363"/>
        <v>-67600</v>
      </c>
      <c r="X992" s="23">
        <v>-509550</v>
      </c>
      <c r="Y992" s="32">
        <v>232.55</v>
      </c>
    </row>
    <row r="993" spans="1:25" ht="15.75" x14ac:dyDescent="0.25">
      <c r="A993" s="21" t="s">
        <v>107</v>
      </c>
      <c r="B993" s="22">
        <f t="shared" ref="B993:G993" si="364">SUM(B981:B992)</f>
        <v>-25913</v>
      </c>
      <c r="C993" s="18">
        <f t="shared" si="364"/>
        <v>0</v>
      </c>
      <c r="D993" s="23">
        <f t="shared" si="364"/>
        <v>-25913</v>
      </c>
      <c r="E993" s="18">
        <f t="shared" si="364"/>
        <v>0</v>
      </c>
      <c r="F993" s="23">
        <f t="shared" si="364"/>
        <v>-25913</v>
      </c>
      <c r="G993" s="17">
        <f t="shared" si="364"/>
        <v>-1392590</v>
      </c>
      <c r="J993" s="21" t="s">
        <v>107</v>
      </c>
      <c r="K993" s="22">
        <f t="shared" ref="K993" si="365">SUM(K981:K992)</f>
        <v>-42772</v>
      </c>
      <c r="L993" s="18">
        <f t="shared" ref="L993" si="366">SUM(L981:L992)</f>
        <v>-83487.5</v>
      </c>
      <c r="M993" s="23">
        <f t="shared" ref="M993" si="367">SUM(M981:M992)</f>
        <v>-126259.5</v>
      </c>
      <c r="N993" s="18">
        <v>7321.25</v>
      </c>
      <c r="O993" s="23">
        <f t="shared" ref="O993" si="368">SUM(O981:O992)</f>
        <v>-133580.75</v>
      </c>
      <c r="P993" s="17">
        <f t="shared" ref="P993" si="369">SUM(P981:P992)</f>
        <v>-2611405</v>
      </c>
      <c r="R993" s="27" t="s">
        <v>47</v>
      </c>
      <c r="S993" s="23">
        <v>-1950</v>
      </c>
      <c r="T993" s="20">
        <v>0</v>
      </c>
      <c r="U993" s="23">
        <f t="shared" si="362"/>
        <v>-1950</v>
      </c>
      <c r="V993" s="7"/>
      <c r="W993" s="23">
        <f t="shared" si="363"/>
        <v>-1950</v>
      </c>
      <c r="X993" s="23">
        <v>-544050</v>
      </c>
      <c r="Y993" s="32">
        <v>37.1</v>
      </c>
    </row>
    <row r="994" spans="1:25" ht="15.75" x14ac:dyDescent="0.25">
      <c r="R994" s="27" t="s">
        <v>53</v>
      </c>
      <c r="S994" s="23">
        <v>17600</v>
      </c>
      <c r="T994" s="20">
        <v>25000</v>
      </c>
      <c r="U994" s="23">
        <f t="shared" si="362"/>
        <v>42600</v>
      </c>
      <c r="V994" s="7">
        <v>-4500</v>
      </c>
      <c r="W994" s="23">
        <f t="shared" si="363"/>
        <v>47100</v>
      </c>
      <c r="X994" s="23">
        <v>-407000</v>
      </c>
      <c r="Y994" s="32">
        <v>10.55</v>
      </c>
    </row>
    <row r="995" spans="1:25" ht="15.75" x14ac:dyDescent="0.25">
      <c r="R995" s="21" t="s">
        <v>107</v>
      </c>
      <c r="S995" s="22">
        <f>SUM(S981:S994)</f>
        <v>-70679</v>
      </c>
      <c r="T995" s="18">
        <f>SUM(T981:T994)</f>
        <v>26465</v>
      </c>
      <c r="U995" s="23">
        <f t="shared" ref="U995:X995" si="370">SUM(U981:U994)</f>
        <v>-44214</v>
      </c>
      <c r="V995" s="18">
        <f t="shared" si="370"/>
        <v>-1870</v>
      </c>
      <c r="W995" s="23">
        <f t="shared" si="370"/>
        <v>-42344</v>
      </c>
      <c r="X995" s="17">
        <f t="shared" si="370"/>
        <v>-6293200</v>
      </c>
      <c r="Y995" s="32"/>
    </row>
    <row r="999" spans="1:25" ht="15.75" x14ac:dyDescent="0.25">
      <c r="A999" s="106">
        <v>45096</v>
      </c>
      <c r="B999" s="106"/>
      <c r="C999" s="106"/>
      <c r="D999" s="106"/>
      <c r="E999" s="106"/>
      <c r="F999" s="106"/>
      <c r="G999" s="106"/>
      <c r="J999" s="106">
        <v>45097</v>
      </c>
      <c r="K999" s="106"/>
      <c r="L999" s="106"/>
      <c r="M999" s="106"/>
      <c r="N999" s="106"/>
      <c r="O999" s="106"/>
      <c r="P999" s="106"/>
      <c r="R999" s="106">
        <v>45098</v>
      </c>
      <c r="S999" s="106"/>
      <c r="T999" s="106"/>
      <c r="U999" s="106"/>
      <c r="V999" s="106"/>
      <c r="W999" s="106"/>
      <c r="X999" s="106"/>
    </row>
    <row r="1000" spans="1:25" ht="15.75" x14ac:dyDescent="0.25">
      <c r="A1000" s="22" t="s">
        <v>34</v>
      </c>
      <c r="B1000" s="22" t="s">
        <v>104</v>
      </c>
      <c r="C1000" s="22" t="s">
        <v>105</v>
      </c>
      <c r="D1000" s="22" t="s">
        <v>112</v>
      </c>
      <c r="E1000" s="22" t="s">
        <v>106</v>
      </c>
      <c r="F1000" s="21" t="s">
        <v>108</v>
      </c>
      <c r="G1000" s="21" t="s">
        <v>28</v>
      </c>
      <c r="J1000" s="22" t="s">
        <v>34</v>
      </c>
      <c r="K1000" s="22" t="s">
        <v>104</v>
      </c>
      <c r="L1000" s="22" t="s">
        <v>105</v>
      </c>
      <c r="M1000" s="22" t="s">
        <v>112</v>
      </c>
      <c r="N1000" s="22" t="s">
        <v>106</v>
      </c>
      <c r="O1000" s="21" t="s">
        <v>108</v>
      </c>
      <c r="P1000" s="21" t="s">
        <v>28</v>
      </c>
      <c r="R1000" s="22" t="s">
        <v>34</v>
      </c>
      <c r="S1000" s="22" t="s">
        <v>104</v>
      </c>
      <c r="T1000" s="22" t="s">
        <v>105</v>
      </c>
      <c r="U1000" s="22" t="s">
        <v>112</v>
      </c>
      <c r="V1000" s="22" t="s">
        <v>106</v>
      </c>
      <c r="W1000" s="21" t="s">
        <v>108</v>
      </c>
      <c r="X1000" s="21" t="s">
        <v>28</v>
      </c>
    </row>
    <row r="1001" spans="1:25" ht="15.75" x14ac:dyDescent="0.25">
      <c r="A1001" s="27" t="s">
        <v>76</v>
      </c>
      <c r="B1001" s="23">
        <v>-33120</v>
      </c>
      <c r="C1001" s="20">
        <v>1000</v>
      </c>
      <c r="D1001" s="23">
        <f t="shared" ref="D1001:D1014" si="371">+C1001+B1001</f>
        <v>-32120</v>
      </c>
      <c r="E1001" s="7">
        <v>10250</v>
      </c>
      <c r="F1001" s="23">
        <f t="shared" ref="F1001:F1014" si="372">+B1001+C1001-E1001</f>
        <v>-42370</v>
      </c>
      <c r="G1001" s="23">
        <v>-525260</v>
      </c>
      <c r="H1001">
        <v>8.8000000000000007</v>
      </c>
      <c r="J1001" s="27" t="s">
        <v>76</v>
      </c>
      <c r="K1001" s="23">
        <v>0</v>
      </c>
      <c r="L1001" s="20">
        <v>89670</v>
      </c>
      <c r="M1001" s="23">
        <f t="shared" ref="M1001:M1014" si="373">+L1001+K1001</f>
        <v>89670</v>
      </c>
      <c r="N1001" s="7">
        <v>12410</v>
      </c>
      <c r="O1001" s="23">
        <f t="shared" ref="O1001:O1014" si="374">+K1001+L1001-N1001</f>
        <v>77260</v>
      </c>
      <c r="P1001" s="23">
        <v>-459880</v>
      </c>
      <c r="Q1001">
        <v>8.4499999999999993</v>
      </c>
      <c r="R1001" s="27" t="s">
        <v>76</v>
      </c>
      <c r="S1001" s="23">
        <v>-2700</v>
      </c>
      <c r="T1001" s="20">
        <v>84570</v>
      </c>
      <c r="U1001" s="23">
        <f t="shared" ref="U1001:U1014" si="375">+T1001+S1001</f>
        <v>81870</v>
      </c>
      <c r="V1001" s="7">
        <v>10530</v>
      </c>
      <c r="W1001" s="23">
        <f t="shared" ref="W1001:W1014" si="376">+S1001+T1001-V1001</f>
        <v>71340</v>
      </c>
      <c r="X1001" s="23">
        <v>-410140</v>
      </c>
    </row>
    <row r="1002" spans="1:25" ht="15.75" x14ac:dyDescent="0.25">
      <c r="A1002" s="27" t="s">
        <v>71</v>
      </c>
      <c r="B1002" s="23">
        <v>-13300</v>
      </c>
      <c r="C1002" s="20">
        <v>51625</v>
      </c>
      <c r="D1002" s="23">
        <f t="shared" si="371"/>
        <v>38325</v>
      </c>
      <c r="E1002" s="7">
        <v>5950</v>
      </c>
      <c r="F1002" s="23">
        <f t="shared" si="372"/>
        <v>32375</v>
      </c>
      <c r="G1002" s="23">
        <v>-480900</v>
      </c>
      <c r="H1002">
        <v>14.7</v>
      </c>
      <c r="J1002" s="27" t="s">
        <v>71</v>
      </c>
      <c r="K1002" s="23">
        <v>3150</v>
      </c>
      <c r="L1002" s="20">
        <v>128450</v>
      </c>
      <c r="M1002" s="23">
        <f t="shared" si="373"/>
        <v>131600</v>
      </c>
      <c r="N1002" s="7">
        <v>8400</v>
      </c>
      <c r="O1002" s="23">
        <f t="shared" si="374"/>
        <v>123200</v>
      </c>
      <c r="P1002" s="23">
        <v>-450450</v>
      </c>
      <c r="Q1002">
        <v>13.200000000000001</v>
      </c>
      <c r="R1002" s="27" t="s">
        <v>71</v>
      </c>
      <c r="S1002" s="23">
        <v>-37975</v>
      </c>
      <c r="T1002" s="20">
        <v>-260050</v>
      </c>
      <c r="U1002" s="23">
        <f t="shared" si="375"/>
        <v>-298025</v>
      </c>
      <c r="V1002" s="7">
        <v>28000</v>
      </c>
      <c r="W1002" s="23">
        <f t="shared" si="376"/>
        <v>-326025</v>
      </c>
      <c r="X1002" s="23">
        <v>-699300</v>
      </c>
    </row>
    <row r="1003" spans="1:25" ht="15.75" x14ac:dyDescent="0.25">
      <c r="A1003" s="27" t="s">
        <v>90</v>
      </c>
      <c r="B1003" s="23">
        <v>-26000</v>
      </c>
      <c r="C1003" s="20">
        <v>1120</v>
      </c>
      <c r="D1003" s="23">
        <f t="shared" si="371"/>
        <v>-24880</v>
      </c>
      <c r="E1003" s="7">
        <v>-10400</v>
      </c>
      <c r="F1003" s="23">
        <f t="shared" si="372"/>
        <v>-14480</v>
      </c>
      <c r="G1003" s="23">
        <v>-459040</v>
      </c>
      <c r="H1003">
        <v>23.450000000000003</v>
      </c>
      <c r="J1003" s="27" t="s">
        <v>90</v>
      </c>
      <c r="K1003" s="23">
        <v>0</v>
      </c>
      <c r="L1003" s="20">
        <v>65120</v>
      </c>
      <c r="M1003" s="23">
        <f t="shared" si="373"/>
        <v>65120</v>
      </c>
      <c r="N1003" s="7">
        <v>880</v>
      </c>
      <c r="O1003" s="23">
        <f t="shared" si="374"/>
        <v>64240</v>
      </c>
      <c r="P1003" s="23">
        <v>-449920</v>
      </c>
      <c r="Q1003">
        <v>21.6</v>
      </c>
      <c r="R1003" s="27" t="s">
        <v>90</v>
      </c>
      <c r="S1003" s="23">
        <v>-9840</v>
      </c>
      <c r="T1003" s="20">
        <v>94160</v>
      </c>
      <c r="U1003" s="23">
        <f t="shared" si="375"/>
        <v>84320</v>
      </c>
      <c r="V1003" s="7">
        <v>16080</v>
      </c>
      <c r="W1003" s="23">
        <f t="shared" si="376"/>
        <v>68240</v>
      </c>
      <c r="X1003" s="23">
        <v>-420720</v>
      </c>
    </row>
    <row r="1004" spans="1:25" ht="15.75" x14ac:dyDescent="0.25">
      <c r="A1004" s="27" t="s">
        <v>94</v>
      </c>
      <c r="B1004" s="23">
        <v>-19350</v>
      </c>
      <c r="C1004" s="20">
        <v>26910</v>
      </c>
      <c r="D1004" s="23">
        <f t="shared" si="371"/>
        <v>7560</v>
      </c>
      <c r="E1004" s="7">
        <v>12600</v>
      </c>
      <c r="F1004" s="23">
        <f t="shared" si="372"/>
        <v>-5040</v>
      </c>
      <c r="G1004" s="23">
        <v>-459450</v>
      </c>
      <c r="H1004">
        <v>11.45</v>
      </c>
      <c r="J1004" s="27" t="s">
        <v>94</v>
      </c>
      <c r="K1004" s="23">
        <v>-2700</v>
      </c>
      <c r="L1004" s="20">
        <v>45359.999999999985</v>
      </c>
      <c r="M1004" s="23">
        <f t="shared" si="373"/>
        <v>42659.999999999985</v>
      </c>
      <c r="N1004" s="7">
        <v>32850</v>
      </c>
      <c r="O1004" s="23">
        <f t="shared" si="374"/>
        <v>9809.9999999999854</v>
      </c>
      <c r="P1004" s="23">
        <v>-393120</v>
      </c>
      <c r="Q1004">
        <v>10.149999999999999</v>
      </c>
      <c r="R1004" s="27" t="s">
        <v>94</v>
      </c>
      <c r="S1004" s="23">
        <v>22230</v>
      </c>
      <c r="T1004" s="20">
        <v>-106560</v>
      </c>
      <c r="U1004" s="23">
        <f t="shared" si="375"/>
        <v>-84330</v>
      </c>
      <c r="V1004" s="7">
        <v>-6390</v>
      </c>
      <c r="W1004" s="23">
        <f t="shared" si="376"/>
        <v>-77940</v>
      </c>
      <c r="X1004" s="23">
        <v>-534600</v>
      </c>
    </row>
    <row r="1005" spans="1:25" ht="15.75" x14ac:dyDescent="0.25">
      <c r="A1005" s="27" t="s">
        <v>55</v>
      </c>
      <c r="B1005" s="23">
        <v>-21300</v>
      </c>
      <c r="C1005" s="20">
        <v>47300</v>
      </c>
      <c r="D1005" s="23">
        <f t="shared" si="371"/>
        <v>26000</v>
      </c>
      <c r="E1005" s="7">
        <v>5800</v>
      </c>
      <c r="F1005" s="23">
        <f t="shared" si="372"/>
        <v>20200</v>
      </c>
      <c r="G1005" s="23">
        <v>-387000</v>
      </c>
      <c r="H1005">
        <v>14.4</v>
      </c>
      <c r="J1005" s="27" t="s">
        <v>55</v>
      </c>
      <c r="K1005" s="23">
        <v>-200</v>
      </c>
      <c r="L1005" s="20">
        <v>73200</v>
      </c>
      <c r="M1005" s="23">
        <f t="shared" si="373"/>
        <v>73000</v>
      </c>
      <c r="N1005" s="7">
        <v>-5300</v>
      </c>
      <c r="O1005" s="23">
        <f t="shared" si="374"/>
        <v>78300</v>
      </c>
      <c r="P1005" s="23">
        <v>-322500</v>
      </c>
      <c r="Q1005">
        <v>12.75</v>
      </c>
      <c r="R1005" s="27" t="s">
        <v>55</v>
      </c>
      <c r="S1005" s="23">
        <v>-12200</v>
      </c>
      <c r="T1005" s="20">
        <v>55300</v>
      </c>
      <c r="U1005" s="23">
        <f t="shared" si="375"/>
        <v>43100</v>
      </c>
      <c r="V1005" s="7">
        <v>11700</v>
      </c>
      <c r="W1005" s="23">
        <f t="shared" si="376"/>
        <v>31400</v>
      </c>
      <c r="X1005" s="23">
        <v>-343500</v>
      </c>
    </row>
    <row r="1006" spans="1:25" ht="15.75" x14ac:dyDescent="0.25">
      <c r="A1006" s="27" t="s">
        <v>82</v>
      </c>
      <c r="B1006" s="23">
        <v>28113</v>
      </c>
      <c r="C1006" s="20">
        <v>79772.5</v>
      </c>
      <c r="D1006" s="23">
        <f t="shared" si="371"/>
        <v>107885.5</v>
      </c>
      <c r="E1006" s="7">
        <v>-20527.5</v>
      </c>
      <c r="F1006" s="23">
        <f t="shared" si="372"/>
        <v>128413</v>
      </c>
      <c r="G1006" s="23">
        <v>-361420</v>
      </c>
      <c r="H1006">
        <v>73.400000000000006</v>
      </c>
      <c r="J1006" s="27" t="s">
        <v>82</v>
      </c>
      <c r="K1006" s="23">
        <v>-25967</v>
      </c>
      <c r="L1006" s="20">
        <v>61115</v>
      </c>
      <c r="M1006" s="23">
        <f t="shared" si="373"/>
        <v>35148</v>
      </c>
      <c r="N1006" s="7">
        <v>30472.5</v>
      </c>
      <c r="O1006" s="23">
        <f t="shared" si="374"/>
        <v>4675.5</v>
      </c>
      <c r="P1006" s="23">
        <v>-505155</v>
      </c>
      <c r="Q1006">
        <v>72.400000000000006</v>
      </c>
      <c r="R1006" s="27" t="s">
        <v>82</v>
      </c>
      <c r="S1006" s="23">
        <v>-4022</v>
      </c>
      <c r="T1006" s="20">
        <v>12452.5</v>
      </c>
      <c r="U1006" s="23">
        <f t="shared" si="375"/>
        <v>8430.5</v>
      </c>
      <c r="V1006" s="7">
        <v>-15512.5</v>
      </c>
      <c r="W1006" s="23">
        <f t="shared" si="376"/>
        <v>23943</v>
      </c>
      <c r="X1006" s="23">
        <v>-491470</v>
      </c>
    </row>
    <row r="1007" spans="1:25" ht="15.75" x14ac:dyDescent="0.25">
      <c r="A1007" s="27" t="s">
        <v>43</v>
      </c>
      <c r="B1007" s="23">
        <v>16625</v>
      </c>
      <c r="C1007" s="20">
        <v>30000</v>
      </c>
      <c r="D1007" s="23">
        <f t="shared" si="371"/>
        <v>46625</v>
      </c>
      <c r="E1007" s="7">
        <v>-100</v>
      </c>
      <c r="F1007" s="23">
        <f t="shared" si="372"/>
        <v>46725</v>
      </c>
      <c r="G1007" s="23">
        <v>-402000</v>
      </c>
      <c r="H1007">
        <v>20.05</v>
      </c>
      <c r="J1007" s="27" t="s">
        <v>43</v>
      </c>
      <c r="K1007" s="23">
        <v>0</v>
      </c>
      <c r="L1007" s="20">
        <v>83000</v>
      </c>
      <c r="M1007" s="23">
        <f t="shared" si="373"/>
        <v>83000</v>
      </c>
      <c r="N1007" s="7">
        <v>-2000</v>
      </c>
      <c r="O1007" s="23">
        <f t="shared" si="374"/>
        <v>85000</v>
      </c>
      <c r="P1007" s="23">
        <v>-396000</v>
      </c>
      <c r="Q1007">
        <v>17.899999999999999</v>
      </c>
      <c r="R1007" s="27" t="s">
        <v>43</v>
      </c>
      <c r="S1007" s="23">
        <v>250</v>
      </c>
      <c r="T1007" s="20">
        <v>-1000</v>
      </c>
      <c r="U1007" s="23">
        <f t="shared" si="375"/>
        <v>-750</v>
      </c>
      <c r="V1007" s="7">
        <v>-3000</v>
      </c>
      <c r="W1007" s="23">
        <f t="shared" si="376"/>
        <v>2250</v>
      </c>
      <c r="X1007" s="23">
        <v>-400000</v>
      </c>
    </row>
    <row r="1008" spans="1:25" ht="15.75" x14ac:dyDescent="0.25">
      <c r="A1008" s="27" t="s">
        <v>15</v>
      </c>
      <c r="B1008" s="23">
        <v>-40687</v>
      </c>
      <c r="C1008" s="20">
        <v>127000</v>
      </c>
      <c r="D1008" s="23">
        <f t="shared" si="371"/>
        <v>86313</v>
      </c>
      <c r="E1008" s="7">
        <v>-21500</v>
      </c>
      <c r="F1008" s="23">
        <f t="shared" si="372"/>
        <v>107813</v>
      </c>
      <c r="G1008" s="23">
        <v>-521500</v>
      </c>
      <c r="H1008">
        <v>20</v>
      </c>
      <c r="J1008" s="27" t="s">
        <v>15</v>
      </c>
      <c r="K1008" s="23">
        <v>0</v>
      </c>
      <c r="L1008" s="20">
        <v>69125</v>
      </c>
      <c r="M1008" s="23">
        <f t="shared" si="373"/>
        <v>69125</v>
      </c>
      <c r="N1008" s="7">
        <v>39375</v>
      </c>
      <c r="O1008" s="23">
        <f t="shared" si="374"/>
        <v>29750</v>
      </c>
      <c r="P1008" s="23">
        <v>-535750</v>
      </c>
      <c r="Q1008">
        <v>18.350000000000001</v>
      </c>
      <c r="R1008" s="27" t="s">
        <v>15</v>
      </c>
      <c r="S1008" s="23">
        <v>-14437</v>
      </c>
      <c r="T1008" s="20">
        <v>74875</v>
      </c>
      <c r="U1008" s="23">
        <f t="shared" si="375"/>
        <v>60438</v>
      </c>
      <c r="V1008" s="7">
        <v>7875</v>
      </c>
      <c r="W1008" s="23">
        <f t="shared" si="376"/>
        <v>52563</v>
      </c>
      <c r="X1008" s="23">
        <v>-520500</v>
      </c>
    </row>
    <row r="1009" spans="1:24" ht="15.75" x14ac:dyDescent="0.25">
      <c r="A1009" s="27" t="s">
        <v>75</v>
      </c>
      <c r="B1009" s="23">
        <v>-10900</v>
      </c>
      <c r="C1009" s="20">
        <v>54600</v>
      </c>
      <c r="D1009" s="23">
        <f t="shared" si="371"/>
        <v>43700</v>
      </c>
      <c r="E1009" s="7">
        <v>36000</v>
      </c>
      <c r="F1009" s="23">
        <f t="shared" si="372"/>
        <v>7700</v>
      </c>
      <c r="G1009" s="23">
        <v>-492000</v>
      </c>
      <c r="H1009">
        <v>16.450000000000003</v>
      </c>
      <c r="J1009" s="27" t="s">
        <v>75</v>
      </c>
      <c r="K1009" s="23">
        <v>-23600</v>
      </c>
      <c r="L1009" s="20">
        <v>12000</v>
      </c>
      <c r="M1009" s="23">
        <f t="shared" si="373"/>
        <v>-11600</v>
      </c>
      <c r="N1009" s="7">
        <v>5800</v>
      </c>
      <c r="O1009" s="23">
        <f t="shared" si="374"/>
        <v>-17400</v>
      </c>
      <c r="P1009" s="23">
        <v>-555000</v>
      </c>
      <c r="Q1009">
        <v>15.55</v>
      </c>
      <c r="R1009" s="27" t="s">
        <v>75</v>
      </c>
      <c r="S1009" s="23">
        <v>148600</v>
      </c>
      <c r="T1009" s="20">
        <v>-498100</v>
      </c>
      <c r="U1009" s="23">
        <f t="shared" si="375"/>
        <v>-349500</v>
      </c>
      <c r="V1009" s="7">
        <v>12600</v>
      </c>
      <c r="W1009" s="23">
        <f t="shared" si="376"/>
        <v>-362100</v>
      </c>
      <c r="X1009" s="23">
        <v>-837000</v>
      </c>
    </row>
    <row r="1010" spans="1:24" ht="15.75" x14ac:dyDescent="0.25">
      <c r="A1010" s="27" t="s">
        <v>73</v>
      </c>
      <c r="B1010" s="23">
        <v>2975</v>
      </c>
      <c r="C1010" s="20">
        <v>8925</v>
      </c>
      <c r="D1010" s="23">
        <f t="shared" si="371"/>
        <v>11900</v>
      </c>
      <c r="E1010" s="7">
        <v>10200.000000000002</v>
      </c>
      <c r="F1010" s="23">
        <f t="shared" si="372"/>
        <v>1699.9999999999982</v>
      </c>
      <c r="G1010" s="23">
        <v>-403070</v>
      </c>
      <c r="H1010">
        <v>27.700000000000003</v>
      </c>
      <c r="J1010" s="27" t="s">
        <v>73</v>
      </c>
      <c r="K1010" s="23">
        <v>0</v>
      </c>
      <c r="L1010" s="20">
        <v>68000</v>
      </c>
      <c r="M1010" s="23">
        <f t="shared" si="373"/>
        <v>68000</v>
      </c>
      <c r="N1010" s="7">
        <v>-17680</v>
      </c>
      <c r="O1010" s="23">
        <f t="shared" si="374"/>
        <v>85680</v>
      </c>
      <c r="P1010" s="23">
        <v>-400775</v>
      </c>
      <c r="Q1010">
        <v>26.05</v>
      </c>
      <c r="R1010" s="27" t="s">
        <v>73</v>
      </c>
      <c r="S1010" s="23">
        <v>55014</v>
      </c>
      <c r="T1010" s="20">
        <v>-956165</v>
      </c>
      <c r="U1010" s="23">
        <f t="shared" si="375"/>
        <v>-901151</v>
      </c>
      <c r="V1010" s="7">
        <v>8925</v>
      </c>
      <c r="W1010" s="23">
        <f t="shared" si="376"/>
        <v>-910076</v>
      </c>
      <c r="X1010" s="23">
        <v>-1358045</v>
      </c>
    </row>
    <row r="1011" spans="1:24" ht="15.75" x14ac:dyDescent="0.25">
      <c r="A1011" s="27" t="s">
        <v>80</v>
      </c>
      <c r="B1011" s="23">
        <v>171800</v>
      </c>
      <c r="C1011" s="20">
        <v>-253800</v>
      </c>
      <c r="D1011" s="23">
        <f t="shared" si="371"/>
        <v>-82000</v>
      </c>
      <c r="E1011" s="7">
        <v>46400</v>
      </c>
      <c r="F1011" s="23">
        <f t="shared" si="372"/>
        <v>-128400</v>
      </c>
      <c r="G1011" s="23">
        <v>-456000</v>
      </c>
      <c r="H1011">
        <v>15.25</v>
      </c>
      <c r="J1011" s="27" t="s">
        <v>80</v>
      </c>
      <c r="K1011" s="23">
        <v>-5800</v>
      </c>
      <c r="L1011" s="20">
        <v>94000</v>
      </c>
      <c r="M1011" s="23">
        <f t="shared" si="373"/>
        <v>88200</v>
      </c>
      <c r="N1011" s="7">
        <v>21200</v>
      </c>
      <c r="O1011" s="23">
        <f t="shared" si="374"/>
        <v>67000</v>
      </c>
      <c r="P1011" s="23">
        <v>-436800</v>
      </c>
      <c r="Q1011">
        <v>14</v>
      </c>
      <c r="R1011" s="27" t="s">
        <v>80</v>
      </c>
      <c r="S1011" s="23">
        <v>38400</v>
      </c>
      <c r="T1011" s="20">
        <v>33600</v>
      </c>
      <c r="U1011" s="23">
        <f t="shared" si="375"/>
        <v>72000</v>
      </c>
      <c r="V1011" s="7">
        <v>21600</v>
      </c>
      <c r="W1011" s="23">
        <f t="shared" si="376"/>
        <v>50400</v>
      </c>
      <c r="X1011" s="23">
        <v>-635000</v>
      </c>
    </row>
    <row r="1012" spans="1:24" ht="15.75" x14ac:dyDescent="0.25">
      <c r="A1012" s="27" t="s">
        <v>62</v>
      </c>
      <c r="B1012" s="23">
        <v>-15181</v>
      </c>
      <c r="C1012" s="20">
        <v>75575</v>
      </c>
      <c r="D1012" s="23">
        <f t="shared" si="371"/>
        <v>60394</v>
      </c>
      <c r="E1012" s="7">
        <v>-19600</v>
      </c>
      <c r="F1012" s="23">
        <f t="shared" si="372"/>
        <v>79994</v>
      </c>
      <c r="G1012" s="23">
        <v>-514050</v>
      </c>
      <c r="H1012">
        <v>216.35</v>
      </c>
      <c r="J1012" s="27" t="s">
        <v>62</v>
      </c>
      <c r="K1012" s="23">
        <v>0</v>
      </c>
      <c r="L1012" s="20">
        <v>102412.5</v>
      </c>
      <c r="M1012" s="23">
        <f t="shared" si="373"/>
        <v>102412.5</v>
      </c>
      <c r="N1012" s="7">
        <v>-2012.4999999999995</v>
      </c>
      <c r="O1012" s="23">
        <f t="shared" si="374"/>
        <v>104425</v>
      </c>
      <c r="P1012" s="23">
        <v>-409850</v>
      </c>
      <c r="Q1012">
        <v>200.65</v>
      </c>
      <c r="R1012" s="27" t="s">
        <v>62</v>
      </c>
      <c r="S1012" s="23">
        <v>-12962</v>
      </c>
      <c r="T1012" s="20">
        <v>-28850</v>
      </c>
      <c r="U1012" s="23">
        <f t="shared" si="375"/>
        <v>-41812</v>
      </c>
      <c r="V1012" s="7">
        <v>-28900</v>
      </c>
      <c r="W1012" s="23">
        <f t="shared" si="376"/>
        <v>-12912</v>
      </c>
      <c r="X1012" s="23">
        <v>-641200</v>
      </c>
    </row>
    <row r="1013" spans="1:24" ht="15.75" x14ac:dyDescent="0.25">
      <c r="A1013" s="27" t="s">
        <v>47</v>
      </c>
      <c r="B1013" s="23">
        <v>1332</v>
      </c>
      <c r="C1013" s="20">
        <v>53625</v>
      </c>
      <c r="D1013" s="23">
        <f t="shared" si="371"/>
        <v>54957</v>
      </c>
      <c r="E1013" s="7">
        <v>18070</v>
      </c>
      <c r="F1013" s="23">
        <f t="shared" si="372"/>
        <v>36887</v>
      </c>
      <c r="G1013" s="23">
        <v>-471250</v>
      </c>
      <c r="H1013">
        <v>36.299999999999997</v>
      </c>
      <c r="J1013" s="27" t="s">
        <v>47</v>
      </c>
      <c r="K1013" s="23">
        <v>1137</v>
      </c>
      <c r="L1013" s="20">
        <v>845</v>
      </c>
      <c r="M1013" s="23">
        <f t="shared" si="373"/>
        <v>1982</v>
      </c>
      <c r="N1013" s="7">
        <v>52715</v>
      </c>
      <c r="O1013" s="23">
        <f t="shared" si="374"/>
        <v>-50733</v>
      </c>
      <c r="P1013" s="23">
        <v>-730600</v>
      </c>
      <c r="Q1013">
        <v>34</v>
      </c>
      <c r="R1013" s="27" t="s">
        <v>47</v>
      </c>
      <c r="S1013" s="23">
        <v>14495</v>
      </c>
      <c r="T1013" s="20">
        <v>-523575</v>
      </c>
      <c r="U1013" s="23">
        <f t="shared" si="375"/>
        <v>-509080</v>
      </c>
      <c r="V1013" s="7">
        <v>-39975</v>
      </c>
      <c r="W1013" s="23">
        <f t="shared" si="376"/>
        <v>-469105</v>
      </c>
      <c r="X1013" s="23">
        <v>-1083550</v>
      </c>
    </row>
    <row r="1014" spans="1:24" ht="15.75" x14ac:dyDescent="0.25">
      <c r="A1014" s="27" t="s">
        <v>53</v>
      </c>
      <c r="B1014" s="23">
        <v>0</v>
      </c>
      <c r="C1014" s="20">
        <v>96500</v>
      </c>
      <c r="D1014" s="23">
        <f t="shared" si="371"/>
        <v>96500</v>
      </c>
      <c r="E1014" s="7">
        <v>16500</v>
      </c>
      <c r="F1014" s="23">
        <f t="shared" si="372"/>
        <v>80000</v>
      </c>
      <c r="G1014" s="23">
        <v>-353000</v>
      </c>
      <c r="H1014">
        <v>9.4499999999999993</v>
      </c>
      <c r="J1014" s="27" t="s">
        <v>53</v>
      </c>
      <c r="K1014" s="23">
        <v>-1500</v>
      </c>
      <c r="L1014" s="20">
        <v>35500</v>
      </c>
      <c r="M1014" s="23">
        <f t="shared" si="373"/>
        <v>34000</v>
      </c>
      <c r="N1014" s="7">
        <v>18500</v>
      </c>
      <c r="O1014" s="23">
        <f t="shared" si="374"/>
        <v>15500</v>
      </c>
      <c r="P1014" s="23">
        <v>-370000</v>
      </c>
      <c r="Q1014">
        <v>9.25</v>
      </c>
      <c r="R1014" s="27" t="s">
        <v>53</v>
      </c>
      <c r="S1014" s="23">
        <v>-6500</v>
      </c>
      <c r="T1014" s="20">
        <v>45500</v>
      </c>
      <c r="U1014" s="23">
        <f t="shared" si="375"/>
        <v>39000</v>
      </c>
      <c r="V1014" s="7">
        <v>10500</v>
      </c>
      <c r="W1014" s="23">
        <f t="shared" si="376"/>
        <v>28500</v>
      </c>
      <c r="X1014" s="23">
        <v>-343400</v>
      </c>
    </row>
    <row r="1015" spans="1:24" ht="15.75" x14ac:dyDescent="0.25">
      <c r="A1015" s="21" t="s">
        <v>107</v>
      </c>
      <c r="B1015" s="22">
        <f>SUM(B1001:B1014)</f>
        <v>41007</v>
      </c>
      <c r="C1015" s="18">
        <f>SUM(C1001:C1014)</f>
        <v>400152.5</v>
      </c>
      <c r="D1015" s="23">
        <f t="shared" ref="D1015:G1015" si="377">SUM(D1001:D1014)</f>
        <v>441159.5</v>
      </c>
      <c r="E1015" s="18">
        <f t="shared" si="377"/>
        <v>89642.5</v>
      </c>
      <c r="F1015" s="23">
        <f t="shared" si="377"/>
        <v>351517</v>
      </c>
      <c r="G1015" s="17">
        <f t="shared" si="377"/>
        <v>-6285940</v>
      </c>
      <c r="J1015" s="21" t="s">
        <v>107</v>
      </c>
      <c r="K1015" s="22">
        <f>SUM(K1001:K1014)</f>
        <v>-55480</v>
      </c>
      <c r="L1015" s="18">
        <f>SUM(L1001:L1014)</f>
        <v>927797.5</v>
      </c>
      <c r="M1015" s="23">
        <f t="shared" ref="M1015:P1015" si="378">SUM(M1001:M1014)</f>
        <v>872317.5</v>
      </c>
      <c r="N1015" s="18">
        <f t="shared" si="378"/>
        <v>195610</v>
      </c>
      <c r="O1015" s="23">
        <f t="shared" si="378"/>
        <v>676707.5</v>
      </c>
      <c r="P1015" s="17">
        <f t="shared" si="378"/>
        <v>-6415800</v>
      </c>
      <c r="R1015" s="21" t="s">
        <v>107</v>
      </c>
      <c r="S1015" s="22">
        <f>SUM(S1001:S1014)</f>
        <v>178353</v>
      </c>
      <c r="T1015" s="18">
        <f>SUM(T1001:T1014)</f>
        <v>-1973842.5</v>
      </c>
      <c r="U1015" s="23">
        <f t="shared" ref="U1015:X1015" si="379">SUM(U1001:U1014)</f>
        <v>-1795489.5</v>
      </c>
      <c r="V1015" s="18">
        <f t="shared" si="379"/>
        <v>34032.5</v>
      </c>
      <c r="W1015" s="23">
        <f t="shared" si="379"/>
        <v>-1829522</v>
      </c>
      <c r="X1015" s="17">
        <f t="shared" si="379"/>
        <v>-8718425</v>
      </c>
    </row>
    <row r="1019" spans="1:24" ht="15.75" x14ac:dyDescent="0.25">
      <c r="A1019" s="106">
        <v>45099</v>
      </c>
      <c r="B1019" s="106"/>
      <c r="C1019" s="106"/>
      <c r="D1019" s="106"/>
      <c r="E1019" s="106"/>
      <c r="F1019" s="106"/>
      <c r="G1019" s="106"/>
      <c r="I1019" t="s">
        <v>120</v>
      </c>
      <c r="J1019" s="106">
        <v>45103</v>
      </c>
      <c r="K1019" s="106"/>
      <c r="L1019" s="106"/>
      <c r="M1019" s="106"/>
      <c r="N1019" s="106"/>
      <c r="O1019" s="106"/>
      <c r="P1019" s="106"/>
      <c r="R1019" s="106">
        <v>45104</v>
      </c>
      <c r="S1019" s="106"/>
      <c r="T1019" s="106"/>
      <c r="U1019" s="106"/>
      <c r="V1019" s="106"/>
      <c r="W1019" s="106"/>
      <c r="X1019" s="106"/>
    </row>
    <row r="1020" spans="1:24" ht="15.75" x14ac:dyDescent="0.25">
      <c r="A1020" s="22" t="s">
        <v>34</v>
      </c>
      <c r="B1020" s="22" t="s">
        <v>104</v>
      </c>
      <c r="C1020" s="22" t="s">
        <v>105</v>
      </c>
      <c r="D1020" s="22" t="s">
        <v>112</v>
      </c>
      <c r="E1020" s="22" t="s">
        <v>106</v>
      </c>
      <c r="F1020" s="21" t="s">
        <v>108</v>
      </c>
      <c r="G1020" s="21" t="s">
        <v>28</v>
      </c>
      <c r="J1020" s="22" t="s">
        <v>34</v>
      </c>
      <c r="K1020" s="22" t="s">
        <v>104</v>
      </c>
      <c r="L1020" s="22" t="s">
        <v>105</v>
      </c>
      <c r="M1020" s="22" t="s">
        <v>112</v>
      </c>
      <c r="N1020" s="22" t="s">
        <v>106</v>
      </c>
      <c r="O1020" s="21" t="s">
        <v>108</v>
      </c>
      <c r="P1020" s="21" t="s">
        <v>28</v>
      </c>
      <c r="R1020" s="22" t="s">
        <v>34</v>
      </c>
      <c r="S1020" s="22" t="s">
        <v>104</v>
      </c>
      <c r="T1020" s="22" t="s">
        <v>105</v>
      </c>
      <c r="U1020" s="22" t="s">
        <v>112</v>
      </c>
      <c r="V1020" s="22" t="s">
        <v>106</v>
      </c>
      <c r="W1020" s="21" t="s">
        <v>108</v>
      </c>
      <c r="X1020" s="21" t="s">
        <v>28</v>
      </c>
    </row>
    <row r="1021" spans="1:24" ht="15.75" x14ac:dyDescent="0.25">
      <c r="A1021" s="27" t="s">
        <v>76</v>
      </c>
      <c r="B1021" s="23">
        <v>120690</v>
      </c>
      <c r="C1021" s="20">
        <v>-271350</v>
      </c>
      <c r="D1021" s="23">
        <f t="shared" ref="D1021:D1034" si="380">+C1021+B1021</f>
        <v>-150660</v>
      </c>
      <c r="E1021" s="7">
        <v>-1080</v>
      </c>
      <c r="F1021" s="23">
        <f t="shared" ref="F1021:F1034" si="381">+B1021+C1021-E1021</f>
        <v>-149580</v>
      </c>
      <c r="G1021" s="23">
        <v>-345060</v>
      </c>
      <c r="H1021">
        <v>6.5</v>
      </c>
      <c r="I1021">
        <v>4.6999999999999993</v>
      </c>
      <c r="J1021" s="27" t="s">
        <v>76</v>
      </c>
      <c r="K1021" s="23">
        <v>240030</v>
      </c>
      <c r="L1021" s="20">
        <v>-191430</v>
      </c>
      <c r="M1021" s="23">
        <f t="shared" ref="M1021:M1034" si="382">+L1021+K1021</f>
        <v>48600</v>
      </c>
      <c r="N1021" s="7">
        <v>-54540</v>
      </c>
      <c r="O1021" s="23">
        <f t="shared" ref="O1021:O1034" si="383">+K1021+L1021-N1021</f>
        <v>103140</v>
      </c>
      <c r="P1021" s="23">
        <v>0</v>
      </c>
      <c r="R1021" s="27" t="s">
        <v>94</v>
      </c>
      <c r="S1021" s="23">
        <v>-146520</v>
      </c>
      <c r="T1021" s="20">
        <v>289800</v>
      </c>
      <c r="U1021" s="23">
        <f t="shared" ref="U1021:U1027" si="384">+T1021+S1021</f>
        <v>143280</v>
      </c>
      <c r="V1021" s="7">
        <v>32400</v>
      </c>
      <c r="W1021" s="23">
        <f t="shared" ref="W1021:W1030" si="385">+S1021+T1021-V1021</f>
        <v>110880</v>
      </c>
      <c r="X1021" s="23">
        <v>0</v>
      </c>
    </row>
    <row r="1022" spans="1:24" ht="15.75" x14ac:dyDescent="0.25">
      <c r="A1022" s="27" t="s">
        <v>71</v>
      </c>
      <c r="B1022" s="23">
        <v>-53025</v>
      </c>
      <c r="C1022" s="20">
        <v>-53199.999999999985</v>
      </c>
      <c r="D1022" s="23">
        <f t="shared" si="380"/>
        <v>-106224.99999999999</v>
      </c>
      <c r="E1022" s="7">
        <v>13300</v>
      </c>
      <c r="F1022" s="23">
        <f t="shared" si="381"/>
        <v>-119524.99999999999</v>
      </c>
      <c r="G1022" s="23">
        <v>-436100</v>
      </c>
      <c r="H1022">
        <v>12.8</v>
      </c>
      <c r="I1022">
        <v>10.25</v>
      </c>
      <c r="J1022" s="27" t="s">
        <v>71</v>
      </c>
      <c r="K1022" s="23">
        <v>16100</v>
      </c>
      <c r="L1022" s="20">
        <v>-46200</v>
      </c>
      <c r="M1022" s="23">
        <f t="shared" si="382"/>
        <v>-30100</v>
      </c>
      <c r="N1022" s="7">
        <v>-71400</v>
      </c>
      <c r="O1022" s="23">
        <f t="shared" si="383"/>
        <v>41300</v>
      </c>
      <c r="P1022" s="23">
        <v>0</v>
      </c>
      <c r="R1022" s="27" t="s">
        <v>82</v>
      </c>
      <c r="S1022" s="23">
        <v>-171891</v>
      </c>
      <c r="T1022" s="20">
        <v>209312.5</v>
      </c>
      <c r="U1022" s="23">
        <f t="shared" si="384"/>
        <v>37421.5</v>
      </c>
      <c r="V1022" s="7">
        <v>-9902.5</v>
      </c>
      <c r="W1022" s="23">
        <f t="shared" si="385"/>
        <v>47324</v>
      </c>
      <c r="X1022" s="23">
        <v>0</v>
      </c>
    </row>
    <row r="1023" spans="1:24" ht="15.75" x14ac:dyDescent="0.25">
      <c r="A1023" s="27" t="s">
        <v>90</v>
      </c>
      <c r="B1023" s="23">
        <v>-170320</v>
      </c>
      <c r="C1023" s="20">
        <v>-8640</v>
      </c>
      <c r="D1023" s="23">
        <f t="shared" si="380"/>
        <v>-178960</v>
      </c>
      <c r="E1023" s="7">
        <v>21040</v>
      </c>
      <c r="F1023" s="23">
        <f t="shared" si="381"/>
        <v>-200000</v>
      </c>
      <c r="G1023" s="23">
        <v>-406720</v>
      </c>
      <c r="H1023">
        <v>17.700000000000003</v>
      </c>
      <c r="I1023">
        <v>13.85</v>
      </c>
      <c r="J1023" s="27" t="s">
        <v>90</v>
      </c>
      <c r="K1023" s="23">
        <v>80</v>
      </c>
      <c r="L1023" s="20">
        <v>342400</v>
      </c>
      <c r="M1023" s="23">
        <f t="shared" si="382"/>
        <v>342480</v>
      </c>
      <c r="N1023" s="7">
        <v>40000.000000000007</v>
      </c>
      <c r="O1023" s="23">
        <f t="shared" si="383"/>
        <v>302480</v>
      </c>
      <c r="P1023" s="23">
        <v>0</v>
      </c>
      <c r="R1023" s="27" t="s">
        <v>43</v>
      </c>
      <c r="S1023" s="23">
        <v>-27812</v>
      </c>
      <c r="T1023" s="20">
        <v>108500</v>
      </c>
      <c r="U1023" s="23">
        <f t="shared" si="384"/>
        <v>80688</v>
      </c>
      <c r="V1023" s="7">
        <v>5750</v>
      </c>
      <c r="W1023" s="23">
        <f t="shared" si="385"/>
        <v>74938</v>
      </c>
      <c r="X1023" s="23">
        <v>0</v>
      </c>
    </row>
    <row r="1024" spans="1:24" ht="15.75" x14ac:dyDescent="0.25">
      <c r="A1024" s="27" t="s">
        <v>94</v>
      </c>
      <c r="B1024" s="23">
        <v>-1440</v>
      </c>
      <c r="C1024" s="20">
        <v>56250</v>
      </c>
      <c r="D1024" s="23">
        <f t="shared" si="380"/>
        <v>54810</v>
      </c>
      <c r="E1024" s="7">
        <v>25200</v>
      </c>
      <c r="F1024" s="23">
        <f t="shared" si="381"/>
        <v>29610</v>
      </c>
      <c r="G1024" s="23">
        <v>-426150</v>
      </c>
      <c r="H1024">
        <v>7.9499999999999993</v>
      </c>
      <c r="I1024">
        <v>7.7</v>
      </c>
      <c r="J1024" s="27" t="s">
        <v>94</v>
      </c>
      <c r="K1024" s="23">
        <v>-14850</v>
      </c>
      <c r="L1024" s="20">
        <v>175050</v>
      </c>
      <c r="M1024" s="23">
        <f t="shared" si="382"/>
        <v>160200</v>
      </c>
      <c r="N1024" s="7">
        <v>72900</v>
      </c>
      <c r="O1024" s="23">
        <f t="shared" si="383"/>
        <v>87300</v>
      </c>
      <c r="P1024" s="23">
        <v>-372600</v>
      </c>
      <c r="R1024" s="27" t="s">
        <v>73</v>
      </c>
      <c r="S1024" s="23">
        <v>-213392</v>
      </c>
      <c r="T1024" s="20">
        <v>245352.5</v>
      </c>
      <c r="U1024" s="23">
        <f t="shared" si="384"/>
        <v>31960.5</v>
      </c>
      <c r="V1024" s="7">
        <v>3442.5</v>
      </c>
      <c r="W1024" s="23">
        <f t="shared" si="385"/>
        <v>28518</v>
      </c>
      <c r="X1024" s="23">
        <v>0</v>
      </c>
    </row>
    <row r="1025" spans="1:24" ht="15.75" x14ac:dyDescent="0.25">
      <c r="A1025" s="27" t="s">
        <v>55</v>
      </c>
      <c r="B1025" s="23">
        <v>-42600</v>
      </c>
      <c r="C1025" s="20">
        <v>37000</v>
      </c>
      <c r="D1025" s="23">
        <f t="shared" si="380"/>
        <v>-5600</v>
      </c>
      <c r="E1025" s="7">
        <v>-9200</v>
      </c>
      <c r="F1025" s="23">
        <f t="shared" si="381"/>
        <v>3600</v>
      </c>
      <c r="G1025" s="23">
        <v>-308500</v>
      </c>
      <c r="H1025">
        <v>10.050000000000001</v>
      </c>
      <c r="I1025">
        <v>9.4499999999999993</v>
      </c>
      <c r="J1025" s="27" t="s">
        <v>55</v>
      </c>
      <c r="K1025" s="23">
        <v>-61600</v>
      </c>
      <c r="L1025" s="20">
        <v>98200</v>
      </c>
      <c r="M1025" s="23">
        <f t="shared" si="382"/>
        <v>36600</v>
      </c>
      <c r="N1025" s="7">
        <v>-71800</v>
      </c>
      <c r="O1025" s="23">
        <f t="shared" si="383"/>
        <v>108400</v>
      </c>
      <c r="P1025" s="23">
        <v>0</v>
      </c>
      <c r="R1025" s="27" t="s">
        <v>62</v>
      </c>
      <c r="S1025" s="23">
        <v>-53468</v>
      </c>
      <c r="T1025" s="20">
        <v>332900</v>
      </c>
      <c r="U1025" s="23">
        <f t="shared" si="384"/>
        <v>279432</v>
      </c>
      <c r="V1025" s="7">
        <v>-38050</v>
      </c>
      <c r="W1025" s="23">
        <f t="shared" si="385"/>
        <v>317482</v>
      </c>
      <c r="X1025" s="23">
        <v>0</v>
      </c>
    </row>
    <row r="1026" spans="1:24" ht="15.75" x14ac:dyDescent="0.25">
      <c r="A1026" s="27" t="s">
        <v>82</v>
      </c>
      <c r="B1026" s="23">
        <v>46558</v>
      </c>
      <c r="C1026" s="20">
        <v>-21632.5</v>
      </c>
      <c r="D1026" s="23">
        <f t="shared" si="380"/>
        <v>24925.5</v>
      </c>
      <c r="E1026" s="7">
        <v>-9265</v>
      </c>
      <c r="F1026" s="23">
        <f t="shared" si="381"/>
        <v>34190.5</v>
      </c>
      <c r="G1026" s="23">
        <v>-325125</v>
      </c>
      <c r="H1026">
        <v>51</v>
      </c>
      <c r="I1026">
        <v>45.6</v>
      </c>
      <c r="J1026" s="27" t="s">
        <v>82</v>
      </c>
      <c r="K1026" s="23">
        <v>-9987</v>
      </c>
      <c r="L1026" s="20">
        <v>9647.5</v>
      </c>
      <c r="M1026" s="23">
        <f t="shared" si="382"/>
        <v>-339.5</v>
      </c>
      <c r="N1026" s="7">
        <v>-44625</v>
      </c>
      <c r="O1026" s="23">
        <f t="shared" si="383"/>
        <v>44285.5</v>
      </c>
      <c r="P1026" s="23">
        <v>-182197.5</v>
      </c>
      <c r="R1026" s="27" t="s">
        <v>47</v>
      </c>
      <c r="S1026" s="23">
        <v>820007</v>
      </c>
      <c r="T1026" s="20">
        <v>-1029730</v>
      </c>
      <c r="U1026" s="23">
        <f t="shared" si="384"/>
        <v>-209723</v>
      </c>
      <c r="V1026" s="7">
        <v>-45922.5</v>
      </c>
      <c r="W1026" s="23">
        <f t="shared" si="385"/>
        <v>-163800.5</v>
      </c>
      <c r="X1026" s="23">
        <v>-765375</v>
      </c>
    </row>
    <row r="1027" spans="1:24" ht="15.75" x14ac:dyDescent="0.25">
      <c r="A1027" s="27" t="s">
        <v>43</v>
      </c>
      <c r="B1027" s="23">
        <v>-36500</v>
      </c>
      <c r="C1027" s="20">
        <v>49500</v>
      </c>
      <c r="D1027" s="23">
        <f t="shared" si="380"/>
        <v>13000</v>
      </c>
      <c r="E1027" s="7">
        <v>13500</v>
      </c>
      <c r="F1027" s="23">
        <f t="shared" si="381"/>
        <v>-500</v>
      </c>
      <c r="G1027" s="23">
        <v>-293000</v>
      </c>
      <c r="H1027">
        <v>14.05</v>
      </c>
      <c r="I1027">
        <v>10.5</v>
      </c>
      <c r="J1027" s="27" t="s">
        <v>43</v>
      </c>
      <c r="K1027" s="23">
        <v>-38812</v>
      </c>
      <c r="L1027" s="20">
        <v>209250</v>
      </c>
      <c r="M1027" s="23">
        <f t="shared" si="382"/>
        <v>170438</v>
      </c>
      <c r="N1027" s="7">
        <v>-13750</v>
      </c>
      <c r="O1027" s="23">
        <f t="shared" si="383"/>
        <v>184188</v>
      </c>
      <c r="P1027" s="23">
        <v>-174000</v>
      </c>
      <c r="R1027" s="37" t="s">
        <v>53</v>
      </c>
      <c r="S1027" s="23">
        <v>-101500</v>
      </c>
      <c r="T1027" s="20">
        <v>134000</v>
      </c>
      <c r="U1027" s="23">
        <f t="shared" si="384"/>
        <v>32500</v>
      </c>
      <c r="V1027" s="7">
        <v>19000</v>
      </c>
      <c r="W1027" s="23">
        <f t="shared" si="385"/>
        <v>13500</v>
      </c>
      <c r="X1027" s="23">
        <v>0</v>
      </c>
    </row>
    <row r="1028" spans="1:24" ht="15.75" x14ac:dyDescent="0.25">
      <c r="A1028" s="27" t="s">
        <v>15</v>
      </c>
      <c r="B1028" s="23">
        <v>-297812</v>
      </c>
      <c r="C1028" s="20">
        <v>-26750</v>
      </c>
      <c r="D1028" s="23">
        <f t="shared" si="380"/>
        <v>-324562</v>
      </c>
      <c r="E1028" s="7">
        <v>14500</v>
      </c>
      <c r="F1028" s="23">
        <f t="shared" si="381"/>
        <v>-339062</v>
      </c>
      <c r="G1028" s="23">
        <v>-439000</v>
      </c>
      <c r="H1028">
        <v>15.2</v>
      </c>
      <c r="I1028">
        <v>12.65</v>
      </c>
      <c r="J1028" s="27" t="s">
        <v>15</v>
      </c>
      <c r="K1028" s="23">
        <v>-15500</v>
      </c>
      <c r="L1028" s="20">
        <v>-10125</v>
      </c>
      <c r="M1028" s="23">
        <f t="shared" si="382"/>
        <v>-25625</v>
      </c>
      <c r="N1028" s="7">
        <v>-55125.000000000007</v>
      </c>
      <c r="O1028" s="23">
        <f t="shared" si="383"/>
        <v>29500.000000000007</v>
      </c>
      <c r="P1028" s="23">
        <v>0</v>
      </c>
      <c r="R1028" s="39" t="s">
        <v>17</v>
      </c>
      <c r="S1028" s="36">
        <v>3325</v>
      </c>
      <c r="T1028" s="20"/>
      <c r="U1028" s="23"/>
      <c r="V1028" s="7">
        <v>0</v>
      </c>
      <c r="W1028" s="23">
        <f t="shared" si="385"/>
        <v>3325</v>
      </c>
      <c r="X1028" s="23">
        <v>-50050</v>
      </c>
    </row>
    <row r="1029" spans="1:24" ht="15.75" x14ac:dyDescent="0.25">
      <c r="A1029" s="27" t="s">
        <v>75</v>
      </c>
      <c r="B1029" s="23">
        <v>-400900</v>
      </c>
      <c r="C1029" s="20">
        <v>137200</v>
      </c>
      <c r="D1029" s="23">
        <f t="shared" si="380"/>
        <v>-263700</v>
      </c>
      <c r="E1029" s="7">
        <v>28400</v>
      </c>
      <c r="F1029" s="23">
        <f t="shared" si="381"/>
        <v>-292100</v>
      </c>
      <c r="G1029" s="23">
        <v>-440500</v>
      </c>
      <c r="H1029">
        <v>13.65</v>
      </c>
      <c r="I1029">
        <v>10.9</v>
      </c>
      <c r="J1029" s="27" t="s">
        <v>75</v>
      </c>
      <c r="K1029" s="23">
        <v>-122100</v>
      </c>
      <c r="L1029" s="20">
        <v>340000</v>
      </c>
      <c r="M1029" s="23">
        <f t="shared" si="382"/>
        <v>217900</v>
      </c>
      <c r="N1029" s="7">
        <v>81600</v>
      </c>
      <c r="O1029" s="23">
        <f t="shared" si="383"/>
        <v>136300</v>
      </c>
      <c r="P1029" s="23">
        <v>0</v>
      </c>
      <c r="R1029" s="39" t="s">
        <v>121</v>
      </c>
      <c r="S1029" s="36">
        <v>18350</v>
      </c>
      <c r="T1029" s="20"/>
      <c r="U1029" s="23"/>
      <c r="V1029" s="7">
        <v>0</v>
      </c>
      <c r="W1029" s="23">
        <f t="shared" si="385"/>
        <v>18350</v>
      </c>
      <c r="X1029" s="23">
        <v>0</v>
      </c>
    </row>
    <row r="1030" spans="1:24" ht="15.75" x14ac:dyDescent="0.25">
      <c r="A1030" s="27" t="s">
        <v>73</v>
      </c>
      <c r="B1030" s="23">
        <v>24012</v>
      </c>
      <c r="C1030" s="20">
        <v>-88315</v>
      </c>
      <c r="D1030" s="23">
        <f t="shared" si="380"/>
        <v>-64303</v>
      </c>
      <c r="E1030" s="7">
        <v>24990</v>
      </c>
      <c r="F1030" s="23">
        <f t="shared" si="381"/>
        <v>-89293</v>
      </c>
      <c r="G1030" s="23">
        <v>-461210</v>
      </c>
      <c r="H1030">
        <v>25.55</v>
      </c>
      <c r="I1030">
        <v>22</v>
      </c>
      <c r="J1030" s="27" t="s">
        <v>73</v>
      </c>
      <c r="K1030" s="23">
        <v>-40800</v>
      </c>
      <c r="L1030" s="20">
        <v>9095</v>
      </c>
      <c r="M1030" s="23">
        <f t="shared" si="382"/>
        <v>-31705</v>
      </c>
      <c r="N1030" s="7">
        <v>-66640</v>
      </c>
      <c r="O1030" s="23">
        <f t="shared" si="383"/>
        <v>34935</v>
      </c>
      <c r="P1030" s="23">
        <v>-245735</v>
      </c>
      <c r="R1030" s="39"/>
      <c r="S1030" s="36"/>
      <c r="T1030" s="20"/>
      <c r="U1030" s="23"/>
      <c r="V1030" s="7">
        <v>0</v>
      </c>
      <c r="W1030" s="23">
        <f t="shared" si="385"/>
        <v>0</v>
      </c>
      <c r="X1030" s="23"/>
    </row>
    <row r="1031" spans="1:24" ht="15.75" x14ac:dyDescent="0.25">
      <c r="A1031" s="27" t="s">
        <v>80</v>
      </c>
      <c r="B1031" s="23">
        <v>268600</v>
      </c>
      <c r="C1031" s="20">
        <v>-295000</v>
      </c>
      <c r="D1031" s="23">
        <f t="shared" si="380"/>
        <v>-26400</v>
      </c>
      <c r="E1031" s="7">
        <v>24400</v>
      </c>
      <c r="F1031" s="23">
        <f t="shared" si="381"/>
        <v>-50800</v>
      </c>
      <c r="G1031" s="23">
        <v>-264000</v>
      </c>
      <c r="H1031">
        <v>9.4499999999999993</v>
      </c>
      <c r="I1031">
        <v>7.9</v>
      </c>
      <c r="J1031" s="27" t="s">
        <v>80</v>
      </c>
      <c r="K1031" s="23">
        <v>131800</v>
      </c>
      <c r="L1031" s="20">
        <v>-93000</v>
      </c>
      <c r="M1031" s="23">
        <f t="shared" si="382"/>
        <v>38800</v>
      </c>
      <c r="N1031" s="7">
        <v>-69000</v>
      </c>
      <c r="O1031" s="23">
        <f t="shared" si="383"/>
        <v>107800</v>
      </c>
      <c r="P1031" s="23">
        <v>0</v>
      </c>
      <c r="R1031" s="38" t="s">
        <v>107</v>
      </c>
      <c r="S1031" s="22">
        <f t="shared" ref="S1031:X1031" si="386">SUM(S1021:S1030)</f>
        <v>127099</v>
      </c>
      <c r="T1031" s="18">
        <f t="shared" si="386"/>
        <v>290135</v>
      </c>
      <c r="U1031" s="23">
        <f t="shared" si="386"/>
        <v>395559</v>
      </c>
      <c r="V1031" s="18">
        <f t="shared" si="386"/>
        <v>-33282.5</v>
      </c>
      <c r="W1031" s="23">
        <f t="shared" si="386"/>
        <v>450516.5</v>
      </c>
      <c r="X1031" s="17">
        <f t="shared" si="386"/>
        <v>-815425</v>
      </c>
    </row>
    <row r="1032" spans="1:24" ht="15.75" x14ac:dyDescent="0.25">
      <c r="A1032" s="27" t="s">
        <v>62</v>
      </c>
      <c r="B1032" s="23">
        <v>-154087</v>
      </c>
      <c r="C1032" s="20">
        <v>64075</v>
      </c>
      <c r="D1032" s="23">
        <f t="shared" si="380"/>
        <v>-90012</v>
      </c>
      <c r="E1032" s="7">
        <v>-56312.5</v>
      </c>
      <c r="F1032" s="23">
        <f t="shared" si="381"/>
        <v>-33699.5</v>
      </c>
      <c r="G1032" s="23">
        <v>-522625</v>
      </c>
      <c r="H1032">
        <v>162.60000000000002</v>
      </c>
      <c r="I1032">
        <v>139.5</v>
      </c>
      <c r="J1032" s="27" t="s">
        <v>62</v>
      </c>
      <c r="K1032" s="23">
        <v>-300</v>
      </c>
      <c r="L1032" s="20">
        <v>-142750</v>
      </c>
      <c r="M1032" s="23">
        <f t="shared" si="382"/>
        <v>-143050</v>
      </c>
      <c r="N1032" s="7">
        <v>-69300</v>
      </c>
      <c r="O1032" s="23">
        <f t="shared" si="383"/>
        <v>-73750</v>
      </c>
      <c r="P1032" s="23">
        <v>-601950</v>
      </c>
    </row>
    <row r="1033" spans="1:24" ht="15.75" x14ac:dyDescent="0.25">
      <c r="A1033" s="27" t="s">
        <v>47</v>
      </c>
      <c r="B1033" s="23">
        <v>-806130</v>
      </c>
      <c r="C1033" s="20">
        <v>-490100</v>
      </c>
      <c r="D1033" s="23">
        <f t="shared" si="380"/>
        <v>-1296230</v>
      </c>
      <c r="E1033" s="7">
        <v>-21775</v>
      </c>
      <c r="F1033" s="23">
        <f t="shared" si="381"/>
        <v>-1274455</v>
      </c>
      <c r="G1033" s="23">
        <v>-1411670</v>
      </c>
      <c r="H1033">
        <v>41.4</v>
      </c>
      <c r="I1033">
        <v>31.1</v>
      </c>
      <c r="J1033" s="27" t="s">
        <v>47</v>
      </c>
      <c r="K1033" s="23">
        <v>36757</v>
      </c>
      <c r="L1033" s="20">
        <v>613372.5</v>
      </c>
      <c r="M1033" s="23">
        <f t="shared" si="382"/>
        <v>650129.5</v>
      </c>
      <c r="N1033" s="7">
        <v>-36790</v>
      </c>
      <c r="O1033" s="23">
        <f t="shared" si="383"/>
        <v>686919.5</v>
      </c>
      <c r="P1033" s="23">
        <v>-839345</v>
      </c>
    </row>
    <row r="1034" spans="1:24" ht="15.75" x14ac:dyDescent="0.25">
      <c r="A1034" s="27" t="s">
        <v>53</v>
      </c>
      <c r="B1034" s="23">
        <v>-17700</v>
      </c>
      <c r="C1034" s="20">
        <v>89900</v>
      </c>
      <c r="D1034" s="23">
        <f t="shared" si="380"/>
        <v>72200</v>
      </c>
      <c r="E1034" s="7">
        <v>12700</v>
      </c>
      <c r="F1034" s="23">
        <f t="shared" si="381"/>
        <v>59500</v>
      </c>
      <c r="G1034" s="23">
        <v>-241200</v>
      </c>
      <c r="H1034">
        <v>6.4499999999999993</v>
      </c>
      <c r="I1034">
        <v>5.6</v>
      </c>
      <c r="J1034" s="27" t="s">
        <v>53</v>
      </c>
      <c r="K1034" s="23">
        <v>-31900</v>
      </c>
      <c r="L1034" s="20">
        <v>89000</v>
      </c>
      <c r="M1034" s="23">
        <f t="shared" si="382"/>
        <v>57100</v>
      </c>
      <c r="N1034" s="7">
        <v>-3000</v>
      </c>
      <c r="O1034" s="23">
        <f t="shared" si="383"/>
        <v>60100</v>
      </c>
      <c r="P1034" s="23">
        <v>-195000</v>
      </c>
    </row>
    <row r="1035" spans="1:24" ht="15.75" x14ac:dyDescent="0.25">
      <c r="A1035" s="21" t="s">
        <v>107</v>
      </c>
      <c r="B1035" s="22">
        <f t="shared" ref="B1035:G1035" si="387">SUM(B1021:B1034)</f>
        <v>-1520654</v>
      </c>
      <c r="C1035" s="18">
        <f t="shared" si="387"/>
        <v>-821062.5</v>
      </c>
      <c r="D1035" s="23">
        <f t="shared" si="387"/>
        <v>-2341716.5</v>
      </c>
      <c r="E1035" s="18">
        <f t="shared" si="387"/>
        <v>80397.5</v>
      </c>
      <c r="F1035" s="23">
        <f t="shared" si="387"/>
        <v>-2422114</v>
      </c>
      <c r="G1035" s="17">
        <f t="shared" si="387"/>
        <v>-6320860</v>
      </c>
      <c r="J1035" s="21" t="s">
        <v>107</v>
      </c>
      <c r="K1035" s="22">
        <f t="shared" ref="K1035:P1035" si="388">SUM(K1021:K1034)</f>
        <v>88918</v>
      </c>
      <c r="L1035" s="18">
        <f t="shared" si="388"/>
        <v>1402510</v>
      </c>
      <c r="M1035" s="23">
        <f t="shared" si="388"/>
        <v>1491428</v>
      </c>
      <c r="N1035" s="18">
        <f t="shared" si="388"/>
        <v>-361470</v>
      </c>
      <c r="O1035" s="23">
        <f t="shared" si="388"/>
        <v>1852898</v>
      </c>
      <c r="P1035" s="17">
        <f t="shared" si="388"/>
        <v>-2610827.5</v>
      </c>
    </row>
    <row r="1037" spans="1:24" x14ac:dyDescent="0.25">
      <c r="A1037" s="141">
        <v>45108</v>
      </c>
      <c r="B1037" s="142"/>
      <c r="C1037" s="142"/>
      <c r="D1037" s="142"/>
      <c r="E1037" s="142"/>
      <c r="F1037" s="142"/>
    </row>
    <row r="1038" spans="1:24" x14ac:dyDescent="0.25">
      <c r="A1038" s="142"/>
      <c r="B1038" s="142"/>
      <c r="C1038" s="142"/>
      <c r="D1038" s="142"/>
      <c r="E1038" s="142"/>
      <c r="F1038" s="142"/>
    </row>
    <row r="1039" spans="1:24" x14ac:dyDescent="0.25">
      <c r="A1039" s="142"/>
      <c r="B1039" s="142"/>
      <c r="C1039" s="142"/>
      <c r="D1039" s="142"/>
      <c r="E1039" s="142"/>
      <c r="F1039" s="142"/>
    </row>
    <row r="1040" spans="1:24" x14ac:dyDescent="0.25">
      <c r="A1040" s="142"/>
      <c r="B1040" s="142"/>
      <c r="C1040" s="142"/>
      <c r="D1040" s="142"/>
      <c r="E1040" s="142"/>
      <c r="F1040" s="142"/>
    </row>
    <row r="1041" spans="1:24" x14ac:dyDescent="0.25">
      <c r="A1041" s="142"/>
      <c r="B1041" s="142"/>
      <c r="C1041" s="142"/>
      <c r="D1041" s="142"/>
      <c r="E1041" s="142"/>
      <c r="F1041" s="142"/>
    </row>
    <row r="1047" spans="1:24" ht="15.75" x14ac:dyDescent="0.25">
      <c r="A1047" s="106">
        <v>45119</v>
      </c>
      <c r="B1047" s="106"/>
      <c r="C1047" s="106"/>
      <c r="D1047" s="106"/>
      <c r="E1047" s="106"/>
      <c r="F1047" s="106"/>
      <c r="G1047" s="106"/>
      <c r="J1047" s="106">
        <v>45120</v>
      </c>
      <c r="K1047" s="106"/>
      <c r="L1047" s="106"/>
      <c r="M1047" s="106"/>
      <c r="N1047" s="106"/>
      <c r="O1047" s="106"/>
      <c r="P1047" s="106"/>
      <c r="R1047" s="106">
        <v>45121</v>
      </c>
      <c r="S1047" s="106"/>
      <c r="T1047" s="106"/>
      <c r="U1047" s="106"/>
      <c r="V1047" s="106"/>
      <c r="W1047" s="106"/>
      <c r="X1047" s="106"/>
    </row>
    <row r="1048" spans="1:24" ht="15.75" x14ac:dyDescent="0.25">
      <c r="A1048" s="22" t="s">
        <v>34</v>
      </c>
      <c r="B1048" s="22" t="s">
        <v>104</v>
      </c>
      <c r="C1048" s="22" t="s">
        <v>105</v>
      </c>
      <c r="D1048" s="22" t="s">
        <v>112</v>
      </c>
      <c r="E1048" s="22" t="s">
        <v>106</v>
      </c>
      <c r="F1048" s="21" t="s">
        <v>108</v>
      </c>
      <c r="G1048" s="21" t="s">
        <v>28</v>
      </c>
      <c r="J1048" s="22" t="s">
        <v>34</v>
      </c>
      <c r="K1048" s="22" t="s">
        <v>104</v>
      </c>
      <c r="L1048" s="22" t="s">
        <v>105</v>
      </c>
      <c r="M1048" s="22" t="s">
        <v>112</v>
      </c>
      <c r="N1048" s="22" t="s">
        <v>106</v>
      </c>
      <c r="O1048" s="21" t="s">
        <v>108</v>
      </c>
      <c r="P1048" s="21" t="s">
        <v>28</v>
      </c>
      <c r="R1048" s="22" t="s">
        <v>34</v>
      </c>
      <c r="S1048" s="22" t="s">
        <v>104</v>
      </c>
      <c r="T1048" s="22" t="s">
        <v>105</v>
      </c>
      <c r="U1048" s="22" t="s">
        <v>112</v>
      </c>
      <c r="V1048" s="22" t="s">
        <v>106</v>
      </c>
      <c r="W1048" s="21" t="s">
        <v>108</v>
      </c>
      <c r="X1048" s="21" t="s">
        <v>28</v>
      </c>
    </row>
    <row r="1049" spans="1:24" ht="15.75" x14ac:dyDescent="0.25">
      <c r="A1049" s="27" t="s">
        <v>76</v>
      </c>
      <c r="B1049" s="23">
        <v>-810</v>
      </c>
      <c r="C1049" s="20"/>
      <c r="D1049" s="23">
        <f t="shared" ref="D1049:D1057" si="389">+C1049+B1049</f>
        <v>-810</v>
      </c>
      <c r="E1049" s="7"/>
      <c r="F1049" s="23">
        <f t="shared" ref="F1049:F1057" si="390">+B1049+C1049-E1049</f>
        <v>-810</v>
      </c>
      <c r="G1049" s="23">
        <v>-153630</v>
      </c>
      <c r="J1049" s="27" t="s">
        <v>76</v>
      </c>
      <c r="K1049" s="23">
        <v>-8910</v>
      </c>
      <c r="L1049" s="20">
        <v>39960</v>
      </c>
      <c r="M1049" s="23">
        <f t="shared" ref="M1049:M1061" si="391">+L1049+K1049</f>
        <v>31050</v>
      </c>
      <c r="N1049" s="7">
        <v>-540</v>
      </c>
      <c r="O1049" s="23">
        <f t="shared" ref="O1049:O1060" si="392">+K1049+L1049-N1049</f>
        <v>31590</v>
      </c>
      <c r="P1049" s="23">
        <v>-278640</v>
      </c>
      <c r="R1049" s="27" t="s">
        <v>76</v>
      </c>
      <c r="S1049" s="23">
        <v>-51570</v>
      </c>
      <c r="T1049" s="20">
        <v>28890</v>
      </c>
      <c r="U1049" s="23">
        <f t="shared" ref="U1049:U1061" si="393">+T1049+S1049</f>
        <v>-22680</v>
      </c>
      <c r="V1049" s="7">
        <v>-5940</v>
      </c>
      <c r="W1049" s="23">
        <f t="shared" ref="W1049:W1060" si="394">+S1049+T1049-V1049</f>
        <v>-16740</v>
      </c>
      <c r="X1049" s="23">
        <v>-487890</v>
      </c>
    </row>
    <row r="1050" spans="1:24" ht="15.75" x14ac:dyDescent="0.25">
      <c r="A1050" s="27" t="s">
        <v>71</v>
      </c>
      <c r="B1050" s="23">
        <v>14110</v>
      </c>
      <c r="C1050" s="20"/>
      <c r="D1050" s="23">
        <f t="shared" si="389"/>
        <v>14110</v>
      </c>
      <c r="E1050" s="7"/>
      <c r="F1050" s="23">
        <f t="shared" si="390"/>
        <v>14110</v>
      </c>
      <c r="G1050" s="23">
        <v>-127050</v>
      </c>
      <c r="J1050" s="27" t="s">
        <v>71</v>
      </c>
      <c r="K1050" s="23">
        <v>-8755</v>
      </c>
      <c r="L1050" s="20">
        <v>55590</v>
      </c>
      <c r="M1050" s="23">
        <f t="shared" si="391"/>
        <v>46835</v>
      </c>
      <c r="N1050" s="7">
        <v>5355</v>
      </c>
      <c r="O1050" s="23">
        <f t="shared" si="392"/>
        <v>41480</v>
      </c>
      <c r="P1050" s="23">
        <v>-293590</v>
      </c>
      <c r="R1050" s="27" t="s">
        <v>71</v>
      </c>
      <c r="S1050" s="23">
        <v>-1105</v>
      </c>
      <c r="T1050" s="20">
        <v>32045</v>
      </c>
      <c r="U1050" s="23">
        <f t="shared" si="393"/>
        <v>30940</v>
      </c>
      <c r="V1050" s="7">
        <v>0</v>
      </c>
      <c r="W1050" s="23">
        <f t="shared" si="394"/>
        <v>30940</v>
      </c>
      <c r="X1050" s="23">
        <v>-512465</v>
      </c>
    </row>
    <row r="1051" spans="1:24" ht="15.75" x14ac:dyDescent="0.25">
      <c r="A1051" s="27" t="s">
        <v>90</v>
      </c>
      <c r="B1051" s="23">
        <v>-17920</v>
      </c>
      <c r="C1051" s="20"/>
      <c r="D1051" s="23">
        <f t="shared" si="389"/>
        <v>-17920</v>
      </c>
      <c r="E1051" s="7"/>
      <c r="F1051" s="23">
        <f t="shared" si="390"/>
        <v>-17920</v>
      </c>
      <c r="G1051" s="23">
        <v>-86800</v>
      </c>
      <c r="J1051" s="27" t="s">
        <v>90</v>
      </c>
      <c r="K1051" s="23">
        <v>19840</v>
      </c>
      <c r="L1051" s="20">
        <v>11200</v>
      </c>
      <c r="M1051" s="23">
        <f t="shared" si="391"/>
        <v>31040</v>
      </c>
      <c r="N1051" s="7">
        <v>-400</v>
      </c>
      <c r="O1051" s="23">
        <f t="shared" si="392"/>
        <v>31440</v>
      </c>
      <c r="P1051" s="23">
        <v>-278400</v>
      </c>
      <c r="R1051" s="27" t="s">
        <v>90</v>
      </c>
      <c r="S1051" s="23">
        <v>-16880</v>
      </c>
      <c r="T1051" s="20">
        <v>76800</v>
      </c>
      <c r="U1051" s="23">
        <f t="shared" si="393"/>
        <v>59920</v>
      </c>
      <c r="V1051" s="7">
        <v>12320</v>
      </c>
      <c r="W1051" s="23">
        <f t="shared" si="394"/>
        <v>47600</v>
      </c>
      <c r="X1051" s="23">
        <v>-476400</v>
      </c>
    </row>
    <row r="1052" spans="1:24" ht="15.75" x14ac:dyDescent="0.25">
      <c r="A1052" s="27" t="s">
        <v>83</v>
      </c>
      <c r="B1052" s="23">
        <v>21735</v>
      </c>
      <c r="C1052" s="20"/>
      <c r="D1052" s="23">
        <f t="shared" si="389"/>
        <v>21735</v>
      </c>
      <c r="E1052" s="7"/>
      <c r="F1052" s="23">
        <f t="shared" si="390"/>
        <v>21735</v>
      </c>
      <c r="G1052" s="23">
        <v>-107640</v>
      </c>
      <c r="J1052" s="27" t="s">
        <v>83</v>
      </c>
      <c r="K1052" s="23">
        <v>42795</v>
      </c>
      <c r="L1052" s="20">
        <v>-8370</v>
      </c>
      <c r="M1052" s="23">
        <f t="shared" si="391"/>
        <v>34425</v>
      </c>
      <c r="N1052" s="7">
        <v>9720</v>
      </c>
      <c r="O1052" s="23">
        <f t="shared" si="392"/>
        <v>24705</v>
      </c>
      <c r="P1052" s="23">
        <v>-271350</v>
      </c>
      <c r="R1052" s="27" t="s">
        <v>83</v>
      </c>
      <c r="S1052" s="23">
        <v>-9855</v>
      </c>
      <c r="T1052" s="20">
        <v>23490</v>
      </c>
      <c r="U1052" s="23">
        <f t="shared" si="393"/>
        <v>13635</v>
      </c>
      <c r="V1052" s="7">
        <v>540</v>
      </c>
      <c r="W1052" s="23">
        <f t="shared" si="394"/>
        <v>13095</v>
      </c>
      <c r="X1052" s="23">
        <v>-551610</v>
      </c>
    </row>
    <row r="1053" spans="1:24" ht="15.75" x14ac:dyDescent="0.25">
      <c r="A1053" s="27" t="s">
        <v>82</v>
      </c>
      <c r="B1053" s="23">
        <v>3206</v>
      </c>
      <c r="C1053" s="20"/>
      <c r="D1053" s="23">
        <f t="shared" si="389"/>
        <v>3206</v>
      </c>
      <c r="E1053" s="7"/>
      <c r="F1053" s="23">
        <f t="shared" si="390"/>
        <v>3206</v>
      </c>
      <c r="G1053" s="23">
        <v>-147390</v>
      </c>
      <c r="J1053" s="27" t="s">
        <v>82</v>
      </c>
      <c r="K1053" s="23">
        <v>-4845</v>
      </c>
      <c r="L1053" s="20">
        <v>41230</v>
      </c>
      <c r="M1053" s="23">
        <f t="shared" si="391"/>
        <v>36385</v>
      </c>
      <c r="N1053" s="7">
        <v>1710</v>
      </c>
      <c r="O1053" s="23">
        <f t="shared" si="392"/>
        <v>34675</v>
      </c>
      <c r="P1053" s="23">
        <v>-279680</v>
      </c>
      <c r="R1053" s="27" t="s">
        <v>82</v>
      </c>
      <c r="S1053" s="23">
        <v>85975</v>
      </c>
      <c r="T1053" s="20">
        <v>31991.25</v>
      </c>
      <c r="U1053" s="23">
        <f t="shared" si="393"/>
        <v>117966.25</v>
      </c>
      <c r="V1053" s="7">
        <v>1021.2500000000009</v>
      </c>
      <c r="W1053" s="23">
        <f t="shared" si="394"/>
        <v>116945</v>
      </c>
      <c r="X1053" s="23">
        <v>-423153.75</v>
      </c>
    </row>
    <row r="1054" spans="1:24" ht="15.75" x14ac:dyDescent="0.25">
      <c r="A1054" s="27" t="s">
        <v>43</v>
      </c>
      <c r="B1054" s="23">
        <v>6437</v>
      </c>
      <c r="C1054" s="20"/>
      <c r="D1054" s="23">
        <f t="shared" si="389"/>
        <v>6437</v>
      </c>
      <c r="E1054" s="7"/>
      <c r="F1054" s="23">
        <f t="shared" si="390"/>
        <v>6437</v>
      </c>
      <c r="G1054" s="23">
        <v>-112000</v>
      </c>
      <c r="J1054" s="27" t="s">
        <v>43</v>
      </c>
      <c r="K1054" s="23">
        <v>-16000</v>
      </c>
      <c r="L1054" s="20">
        <v>17625</v>
      </c>
      <c r="M1054" s="23">
        <f t="shared" si="391"/>
        <v>1625</v>
      </c>
      <c r="N1054" s="7">
        <v>4375</v>
      </c>
      <c r="O1054" s="23">
        <f t="shared" si="392"/>
        <v>-2750</v>
      </c>
      <c r="P1054" s="23">
        <v>-268000</v>
      </c>
      <c r="R1054" s="27" t="s">
        <v>43</v>
      </c>
      <c r="S1054" s="23">
        <v>-19937</v>
      </c>
      <c r="T1054" s="20">
        <v>31750</v>
      </c>
      <c r="U1054" s="23">
        <f t="shared" si="393"/>
        <v>11813</v>
      </c>
      <c r="V1054" s="7">
        <v>-5250</v>
      </c>
      <c r="W1054" s="23">
        <f t="shared" si="394"/>
        <v>17063</v>
      </c>
      <c r="X1054" s="23">
        <v>-439000</v>
      </c>
    </row>
    <row r="1055" spans="1:24" ht="15.75" x14ac:dyDescent="0.25">
      <c r="A1055" s="27" t="s">
        <v>15</v>
      </c>
      <c r="B1055" s="23">
        <v>3437</v>
      </c>
      <c r="C1055" s="20"/>
      <c r="D1055" s="23">
        <f t="shared" si="389"/>
        <v>3437</v>
      </c>
      <c r="E1055" s="7"/>
      <c r="F1055" s="23">
        <f t="shared" si="390"/>
        <v>3437</v>
      </c>
      <c r="G1055" s="23">
        <v>-118500</v>
      </c>
      <c r="J1055" s="27" t="s">
        <v>15</v>
      </c>
      <c r="K1055" s="23">
        <v>8250</v>
      </c>
      <c r="L1055" s="20">
        <v>7375</v>
      </c>
      <c r="M1055" s="23">
        <f t="shared" si="391"/>
        <v>15625</v>
      </c>
      <c r="N1055" s="7">
        <v>125</v>
      </c>
      <c r="O1055" s="23">
        <f t="shared" si="392"/>
        <v>15500</v>
      </c>
      <c r="P1055" s="23">
        <v>-314750</v>
      </c>
      <c r="R1055" s="27" t="s">
        <v>15</v>
      </c>
      <c r="S1055" s="23">
        <v>-2687</v>
      </c>
      <c r="T1055" s="20">
        <v>84625</v>
      </c>
      <c r="U1055" s="23">
        <f t="shared" si="393"/>
        <v>81938</v>
      </c>
      <c r="V1055" s="7">
        <v>-10000</v>
      </c>
      <c r="W1055" s="23">
        <f t="shared" si="394"/>
        <v>91938</v>
      </c>
      <c r="X1055" s="23">
        <v>-432000</v>
      </c>
    </row>
    <row r="1056" spans="1:24" ht="15.75" x14ac:dyDescent="0.25">
      <c r="A1056" s="27" t="s">
        <v>75</v>
      </c>
      <c r="B1056" s="23">
        <v>1000</v>
      </c>
      <c r="C1056" s="20"/>
      <c r="D1056" s="23">
        <f t="shared" si="389"/>
        <v>1000</v>
      </c>
      <c r="E1056" s="7"/>
      <c r="F1056" s="23">
        <f t="shared" si="390"/>
        <v>1000</v>
      </c>
      <c r="G1056" s="23">
        <v>-107900</v>
      </c>
      <c r="J1056" s="27" t="s">
        <v>75</v>
      </c>
      <c r="K1056" s="23">
        <v>-12500</v>
      </c>
      <c r="L1056" s="20">
        <v>38200</v>
      </c>
      <c r="M1056" s="23">
        <f t="shared" si="391"/>
        <v>25700</v>
      </c>
      <c r="N1056" s="7">
        <v>1600</v>
      </c>
      <c r="O1056" s="23">
        <f t="shared" si="392"/>
        <v>24100</v>
      </c>
      <c r="P1056" s="23">
        <v>-273900</v>
      </c>
      <c r="R1056" s="27" t="s">
        <v>75</v>
      </c>
      <c r="S1056" s="23">
        <v>-12200</v>
      </c>
      <c r="T1056" s="20">
        <v>93600</v>
      </c>
      <c r="U1056" s="23">
        <f t="shared" si="393"/>
        <v>81400</v>
      </c>
      <c r="V1056" s="7">
        <v>7900</v>
      </c>
      <c r="W1056" s="23">
        <f t="shared" si="394"/>
        <v>73500</v>
      </c>
      <c r="X1056" s="23">
        <v>-447300</v>
      </c>
    </row>
    <row r="1057" spans="1:24" ht="15.75" x14ac:dyDescent="0.25">
      <c r="A1057" s="27" t="s">
        <v>80</v>
      </c>
      <c r="B1057" s="23">
        <v>-12000</v>
      </c>
      <c r="C1057" s="20"/>
      <c r="D1057" s="23">
        <f t="shared" si="389"/>
        <v>-12000</v>
      </c>
      <c r="E1057" s="7"/>
      <c r="F1057" s="23">
        <f t="shared" si="390"/>
        <v>-12000</v>
      </c>
      <c r="G1057" s="23">
        <v>-105655</v>
      </c>
      <c r="J1057" s="27" t="s">
        <v>80</v>
      </c>
      <c r="K1057" s="23">
        <v>16800</v>
      </c>
      <c r="L1057" s="20">
        <v>49600</v>
      </c>
      <c r="M1057" s="23">
        <f t="shared" si="391"/>
        <v>66400</v>
      </c>
      <c r="N1057" s="7">
        <v>-3800</v>
      </c>
      <c r="O1057" s="23">
        <f t="shared" si="392"/>
        <v>70200</v>
      </c>
      <c r="P1057" s="23">
        <v>-333200</v>
      </c>
      <c r="R1057" s="27" t="s">
        <v>80</v>
      </c>
      <c r="S1057" s="23">
        <v>-5600</v>
      </c>
      <c r="T1057" s="20">
        <v>55200</v>
      </c>
      <c r="U1057" s="23">
        <f t="shared" si="393"/>
        <v>49600</v>
      </c>
      <c r="V1057" s="7">
        <v>6400</v>
      </c>
      <c r="W1057" s="23">
        <f t="shared" si="394"/>
        <v>43200</v>
      </c>
      <c r="X1057" s="23">
        <v>-496600</v>
      </c>
    </row>
    <row r="1058" spans="1:24" ht="15.75" x14ac:dyDescent="0.25">
      <c r="A1058" s="21" t="s">
        <v>107</v>
      </c>
      <c r="B1058" s="22">
        <f t="shared" ref="B1058:G1058" si="395">SUM(B1049:B1057)</f>
        <v>19195</v>
      </c>
      <c r="C1058" s="18">
        <f t="shared" si="395"/>
        <v>0</v>
      </c>
      <c r="D1058" s="23">
        <f t="shared" si="395"/>
        <v>19195</v>
      </c>
      <c r="E1058" s="18">
        <f t="shared" si="395"/>
        <v>0</v>
      </c>
      <c r="F1058" s="23">
        <f t="shared" si="395"/>
        <v>19195</v>
      </c>
      <c r="G1058" s="17">
        <f t="shared" si="395"/>
        <v>-1066565</v>
      </c>
      <c r="J1058" s="27" t="s">
        <v>61</v>
      </c>
      <c r="K1058" s="23">
        <v>48345</v>
      </c>
      <c r="L1058" s="20"/>
      <c r="M1058" s="23">
        <f t="shared" si="391"/>
        <v>48345</v>
      </c>
      <c r="N1058" s="7">
        <v>0</v>
      </c>
      <c r="O1058" s="23">
        <f t="shared" si="392"/>
        <v>48345</v>
      </c>
      <c r="P1058" s="23">
        <v>-293205</v>
      </c>
      <c r="R1058" s="27" t="s">
        <v>61</v>
      </c>
      <c r="S1058" s="23">
        <v>-8195</v>
      </c>
      <c r="T1058" s="20">
        <v>72490</v>
      </c>
      <c r="U1058" s="23">
        <f t="shared" si="393"/>
        <v>64295</v>
      </c>
      <c r="V1058" s="7">
        <v>3135</v>
      </c>
      <c r="W1058" s="23">
        <f t="shared" si="394"/>
        <v>61160</v>
      </c>
      <c r="X1058" s="23">
        <v>-450010</v>
      </c>
    </row>
    <row r="1059" spans="1:24" ht="15.75" x14ac:dyDescent="0.25">
      <c r="J1059" s="27" t="s">
        <v>97</v>
      </c>
      <c r="K1059" s="23">
        <v>-52187</v>
      </c>
      <c r="L1059" s="20"/>
      <c r="M1059" s="23">
        <f t="shared" si="391"/>
        <v>-52187</v>
      </c>
      <c r="N1059" s="7">
        <v>0</v>
      </c>
      <c r="O1059" s="23">
        <f t="shared" si="392"/>
        <v>-52187</v>
      </c>
      <c r="P1059" s="23">
        <v>-362500</v>
      </c>
      <c r="R1059" s="27" t="s">
        <v>97</v>
      </c>
      <c r="S1059" s="23">
        <v>-19875</v>
      </c>
      <c r="T1059" s="20">
        <v>108749.99999999999</v>
      </c>
      <c r="U1059" s="23">
        <f t="shared" si="393"/>
        <v>88874.999999999985</v>
      </c>
      <c r="V1059" s="7">
        <v>4885</v>
      </c>
      <c r="W1059" s="23">
        <f t="shared" si="394"/>
        <v>83989.999999999985</v>
      </c>
      <c r="X1059" s="23">
        <v>-471500</v>
      </c>
    </row>
    <row r="1060" spans="1:24" ht="15.75" x14ac:dyDescent="0.25">
      <c r="J1060" s="27" t="s">
        <v>62</v>
      </c>
      <c r="K1060" s="23">
        <v>-43455</v>
      </c>
      <c r="L1060" s="20"/>
      <c r="M1060" s="23">
        <f t="shared" si="391"/>
        <v>-43455</v>
      </c>
      <c r="N1060" s="7">
        <v>0</v>
      </c>
      <c r="O1060" s="23">
        <f t="shared" si="392"/>
        <v>-43455</v>
      </c>
      <c r="P1060" s="23">
        <v>-358830</v>
      </c>
      <c r="R1060" s="27" t="s">
        <v>62</v>
      </c>
      <c r="S1060" s="23">
        <v>9592</v>
      </c>
      <c r="T1060" s="20">
        <v>103275</v>
      </c>
      <c r="U1060" s="23">
        <f t="shared" si="393"/>
        <v>112867</v>
      </c>
      <c r="V1060" s="7">
        <v>-5130.0000000000018</v>
      </c>
      <c r="W1060" s="23">
        <f t="shared" si="394"/>
        <v>117997</v>
      </c>
      <c r="X1060" s="23">
        <v>-440400</v>
      </c>
    </row>
    <row r="1061" spans="1:24" ht="15.75" x14ac:dyDescent="0.25">
      <c r="J1061" s="21" t="s">
        <v>107</v>
      </c>
      <c r="K1061" s="22">
        <f t="shared" ref="K1061:P1061" si="396">SUM(K1049:K1060)</f>
        <v>-10622</v>
      </c>
      <c r="L1061" s="18">
        <f t="shared" si="396"/>
        <v>252410</v>
      </c>
      <c r="M1061" s="23">
        <f t="shared" si="391"/>
        <v>241788</v>
      </c>
      <c r="N1061" s="18">
        <f t="shared" si="396"/>
        <v>18145</v>
      </c>
      <c r="O1061" s="23">
        <f t="shared" si="396"/>
        <v>223643</v>
      </c>
      <c r="P1061" s="17">
        <f t="shared" si="396"/>
        <v>-3606045</v>
      </c>
      <c r="R1061" s="21" t="s">
        <v>107</v>
      </c>
      <c r="S1061" s="22">
        <f t="shared" ref="S1061:T1061" si="397">SUM(S1049:S1060)</f>
        <v>-52337</v>
      </c>
      <c r="T1061" s="18">
        <f t="shared" si="397"/>
        <v>742906.25</v>
      </c>
      <c r="U1061" s="23">
        <f t="shared" si="393"/>
        <v>690569.25</v>
      </c>
      <c r="V1061" s="18">
        <f t="shared" ref="V1061:X1061" si="398">SUM(V1049:V1060)</f>
        <v>9881.2499999999982</v>
      </c>
      <c r="W1061" s="23">
        <f t="shared" si="398"/>
        <v>680688</v>
      </c>
      <c r="X1061" s="17">
        <f t="shared" si="398"/>
        <v>-5628328.75</v>
      </c>
    </row>
    <row r="1068" spans="1:24" ht="15.75" x14ac:dyDescent="0.25">
      <c r="A1068" s="106">
        <v>45124</v>
      </c>
      <c r="B1068" s="106"/>
      <c r="C1068" s="106"/>
      <c r="D1068" s="106"/>
      <c r="E1068" s="106"/>
      <c r="F1068" s="106"/>
      <c r="G1068" s="106"/>
      <c r="J1068" s="106">
        <v>45125</v>
      </c>
      <c r="K1068" s="106"/>
      <c r="L1068" s="106"/>
      <c r="M1068" s="106"/>
      <c r="N1068" s="106"/>
      <c r="O1068" s="106"/>
      <c r="P1068" s="106"/>
      <c r="R1068" s="106">
        <v>45126</v>
      </c>
      <c r="S1068" s="106"/>
      <c r="T1068" s="106"/>
      <c r="U1068" s="106"/>
      <c r="V1068" s="106"/>
      <c r="W1068" s="106"/>
      <c r="X1068" s="106"/>
    </row>
    <row r="1069" spans="1:24" ht="15.75" x14ac:dyDescent="0.25">
      <c r="A1069" s="22" t="s">
        <v>34</v>
      </c>
      <c r="B1069" s="22" t="s">
        <v>104</v>
      </c>
      <c r="C1069" s="22" t="s">
        <v>105</v>
      </c>
      <c r="D1069" s="22" t="s">
        <v>112</v>
      </c>
      <c r="E1069" s="22" t="s">
        <v>106</v>
      </c>
      <c r="F1069" s="21" t="s">
        <v>108</v>
      </c>
      <c r="G1069" s="21" t="s">
        <v>28</v>
      </c>
      <c r="J1069" s="22" t="s">
        <v>34</v>
      </c>
      <c r="K1069" s="22" t="s">
        <v>104</v>
      </c>
      <c r="L1069" s="22" t="s">
        <v>105</v>
      </c>
      <c r="M1069" s="22" t="s">
        <v>112</v>
      </c>
      <c r="N1069" s="22" t="s">
        <v>106</v>
      </c>
      <c r="O1069" s="21" t="s">
        <v>108</v>
      </c>
      <c r="P1069" s="21" t="s">
        <v>28</v>
      </c>
      <c r="R1069" s="22" t="s">
        <v>34</v>
      </c>
      <c r="S1069" s="22" t="s">
        <v>104</v>
      </c>
      <c r="T1069" s="22" t="s">
        <v>105</v>
      </c>
      <c r="U1069" s="22" t="s">
        <v>112</v>
      </c>
      <c r="V1069" s="22" t="s">
        <v>106</v>
      </c>
      <c r="W1069" s="21" t="s">
        <v>108</v>
      </c>
      <c r="X1069" s="21" t="s">
        <v>28</v>
      </c>
    </row>
    <row r="1070" spans="1:24" ht="15.75" x14ac:dyDescent="0.25">
      <c r="A1070" s="27" t="s">
        <v>76</v>
      </c>
      <c r="B1070" s="23">
        <v>-28350</v>
      </c>
      <c r="C1070" s="20">
        <v>38070</v>
      </c>
      <c r="D1070" s="23">
        <f t="shared" ref="D1070:D1082" si="399">+C1070+B1070</f>
        <v>9720</v>
      </c>
      <c r="E1070" s="7">
        <v>2970</v>
      </c>
      <c r="F1070" s="23">
        <f t="shared" ref="F1070:F1081" si="400">+B1070+C1070-E1070</f>
        <v>6750</v>
      </c>
      <c r="G1070" s="23">
        <v>-407160</v>
      </c>
      <c r="J1070" s="27" t="s">
        <v>76</v>
      </c>
      <c r="K1070" s="23">
        <v>-14850</v>
      </c>
      <c r="L1070" s="20">
        <v>-42390</v>
      </c>
      <c r="M1070" s="23">
        <f t="shared" ref="M1070:M1082" si="401">+L1070+K1070</f>
        <v>-57240</v>
      </c>
      <c r="N1070" s="7">
        <v>-31590</v>
      </c>
      <c r="O1070" s="23">
        <f t="shared" ref="O1070:O1081" si="402">+K1070+L1070-N1070</f>
        <v>-25650</v>
      </c>
      <c r="P1070" s="23">
        <v>-414720</v>
      </c>
      <c r="R1070" s="27" t="s">
        <v>76</v>
      </c>
      <c r="S1070" s="23">
        <v>-2970</v>
      </c>
      <c r="T1070" s="20">
        <v>49140</v>
      </c>
      <c r="U1070" s="23">
        <f t="shared" ref="U1070:U1082" si="403">+T1070+S1070</f>
        <v>46170</v>
      </c>
      <c r="V1070" s="7">
        <v>10260</v>
      </c>
      <c r="W1070" s="23">
        <f t="shared" ref="W1070:W1081" si="404">+S1070+T1070-V1070</f>
        <v>35910</v>
      </c>
      <c r="X1070" s="23">
        <v>-414720</v>
      </c>
    </row>
    <row r="1071" spans="1:24" ht="15.75" x14ac:dyDescent="0.25">
      <c r="A1071" s="27" t="s">
        <v>71</v>
      </c>
      <c r="B1071" s="23">
        <v>170</v>
      </c>
      <c r="C1071" s="20">
        <v>4760</v>
      </c>
      <c r="D1071" s="23">
        <f t="shared" si="399"/>
        <v>4930</v>
      </c>
      <c r="E1071" s="7">
        <v>-11560</v>
      </c>
      <c r="F1071" s="23">
        <f t="shared" si="400"/>
        <v>16490</v>
      </c>
      <c r="G1071" s="23">
        <v>-517565</v>
      </c>
      <c r="J1071" s="27" t="s">
        <v>71</v>
      </c>
      <c r="K1071" s="23">
        <f>-146285+6290</f>
        <v>-139995</v>
      </c>
      <c r="L1071" s="20">
        <v>-27200</v>
      </c>
      <c r="M1071" s="23">
        <f t="shared" si="401"/>
        <v>-167195</v>
      </c>
      <c r="N1071" s="7">
        <v>15045</v>
      </c>
      <c r="O1071" s="23">
        <f t="shared" si="402"/>
        <v>-182240</v>
      </c>
      <c r="P1071" s="23">
        <v>-447355</v>
      </c>
      <c r="R1071" s="27" t="s">
        <v>71</v>
      </c>
      <c r="S1071" s="23">
        <v>255</v>
      </c>
      <c r="T1071" s="20">
        <v>118065</v>
      </c>
      <c r="U1071" s="23">
        <f t="shared" si="403"/>
        <v>118320</v>
      </c>
      <c r="V1071" s="7">
        <v>4335</v>
      </c>
      <c r="W1071" s="23">
        <f t="shared" si="404"/>
        <v>113985</v>
      </c>
      <c r="X1071" s="23">
        <v>-447355</v>
      </c>
    </row>
    <row r="1072" spans="1:24" ht="15.75" x14ac:dyDescent="0.25">
      <c r="A1072" s="27" t="s">
        <v>90</v>
      </c>
      <c r="B1072" s="23">
        <f>-18480+10000</f>
        <v>-8480</v>
      </c>
      <c r="C1072" s="20">
        <v>26800</v>
      </c>
      <c r="D1072" s="23">
        <f t="shared" si="399"/>
        <v>18320</v>
      </c>
      <c r="E1072" s="7">
        <v>-5600</v>
      </c>
      <c r="F1072" s="23">
        <f t="shared" si="400"/>
        <v>23920</v>
      </c>
      <c r="G1072" s="23">
        <v>-406800</v>
      </c>
      <c r="J1072" s="27" t="s">
        <v>90</v>
      </c>
      <c r="K1072" s="23">
        <v>12080</v>
      </c>
      <c r="L1072" s="20">
        <v>-4400</v>
      </c>
      <c r="M1072" s="23">
        <f t="shared" si="401"/>
        <v>7680</v>
      </c>
      <c r="N1072" s="7">
        <v>10800</v>
      </c>
      <c r="O1072" s="23">
        <f t="shared" si="402"/>
        <v>-3120</v>
      </c>
      <c r="P1072" s="23">
        <v>0</v>
      </c>
      <c r="R1072" s="27" t="s">
        <v>90</v>
      </c>
      <c r="S1072" s="23">
        <v>0</v>
      </c>
      <c r="T1072" s="20">
        <v>0</v>
      </c>
      <c r="U1072" s="23">
        <f t="shared" si="403"/>
        <v>0</v>
      </c>
      <c r="V1072" s="7">
        <v>0</v>
      </c>
      <c r="W1072" s="23">
        <f t="shared" si="404"/>
        <v>0</v>
      </c>
      <c r="X1072" s="23">
        <v>0</v>
      </c>
    </row>
    <row r="1073" spans="1:24" ht="15.75" x14ac:dyDescent="0.25">
      <c r="A1073" s="27" t="s">
        <v>83</v>
      </c>
      <c r="B1073" s="23">
        <v>37125</v>
      </c>
      <c r="C1073" s="20">
        <v>-213435</v>
      </c>
      <c r="D1073" s="23">
        <f t="shared" si="399"/>
        <v>-176310</v>
      </c>
      <c r="E1073" s="7">
        <v>4050</v>
      </c>
      <c r="F1073" s="23">
        <f t="shared" si="400"/>
        <v>-180360</v>
      </c>
      <c r="G1073" s="23">
        <v>-483300</v>
      </c>
      <c r="J1073" s="27" t="s">
        <v>83</v>
      </c>
      <c r="K1073" s="23">
        <v>-12555</v>
      </c>
      <c r="L1073" s="20">
        <v>17280</v>
      </c>
      <c r="M1073" s="23">
        <f t="shared" si="401"/>
        <v>4725</v>
      </c>
      <c r="N1073" s="7">
        <v>-5130</v>
      </c>
      <c r="O1073" s="23">
        <f t="shared" si="402"/>
        <v>9855</v>
      </c>
      <c r="P1073" s="23">
        <v>-427410</v>
      </c>
      <c r="R1073" s="27" t="s">
        <v>83</v>
      </c>
      <c r="S1073" s="23">
        <v>-17010</v>
      </c>
      <c r="T1073" s="20">
        <v>-188325</v>
      </c>
      <c r="U1073" s="23">
        <f t="shared" si="403"/>
        <v>-205335</v>
      </c>
      <c r="V1073" s="7">
        <v>12420</v>
      </c>
      <c r="W1073" s="23">
        <f t="shared" si="404"/>
        <v>-217755</v>
      </c>
      <c r="X1073" s="23">
        <v>-427410</v>
      </c>
    </row>
    <row r="1074" spans="1:24" ht="15.75" x14ac:dyDescent="0.25">
      <c r="A1074" s="27" t="s">
        <v>82</v>
      </c>
      <c r="B1074" s="23">
        <v>-6555</v>
      </c>
      <c r="C1074" s="20">
        <v>-38190</v>
      </c>
      <c r="D1074" s="23">
        <f t="shared" si="399"/>
        <v>-44745</v>
      </c>
      <c r="E1074" s="7">
        <v>61797.5</v>
      </c>
      <c r="F1074" s="23">
        <f t="shared" si="400"/>
        <v>-106542.5</v>
      </c>
      <c r="G1074" s="23">
        <v>-492670</v>
      </c>
      <c r="J1074" s="27" t="s">
        <v>82</v>
      </c>
      <c r="K1074" s="23">
        <v>-14511</v>
      </c>
      <c r="L1074" s="20">
        <v>99987.5</v>
      </c>
      <c r="M1074" s="23">
        <f t="shared" si="401"/>
        <v>85476.5</v>
      </c>
      <c r="N1074" s="7">
        <v>-5700</v>
      </c>
      <c r="O1074" s="23">
        <f t="shared" si="402"/>
        <v>91176.5</v>
      </c>
      <c r="P1074" s="23">
        <v>-422085</v>
      </c>
      <c r="R1074" s="27" t="s">
        <v>82</v>
      </c>
      <c r="S1074" s="23">
        <v>-24438</v>
      </c>
      <c r="T1074" s="20">
        <v>1923.75</v>
      </c>
      <c r="U1074" s="23">
        <f t="shared" si="403"/>
        <v>-22514.25</v>
      </c>
      <c r="V1074" s="7">
        <v>142.5</v>
      </c>
      <c r="W1074" s="23">
        <f t="shared" si="404"/>
        <v>-22656.75</v>
      </c>
      <c r="X1074" s="23">
        <v>-422085</v>
      </c>
    </row>
    <row r="1075" spans="1:24" ht="15.75" x14ac:dyDescent="0.25">
      <c r="A1075" s="27" t="s">
        <v>43</v>
      </c>
      <c r="B1075" s="23">
        <v>-13500</v>
      </c>
      <c r="C1075" s="20">
        <v>81500</v>
      </c>
      <c r="D1075" s="23">
        <f t="shared" si="399"/>
        <v>68000</v>
      </c>
      <c r="E1075" s="7">
        <v>-625</v>
      </c>
      <c r="F1075" s="23">
        <f t="shared" si="400"/>
        <v>68625</v>
      </c>
      <c r="G1075" s="23">
        <v>-409000</v>
      </c>
      <c r="J1075" s="27" t="s">
        <v>43</v>
      </c>
      <c r="K1075" s="23">
        <v>-27875</v>
      </c>
      <c r="L1075" s="20">
        <v>35000</v>
      </c>
      <c r="M1075" s="23">
        <f t="shared" si="401"/>
        <v>7125</v>
      </c>
      <c r="N1075" s="7">
        <v>14625</v>
      </c>
      <c r="O1075" s="23">
        <f t="shared" si="402"/>
        <v>-7500</v>
      </c>
      <c r="P1075" s="23">
        <v>-460250</v>
      </c>
      <c r="R1075" s="27" t="s">
        <v>43</v>
      </c>
      <c r="S1075" s="23">
        <v>-8875</v>
      </c>
      <c r="T1075" s="20">
        <v>91375</v>
      </c>
      <c r="U1075" s="23">
        <f t="shared" si="403"/>
        <v>82500</v>
      </c>
      <c r="V1075" s="7">
        <v>11875</v>
      </c>
      <c r="W1075" s="23">
        <f t="shared" si="404"/>
        <v>70625</v>
      </c>
      <c r="X1075" s="23">
        <v>-460250</v>
      </c>
    </row>
    <row r="1076" spans="1:24" ht="15.75" x14ac:dyDescent="0.25">
      <c r="A1076" s="27" t="s">
        <v>15</v>
      </c>
      <c r="B1076" s="23">
        <v>-2000</v>
      </c>
      <c r="C1076" s="20">
        <v>34000</v>
      </c>
      <c r="D1076" s="23">
        <f t="shared" si="399"/>
        <v>32000</v>
      </c>
      <c r="E1076" s="7">
        <v>6000</v>
      </c>
      <c r="F1076" s="23">
        <f t="shared" si="400"/>
        <v>26000</v>
      </c>
      <c r="G1076" s="23">
        <v>-482000</v>
      </c>
      <c r="J1076" s="27" t="s">
        <v>15</v>
      </c>
      <c r="K1076" s="23">
        <v>-9937</v>
      </c>
      <c r="L1076" s="20">
        <v>500</v>
      </c>
      <c r="M1076" s="23">
        <f t="shared" si="401"/>
        <v>-9437</v>
      </c>
      <c r="N1076" s="7">
        <v>-16625</v>
      </c>
      <c r="O1076" s="23">
        <f t="shared" si="402"/>
        <v>7188</v>
      </c>
      <c r="P1076" s="23">
        <v>-449000</v>
      </c>
      <c r="R1076" s="27" t="s">
        <v>15</v>
      </c>
      <c r="S1076" s="23">
        <v>-8437</v>
      </c>
      <c r="T1076" s="20">
        <v>78374.999999999985</v>
      </c>
      <c r="U1076" s="23">
        <f t="shared" si="403"/>
        <v>69937.999999999985</v>
      </c>
      <c r="V1076" s="7">
        <v>6875</v>
      </c>
      <c r="W1076" s="23">
        <f t="shared" si="404"/>
        <v>63062.999999999985</v>
      </c>
      <c r="X1076" s="23">
        <v>-449000</v>
      </c>
    </row>
    <row r="1077" spans="1:24" ht="15.75" x14ac:dyDescent="0.25">
      <c r="A1077" s="27" t="s">
        <v>75</v>
      </c>
      <c r="B1077" s="23">
        <v>-6600</v>
      </c>
      <c r="C1077" s="20">
        <v>80600</v>
      </c>
      <c r="D1077" s="23">
        <f t="shared" si="399"/>
        <v>74000</v>
      </c>
      <c r="E1077" s="7">
        <v>7100</v>
      </c>
      <c r="F1077" s="23">
        <f t="shared" si="400"/>
        <v>66900</v>
      </c>
      <c r="G1077" s="23">
        <v>-425000</v>
      </c>
      <c r="J1077" s="27" t="s">
        <v>75</v>
      </c>
      <c r="K1077" s="23">
        <v>-24000</v>
      </c>
      <c r="L1077" s="20">
        <v>-36100</v>
      </c>
      <c r="M1077" s="23">
        <f t="shared" si="401"/>
        <v>-60100</v>
      </c>
      <c r="N1077" s="7">
        <v>6000</v>
      </c>
      <c r="O1077" s="23">
        <f t="shared" si="402"/>
        <v>-66100</v>
      </c>
      <c r="P1077" s="23">
        <v>-354000</v>
      </c>
      <c r="R1077" s="27" t="s">
        <v>75</v>
      </c>
      <c r="S1077" s="23">
        <v>-3000</v>
      </c>
      <c r="T1077" s="20">
        <v>66600</v>
      </c>
      <c r="U1077" s="23">
        <f t="shared" si="403"/>
        <v>63600</v>
      </c>
      <c r="V1077" s="7">
        <v>-3800</v>
      </c>
      <c r="W1077" s="23">
        <f t="shared" si="404"/>
        <v>67400</v>
      </c>
      <c r="X1077" s="23">
        <v>-354000</v>
      </c>
    </row>
    <row r="1078" spans="1:24" ht="15.75" x14ac:dyDescent="0.25">
      <c r="A1078" s="27" t="s">
        <v>80</v>
      </c>
      <c r="B1078" s="23">
        <v>-15800</v>
      </c>
      <c r="C1078" s="20">
        <v>40000</v>
      </c>
      <c r="D1078" s="23">
        <f t="shared" si="399"/>
        <v>24200</v>
      </c>
      <c r="E1078" s="7">
        <v>-4400</v>
      </c>
      <c r="F1078" s="23">
        <f t="shared" si="400"/>
        <v>28600</v>
      </c>
      <c r="G1078" s="23">
        <v>-452000</v>
      </c>
      <c r="J1078" s="27" t="s">
        <v>80</v>
      </c>
      <c r="K1078" s="23">
        <v>20800</v>
      </c>
      <c r="L1078" s="20">
        <v>5600</v>
      </c>
      <c r="M1078" s="23">
        <f t="shared" si="401"/>
        <v>26400</v>
      </c>
      <c r="N1078" s="7">
        <v>8600</v>
      </c>
      <c r="O1078" s="23">
        <f t="shared" si="402"/>
        <v>17800</v>
      </c>
      <c r="P1078" s="23">
        <v>-374800</v>
      </c>
      <c r="R1078" s="27" t="s">
        <v>80</v>
      </c>
      <c r="S1078" s="23">
        <v>-18400</v>
      </c>
      <c r="T1078" s="20">
        <v>86800</v>
      </c>
      <c r="U1078" s="23">
        <f t="shared" si="403"/>
        <v>68400</v>
      </c>
      <c r="V1078" s="7">
        <v>9200</v>
      </c>
      <c r="W1078" s="23">
        <f t="shared" si="404"/>
        <v>59200</v>
      </c>
      <c r="X1078" s="23">
        <v>-374800</v>
      </c>
    </row>
    <row r="1079" spans="1:24" ht="15.75" x14ac:dyDescent="0.25">
      <c r="A1079" s="27" t="s">
        <v>61</v>
      </c>
      <c r="B1079" s="23">
        <v>-660</v>
      </c>
      <c r="C1079" s="20">
        <v>65285</v>
      </c>
      <c r="D1079" s="23">
        <f t="shared" si="399"/>
        <v>64625</v>
      </c>
      <c r="E1079" s="7">
        <v>10450</v>
      </c>
      <c r="F1079" s="23">
        <f t="shared" si="400"/>
        <v>54175</v>
      </c>
      <c r="G1079" s="23">
        <v>-397760</v>
      </c>
      <c r="J1079" s="27" t="s">
        <v>61</v>
      </c>
      <c r="K1079" s="23">
        <v>-59180</v>
      </c>
      <c r="L1079" s="20">
        <v>-43670</v>
      </c>
      <c r="M1079" s="23">
        <f t="shared" si="401"/>
        <v>-102850</v>
      </c>
      <c r="N1079" s="7">
        <v>9295</v>
      </c>
      <c r="O1079" s="23">
        <f t="shared" si="402"/>
        <v>-112145</v>
      </c>
      <c r="P1079" s="23">
        <v>-665390</v>
      </c>
      <c r="R1079" s="27" t="s">
        <v>61</v>
      </c>
      <c r="S1079" s="23">
        <v>-11000</v>
      </c>
      <c r="T1079" s="20">
        <v>107470</v>
      </c>
      <c r="U1079" s="23">
        <f t="shared" si="403"/>
        <v>96470</v>
      </c>
      <c r="V1079" s="7">
        <v>-43395</v>
      </c>
      <c r="W1079" s="23">
        <f t="shared" si="404"/>
        <v>139865</v>
      </c>
      <c r="X1079" s="23">
        <v>-665390</v>
      </c>
    </row>
    <row r="1080" spans="1:24" ht="15.75" x14ac:dyDescent="0.25">
      <c r="A1080" s="27" t="s">
        <v>97</v>
      </c>
      <c r="B1080" s="23">
        <v>16812</v>
      </c>
      <c r="C1080" s="20">
        <v>95500</v>
      </c>
      <c r="D1080" s="23">
        <f t="shared" si="399"/>
        <v>112312</v>
      </c>
      <c r="E1080" s="7">
        <v>19000</v>
      </c>
      <c r="F1080" s="23">
        <f t="shared" si="400"/>
        <v>93312</v>
      </c>
      <c r="G1080" s="23">
        <v>-412000</v>
      </c>
      <c r="J1080" s="27" t="s">
        <v>97</v>
      </c>
      <c r="K1080" s="23">
        <v>-20625</v>
      </c>
      <c r="L1080" s="20">
        <v>61625</v>
      </c>
      <c r="M1080" s="23">
        <f t="shared" si="401"/>
        <v>41000</v>
      </c>
      <c r="N1080" s="7">
        <v>-1500</v>
      </c>
      <c r="O1080" s="23">
        <f t="shared" si="402"/>
        <v>42500</v>
      </c>
      <c r="P1080" s="23">
        <v>-463500</v>
      </c>
      <c r="R1080" s="27" t="s">
        <v>97</v>
      </c>
      <c r="S1080" s="23">
        <v>-28625</v>
      </c>
      <c r="T1080" s="20">
        <v>5875</v>
      </c>
      <c r="U1080" s="23">
        <f t="shared" si="403"/>
        <v>-22750</v>
      </c>
      <c r="V1080" s="7">
        <v>500</v>
      </c>
      <c r="W1080" s="23">
        <f t="shared" si="404"/>
        <v>-23250</v>
      </c>
      <c r="X1080" s="23">
        <v>-463500</v>
      </c>
    </row>
    <row r="1081" spans="1:24" ht="15.75" x14ac:dyDescent="0.25">
      <c r="A1081" s="27" t="s">
        <v>62</v>
      </c>
      <c r="B1081" s="23">
        <v>-9712</v>
      </c>
      <c r="C1081" s="20">
        <v>86970</v>
      </c>
      <c r="D1081" s="23">
        <f t="shared" si="399"/>
        <v>77258</v>
      </c>
      <c r="E1081" s="7">
        <v>24225</v>
      </c>
      <c r="F1081" s="23">
        <f t="shared" si="400"/>
        <v>53033</v>
      </c>
      <c r="G1081" s="23">
        <v>-373267.5</v>
      </c>
      <c r="J1081" s="27" t="s">
        <v>62</v>
      </c>
      <c r="K1081" s="23">
        <v>23017</v>
      </c>
      <c r="L1081" s="20">
        <v>97883</v>
      </c>
      <c r="M1081" s="23">
        <f t="shared" si="401"/>
        <v>120900</v>
      </c>
      <c r="N1081" s="7">
        <v>14677.5</v>
      </c>
      <c r="O1081" s="23">
        <f t="shared" si="402"/>
        <v>106222.5</v>
      </c>
      <c r="P1081" s="23">
        <v>-465720</v>
      </c>
      <c r="R1081" s="27" t="s">
        <v>62</v>
      </c>
      <c r="S1081" s="23">
        <v>-11707</v>
      </c>
      <c r="T1081" s="20">
        <v>35100</v>
      </c>
      <c r="U1081" s="23">
        <f t="shared" si="403"/>
        <v>23393</v>
      </c>
      <c r="V1081" s="7">
        <v>10380</v>
      </c>
      <c r="W1081" s="23">
        <f t="shared" si="404"/>
        <v>13013</v>
      </c>
      <c r="X1081" s="23">
        <v>-465720</v>
      </c>
    </row>
    <row r="1082" spans="1:24" ht="15.75" x14ac:dyDescent="0.25">
      <c r="A1082" s="21" t="s">
        <v>107</v>
      </c>
      <c r="B1082" s="22">
        <f t="shared" ref="B1082:C1082" si="405">SUM(B1070:B1081)</f>
        <v>-37550</v>
      </c>
      <c r="C1082" s="18">
        <f t="shared" si="405"/>
        <v>301860</v>
      </c>
      <c r="D1082" s="23">
        <f t="shared" si="399"/>
        <v>264310</v>
      </c>
      <c r="E1082" s="18">
        <f t="shared" ref="E1082:G1082" si="406">SUM(E1070:E1081)</f>
        <v>113407.5</v>
      </c>
      <c r="F1082" s="23">
        <f t="shared" si="406"/>
        <v>150902.5</v>
      </c>
      <c r="G1082" s="17">
        <f t="shared" si="406"/>
        <v>-5258522.5</v>
      </c>
      <c r="J1082" s="21" t="s">
        <v>107</v>
      </c>
      <c r="K1082" s="22">
        <f t="shared" ref="K1082:L1082" si="407">SUM(K1070:K1081)</f>
        <v>-267631</v>
      </c>
      <c r="L1082" s="18">
        <f t="shared" si="407"/>
        <v>164115.5</v>
      </c>
      <c r="M1082" s="23">
        <f t="shared" si="401"/>
        <v>-103515.5</v>
      </c>
      <c r="N1082" s="18">
        <f t="shared" ref="N1082:P1082" si="408">SUM(N1070:N1081)</f>
        <v>18497.5</v>
      </c>
      <c r="O1082" s="23">
        <f t="shared" si="408"/>
        <v>-122013</v>
      </c>
      <c r="P1082" s="17">
        <f t="shared" si="408"/>
        <v>-4944230</v>
      </c>
      <c r="R1082" s="21" t="s">
        <v>107</v>
      </c>
      <c r="S1082" s="22">
        <f t="shared" ref="S1082:T1082" si="409">SUM(S1070:S1081)</f>
        <v>-134207</v>
      </c>
      <c r="T1082" s="18">
        <f t="shared" si="409"/>
        <v>452398.75</v>
      </c>
      <c r="U1082" s="23">
        <f t="shared" si="403"/>
        <v>318191.75</v>
      </c>
      <c r="V1082" s="18">
        <f t="shared" ref="V1082:X1082" si="410">SUM(V1070:V1081)</f>
        <v>18792.5</v>
      </c>
      <c r="W1082" s="23">
        <f t="shared" si="410"/>
        <v>299399.25</v>
      </c>
      <c r="X1082" s="17">
        <f t="shared" si="410"/>
        <v>-4944230</v>
      </c>
    </row>
    <row r="1086" spans="1:24" ht="15.75" x14ac:dyDescent="0.25">
      <c r="A1086" s="106">
        <v>45127</v>
      </c>
      <c r="B1086" s="106"/>
      <c r="C1086" s="106"/>
      <c r="D1086" s="106"/>
      <c r="E1086" s="106"/>
      <c r="F1086" s="106"/>
      <c r="G1086" s="106"/>
      <c r="J1086" s="106">
        <v>45128</v>
      </c>
      <c r="K1086" s="106"/>
      <c r="L1086" s="106"/>
      <c r="M1086" s="106"/>
      <c r="N1086" s="106"/>
      <c r="O1086" s="106"/>
      <c r="P1086" s="106"/>
      <c r="R1086" s="106">
        <v>45131</v>
      </c>
      <c r="S1086" s="106"/>
      <c r="T1086" s="106"/>
      <c r="U1086" s="106"/>
      <c r="V1086" s="106"/>
      <c r="W1086" s="106"/>
      <c r="X1086" s="106"/>
    </row>
    <row r="1087" spans="1:24" ht="15.75" x14ac:dyDescent="0.25">
      <c r="A1087" s="22" t="s">
        <v>34</v>
      </c>
      <c r="B1087" s="22" t="s">
        <v>104</v>
      </c>
      <c r="C1087" s="22" t="s">
        <v>105</v>
      </c>
      <c r="D1087" s="22" t="s">
        <v>112</v>
      </c>
      <c r="E1087" s="22" t="s">
        <v>106</v>
      </c>
      <c r="F1087" s="21" t="s">
        <v>108</v>
      </c>
      <c r="G1087" s="21" t="s">
        <v>28</v>
      </c>
      <c r="J1087" s="22" t="s">
        <v>34</v>
      </c>
      <c r="K1087" s="22" t="s">
        <v>104</v>
      </c>
      <c r="L1087" s="22" t="s">
        <v>105</v>
      </c>
      <c r="M1087" s="22" t="s">
        <v>112</v>
      </c>
      <c r="N1087" s="22" t="s">
        <v>106</v>
      </c>
      <c r="O1087" s="21" t="s">
        <v>108</v>
      </c>
      <c r="P1087" s="21" t="s">
        <v>28</v>
      </c>
      <c r="R1087" s="22" t="s">
        <v>34</v>
      </c>
      <c r="S1087" s="22" t="s">
        <v>104</v>
      </c>
      <c r="T1087" s="22" t="s">
        <v>105</v>
      </c>
      <c r="U1087" s="22" t="s">
        <v>112</v>
      </c>
      <c r="V1087" s="22" t="s">
        <v>106</v>
      </c>
      <c r="W1087" s="21" t="s">
        <v>108</v>
      </c>
      <c r="X1087" s="21" t="s">
        <v>28</v>
      </c>
    </row>
    <row r="1088" spans="1:24" ht="15.75" x14ac:dyDescent="0.25">
      <c r="A1088" s="27" t="s">
        <v>76</v>
      </c>
      <c r="B1088" s="23">
        <v>-15120</v>
      </c>
      <c r="C1088" s="20">
        <v>63990</v>
      </c>
      <c r="D1088" s="23">
        <f t="shared" ref="D1088:D1100" si="411">+C1088+B1088</f>
        <v>48870</v>
      </c>
      <c r="E1088" s="7"/>
      <c r="F1088" s="23">
        <f t="shared" ref="F1088:F1099" si="412">+B1088+C1088-E1088</f>
        <v>48870</v>
      </c>
      <c r="G1088" s="23">
        <v>-402300</v>
      </c>
      <c r="J1088" s="27" t="s">
        <v>76</v>
      </c>
      <c r="K1088" s="23">
        <v>-8910</v>
      </c>
      <c r="L1088" s="20">
        <v>101790</v>
      </c>
      <c r="M1088" s="23">
        <f t="shared" ref="M1088:M1100" si="413">+L1088+K1088</f>
        <v>92880</v>
      </c>
      <c r="N1088" s="7"/>
      <c r="O1088" s="23">
        <f t="shared" ref="O1088:O1099" si="414">+K1088+L1088-N1088</f>
        <v>92880</v>
      </c>
      <c r="P1088" s="23">
        <v>-362880</v>
      </c>
      <c r="R1088" s="27" t="s">
        <v>76</v>
      </c>
      <c r="S1088" s="23">
        <v>11880</v>
      </c>
      <c r="T1088" s="20">
        <v>82890</v>
      </c>
      <c r="U1088" s="23">
        <f t="shared" ref="U1088:U1098" si="415">+T1088+S1088</f>
        <v>94770</v>
      </c>
      <c r="V1088" s="7"/>
      <c r="W1088" s="23">
        <f t="shared" ref="W1088:W1097" si="416">+S1088+T1088-V1088</f>
        <v>94770</v>
      </c>
      <c r="X1088" s="23">
        <v>-56160</v>
      </c>
    </row>
    <row r="1089" spans="1:24" ht="15.75" x14ac:dyDescent="0.25">
      <c r="A1089" s="27" t="s">
        <v>71</v>
      </c>
      <c r="B1089" s="23">
        <v>-5100</v>
      </c>
      <c r="C1089" s="20">
        <v>66555</v>
      </c>
      <c r="D1089" s="23">
        <f t="shared" si="411"/>
        <v>61455</v>
      </c>
      <c r="E1089" s="7"/>
      <c r="F1089" s="23">
        <f t="shared" si="412"/>
        <v>61455</v>
      </c>
      <c r="G1089" s="23">
        <v>-375190</v>
      </c>
      <c r="J1089" s="27" t="s">
        <v>71</v>
      </c>
      <c r="K1089" s="23">
        <v>765</v>
      </c>
      <c r="L1089" s="20">
        <v>125205</v>
      </c>
      <c r="M1089" s="23">
        <f t="shared" si="413"/>
        <v>125970</v>
      </c>
      <c r="N1089" s="7"/>
      <c r="O1089" s="23">
        <f t="shared" si="414"/>
        <v>125970</v>
      </c>
      <c r="P1089" s="23">
        <v>-347225</v>
      </c>
      <c r="R1089" s="27" t="s">
        <v>71</v>
      </c>
      <c r="S1089" s="23">
        <v>6120</v>
      </c>
      <c r="T1089" s="20">
        <v>93670</v>
      </c>
      <c r="U1089" s="23">
        <f t="shared" si="415"/>
        <v>99790</v>
      </c>
      <c r="V1089" s="7"/>
      <c r="W1089" s="23">
        <f t="shared" si="416"/>
        <v>99790</v>
      </c>
      <c r="X1089" s="23">
        <v>0</v>
      </c>
    </row>
    <row r="1090" spans="1:24" ht="15.75" x14ac:dyDescent="0.25">
      <c r="A1090" s="27" t="s">
        <v>90</v>
      </c>
      <c r="B1090" s="23"/>
      <c r="C1090" s="20">
        <v>0</v>
      </c>
      <c r="D1090" s="23">
        <f t="shared" si="411"/>
        <v>0</v>
      </c>
      <c r="E1090" s="7"/>
      <c r="F1090" s="23">
        <f t="shared" si="412"/>
        <v>0</v>
      </c>
      <c r="G1090" s="23">
        <v>0</v>
      </c>
      <c r="J1090" s="27" t="s">
        <v>83</v>
      </c>
      <c r="K1090" s="23">
        <v>9720</v>
      </c>
      <c r="L1090" s="20">
        <v>137160</v>
      </c>
      <c r="M1090" s="23">
        <f t="shared" si="413"/>
        <v>146880</v>
      </c>
      <c r="N1090" s="7"/>
      <c r="O1090" s="23">
        <f t="shared" si="414"/>
        <v>146880</v>
      </c>
      <c r="P1090" s="23">
        <v>0</v>
      </c>
      <c r="R1090" s="27" t="s">
        <v>82</v>
      </c>
      <c r="S1090" s="23">
        <v>-88397</v>
      </c>
      <c r="T1090" s="20">
        <v>166202.5</v>
      </c>
      <c r="U1090" s="23">
        <f t="shared" si="415"/>
        <v>77805.5</v>
      </c>
      <c r="V1090" s="7"/>
      <c r="W1090" s="23">
        <f t="shared" si="416"/>
        <v>77805.5</v>
      </c>
      <c r="X1090" s="23">
        <v>0</v>
      </c>
    </row>
    <row r="1091" spans="1:24" ht="15.75" x14ac:dyDescent="0.25">
      <c r="A1091" s="27" t="s">
        <v>83</v>
      </c>
      <c r="B1091" s="23">
        <v>16740</v>
      </c>
      <c r="C1091" s="20">
        <v>-14310</v>
      </c>
      <c r="D1091" s="23">
        <f t="shared" si="411"/>
        <v>2430</v>
      </c>
      <c r="E1091" s="7"/>
      <c r="F1091" s="23">
        <f t="shared" si="412"/>
        <v>2430</v>
      </c>
      <c r="G1091" s="23">
        <v>-640575</v>
      </c>
      <c r="J1091" s="27" t="s">
        <v>82</v>
      </c>
      <c r="K1091" s="23">
        <v>-24130</v>
      </c>
      <c r="L1091" s="20">
        <v>120270</v>
      </c>
      <c r="M1091" s="23">
        <f t="shared" si="413"/>
        <v>96140</v>
      </c>
      <c r="N1091" s="7"/>
      <c r="O1091" s="23">
        <f t="shared" si="414"/>
        <v>96140</v>
      </c>
      <c r="P1091" s="23">
        <v>-393015</v>
      </c>
      <c r="R1091" s="27" t="s">
        <v>43</v>
      </c>
      <c r="S1091" s="23">
        <v>-82125</v>
      </c>
      <c r="T1091" s="20">
        <v>179000</v>
      </c>
      <c r="U1091" s="23">
        <f t="shared" si="415"/>
        <v>96875</v>
      </c>
      <c r="V1091" s="7"/>
      <c r="W1091" s="23">
        <f t="shared" si="416"/>
        <v>96875</v>
      </c>
      <c r="X1091" s="23">
        <v>0</v>
      </c>
    </row>
    <row r="1092" spans="1:24" ht="15.75" x14ac:dyDescent="0.25">
      <c r="A1092" s="27" t="s">
        <v>82</v>
      </c>
      <c r="B1092" s="23">
        <v>1377</v>
      </c>
      <c r="C1092" s="20">
        <v>168577.5</v>
      </c>
      <c r="D1092" s="23">
        <f t="shared" si="411"/>
        <v>169954.5</v>
      </c>
      <c r="E1092" s="7"/>
      <c r="F1092" s="23">
        <f t="shared" si="412"/>
        <v>169954.5</v>
      </c>
      <c r="G1092" s="23">
        <v>-476377.5</v>
      </c>
      <c r="J1092" s="27" t="s">
        <v>43</v>
      </c>
      <c r="K1092" s="23">
        <v>-812</v>
      </c>
      <c r="L1092" s="20">
        <v>83750</v>
      </c>
      <c r="M1092" s="23">
        <f t="shared" si="413"/>
        <v>82938</v>
      </c>
      <c r="N1092" s="7"/>
      <c r="O1092" s="23">
        <f t="shared" si="414"/>
        <v>82938</v>
      </c>
      <c r="P1092" s="23">
        <v>-438000</v>
      </c>
      <c r="R1092" s="27" t="s">
        <v>15</v>
      </c>
      <c r="S1092" s="23">
        <v>17182</v>
      </c>
      <c r="T1092" s="20">
        <v>-62000</v>
      </c>
      <c r="U1092" s="23">
        <f t="shared" si="415"/>
        <v>-44818</v>
      </c>
      <c r="V1092" s="7"/>
      <c r="W1092" s="23">
        <f t="shared" si="416"/>
        <v>-44818</v>
      </c>
      <c r="X1092" s="23">
        <v>0</v>
      </c>
    </row>
    <row r="1093" spans="1:24" ht="15.75" x14ac:dyDescent="0.25">
      <c r="A1093" s="27" t="s">
        <v>43</v>
      </c>
      <c r="B1093" s="23">
        <v>-375</v>
      </c>
      <c r="C1093" s="20">
        <v>69500</v>
      </c>
      <c r="D1093" s="23">
        <f t="shared" si="411"/>
        <v>69125</v>
      </c>
      <c r="E1093" s="7"/>
      <c r="F1093" s="23">
        <f t="shared" si="412"/>
        <v>69125</v>
      </c>
      <c r="G1093" s="23">
        <v>-369000</v>
      </c>
      <c r="J1093" s="27" t="s">
        <v>15</v>
      </c>
      <c r="K1093" s="23">
        <v>34125</v>
      </c>
      <c r="L1093" s="20">
        <v>41000.000000000007</v>
      </c>
      <c r="M1093" s="23">
        <f t="shared" si="413"/>
        <v>75125</v>
      </c>
      <c r="N1093" s="7"/>
      <c r="O1093" s="23">
        <f t="shared" si="414"/>
        <v>75125</v>
      </c>
      <c r="P1093" s="23">
        <v>-353000</v>
      </c>
      <c r="R1093" s="27" t="s">
        <v>75</v>
      </c>
      <c r="S1093" s="23">
        <v>-62300</v>
      </c>
      <c r="T1093" s="20">
        <v>150000</v>
      </c>
      <c r="U1093" s="23">
        <f t="shared" si="415"/>
        <v>87700</v>
      </c>
      <c r="V1093" s="7"/>
      <c r="W1093" s="23">
        <f t="shared" si="416"/>
        <v>87700</v>
      </c>
      <c r="X1093" s="23">
        <v>0</v>
      </c>
    </row>
    <row r="1094" spans="1:24" ht="15.75" x14ac:dyDescent="0.25">
      <c r="A1094" s="27" t="s">
        <v>15</v>
      </c>
      <c r="B1094" s="23">
        <v>5562</v>
      </c>
      <c r="C1094" s="20">
        <v>20750</v>
      </c>
      <c r="D1094" s="23">
        <f t="shared" si="411"/>
        <v>26312</v>
      </c>
      <c r="E1094" s="7"/>
      <c r="F1094" s="23">
        <f t="shared" si="412"/>
        <v>26312</v>
      </c>
      <c r="G1094" s="23">
        <v>-450500</v>
      </c>
      <c r="J1094" s="27" t="s">
        <v>75</v>
      </c>
      <c r="K1094" s="23">
        <v>-8200</v>
      </c>
      <c r="L1094" s="20">
        <v>85000</v>
      </c>
      <c r="M1094" s="23">
        <f t="shared" si="413"/>
        <v>76800</v>
      </c>
      <c r="N1094" s="7"/>
      <c r="O1094" s="23">
        <f t="shared" si="414"/>
        <v>76800</v>
      </c>
      <c r="P1094" s="23">
        <v>-314000</v>
      </c>
      <c r="R1094" s="27" t="s">
        <v>61</v>
      </c>
      <c r="S1094" s="23">
        <v>-88330</v>
      </c>
      <c r="T1094" s="20">
        <v>120450</v>
      </c>
      <c r="U1094" s="23">
        <f t="shared" si="415"/>
        <v>32120</v>
      </c>
      <c r="V1094" s="7"/>
      <c r="W1094" s="23">
        <f t="shared" si="416"/>
        <v>32120</v>
      </c>
      <c r="X1094" s="23">
        <v>0</v>
      </c>
    </row>
    <row r="1095" spans="1:24" ht="15.75" x14ac:dyDescent="0.25">
      <c r="A1095" s="27" t="s">
        <v>75</v>
      </c>
      <c r="B1095" s="23">
        <v>-5500</v>
      </c>
      <c r="C1095" s="20">
        <v>82000</v>
      </c>
      <c r="D1095" s="23">
        <f t="shared" si="411"/>
        <v>76500</v>
      </c>
      <c r="E1095" s="7"/>
      <c r="F1095" s="23">
        <f t="shared" si="412"/>
        <v>76500</v>
      </c>
      <c r="G1095" s="23">
        <v>-263000</v>
      </c>
      <c r="J1095" s="27" t="s">
        <v>80</v>
      </c>
      <c r="K1095" s="23">
        <v>64200</v>
      </c>
      <c r="L1095" s="20">
        <v>102399.99999999999</v>
      </c>
      <c r="M1095" s="23">
        <f t="shared" si="413"/>
        <v>166600</v>
      </c>
      <c r="N1095" s="7"/>
      <c r="O1095" s="23">
        <f t="shared" si="414"/>
        <v>166600</v>
      </c>
      <c r="P1095" s="23">
        <v>0</v>
      </c>
      <c r="R1095" s="27" t="s">
        <v>97</v>
      </c>
      <c r="S1095" s="23">
        <v>-37500</v>
      </c>
      <c r="T1095" s="20">
        <v>139000</v>
      </c>
      <c r="U1095" s="23">
        <f t="shared" si="415"/>
        <v>101500</v>
      </c>
      <c r="V1095" s="7"/>
      <c r="W1095" s="23">
        <f t="shared" si="416"/>
        <v>101500</v>
      </c>
      <c r="X1095" s="23">
        <v>0</v>
      </c>
    </row>
    <row r="1096" spans="1:24" ht="15.75" x14ac:dyDescent="0.25">
      <c r="A1096" s="27" t="s">
        <v>80</v>
      </c>
      <c r="B1096" s="23">
        <v>3800</v>
      </c>
      <c r="C1096" s="20">
        <v>83600</v>
      </c>
      <c r="D1096" s="23">
        <f t="shared" si="411"/>
        <v>87400</v>
      </c>
      <c r="E1096" s="7"/>
      <c r="F1096" s="23">
        <f t="shared" si="412"/>
        <v>87400</v>
      </c>
      <c r="G1096" s="23">
        <v>-416800</v>
      </c>
      <c r="J1096" s="27" t="s">
        <v>61</v>
      </c>
      <c r="K1096" s="23">
        <v>-154880</v>
      </c>
      <c r="L1096" s="20">
        <v>302170</v>
      </c>
      <c r="M1096" s="23">
        <f t="shared" si="413"/>
        <v>147290</v>
      </c>
      <c r="N1096" s="7"/>
      <c r="O1096" s="23">
        <f t="shared" si="414"/>
        <v>147290</v>
      </c>
      <c r="P1096" s="23">
        <v>-297550</v>
      </c>
      <c r="R1096" s="27" t="s">
        <v>62</v>
      </c>
      <c r="S1096" s="23">
        <v>62752</v>
      </c>
      <c r="T1096" s="20">
        <v>31462.5</v>
      </c>
      <c r="U1096" s="23">
        <f t="shared" si="415"/>
        <v>94214.5</v>
      </c>
      <c r="V1096" s="7"/>
      <c r="W1096" s="23">
        <f t="shared" si="416"/>
        <v>94214.5</v>
      </c>
      <c r="X1096" s="23">
        <v>0</v>
      </c>
    </row>
    <row r="1097" spans="1:24" ht="15.75" x14ac:dyDescent="0.25">
      <c r="A1097" s="27" t="s">
        <v>61</v>
      </c>
      <c r="B1097" s="23">
        <v>12375</v>
      </c>
      <c r="C1097" s="20">
        <v>75735</v>
      </c>
      <c r="D1097" s="23">
        <f t="shared" si="411"/>
        <v>88110</v>
      </c>
      <c r="E1097" s="7"/>
      <c r="F1097" s="23">
        <f t="shared" si="412"/>
        <v>88110</v>
      </c>
      <c r="G1097" s="23">
        <v>-629200</v>
      </c>
      <c r="J1097" s="27" t="s">
        <v>97</v>
      </c>
      <c r="K1097" s="23">
        <v>-27562</v>
      </c>
      <c r="L1097" s="20">
        <v>115250</v>
      </c>
      <c r="M1097" s="23">
        <f t="shared" si="413"/>
        <v>87688</v>
      </c>
      <c r="N1097" s="7"/>
      <c r="O1097" s="23">
        <f t="shared" si="414"/>
        <v>87688</v>
      </c>
      <c r="P1097" s="23">
        <v>-315000</v>
      </c>
      <c r="R1097" s="27" t="s">
        <v>89</v>
      </c>
      <c r="S1097" s="23">
        <v>-45675</v>
      </c>
      <c r="T1097" s="20">
        <v>131950</v>
      </c>
      <c r="U1097" s="23">
        <f t="shared" si="415"/>
        <v>86275</v>
      </c>
      <c r="V1097" s="7"/>
      <c r="W1097" s="23">
        <f t="shared" si="416"/>
        <v>86275</v>
      </c>
      <c r="X1097" s="23">
        <v>0</v>
      </c>
    </row>
    <row r="1098" spans="1:24" ht="15.75" x14ac:dyDescent="0.25">
      <c r="A1098" s="27" t="s">
        <v>97</v>
      </c>
      <c r="B1098" s="23">
        <v>-5500</v>
      </c>
      <c r="C1098" s="20">
        <v>83500</v>
      </c>
      <c r="D1098" s="23">
        <f t="shared" si="411"/>
        <v>78000</v>
      </c>
      <c r="E1098" s="7"/>
      <c r="F1098" s="23">
        <f t="shared" si="412"/>
        <v>78000</v>
      </c>
      <c r="G1098" s="23">
        <v>-392000</v>
      </c>
      <c r="J1098" s="27" t="s">
        <v>62</v>
      </c>
      <c r="K1098" s="23">
        <v>50662</v>
      </c>
      <c r="L1098" s="20">
        <v>147712.5</v>
      </c>
      <c r="M1098" s="23">
        <f t="shared" si="413"/>
        <v>198374.5</v>
      </c>
      <c r="N1098" s="7"/>
      <c r="O1098" s="23">
        <f t="shared" si="414"/>
        <v>198374.5</v>
      </c>
      <c r="P1098" s="23">
        <v>-290025</v>
      </c>
      <c r="R1098" s="21" t="s">
        <v>107</v>
      </c>
      <c r="S1098" s="22">
        <f>SUM(S1088:S1097)</f>
        <v>-306393</v>
      </c>
      <c r="T1098" s="18">
        <f>SUM(T1088:T1097)</f>
        <v>1032625</v>
      </c>
      <c r="U1098" s="23">
        <f t="shared" si="415"/>
        <v>726232</v>
      </c>
      <c r="V1098" s="18">
        <f>SUM(V1088:V1097)</f>
        <v>0</v>
      </c>
      <c r="W1098" s="23">
        <f>SUM(W1088:W1097)</f>
        <v>726232</v>
      </c>
      <c r="X1098" s="17">
        <f>SUM(X1088:X1097)</f>
        <v>-56160</v>
      </c>
    </row>
    <row r="1099" spans="1:24" ht="15.75" x14ac:dyDescent="0.25">
      <c r="A1099" s="27" t="s">
        <v>62</v>
      </c>
      <c r="B1099" s="23">
        <v>16065</v>
      </c>
      <c r="C1099" s="20">
        <v>70365</v>
      </c>
      <c r="D1099" s="23">
        <f t="shared" si="411"/>
        <v>86430</v>
      </c>
      <c r="E1099" s="7"/>
      <c r="F1099" s="23">
        <f t="shared" si="412"/>
        <v>86430</v>
      </c>
      <c r="G1099" s="23">
        <v>-381165</v>
      </c>
      <c r="J1099" s="27" t="s">
        <v>89</v>
      </c>
      <c r="K1099" s="23">
        <v>39440</v>
      </c>
      <c r="L1099" s="20">
        <v>0</v>
      </c>
      <c r="M1099" s="23">
        <f t="shared" si="413"/>
        <v>39440</v>
      </c>
      <c r="N1099" s="7"/>
      <c r="O1099" s="23">
        <f t="shared" si="414"/>
        <v>39440</v>
      </c>
      <c r="P1099" s="23">
        <v>-288550</v>
      </c>
    </row>
    <row r="1100" spans="1:24" ht="15.75" x14ac:dyDescent="0.25">
      <c r="A1100" s="21" t="s">
        <v>107</v>
      </c>
      <c r="B1100" s="22">
        <f t="shared" ref="B1100:C1100" si="417">SUM(B1088:B1099)</f>
        <v>24324</v>
      </c>
      <c r="C1100" s="18">
        <f t="shared" si="417"/>
        <v>770262.5</v>
      </c>
      <c r="D1100" s="23">
        <f t="shared" si="411"/>
        <v>794586.5</v>
      </c>
      <c r="E1100" s="18">
        <f t="shared" ref="E1100:G1100" si="418">SUM(E1088:E1099)</f>
        <v>0</v>
      </c>
      <c r="F1100" s="23">
        <f t="shared" si="418"/>
        <v>794586.5</v>
      </c>
      <c r="G1100" s="17">
        <f t="shared" si="418"/>
        <v>-4796107.5</v>
      </c>
      <c r="J1100" s="21" t="s">
        <v>107</v>
      </c>
      <c r="K1100" s="22">
        <f t="shared" ref="K1100:L1100" si="419">SUM(K1088:K1099)</f>
        <v>-25582</v>
      </c>
      <c r="L1100" s="18">
        <f t="shared" si="419"/>
        <v>1361707.5</v>
      </c>
      <c r="M1100" s="23">
        <f t="shared" si="413"/>
        <v>1336125.5</v>
      </c>
      <c r="N1100" s="18">
        <f t="shared" ref="N1100:P1100" si="420">SUM(N1088:N1099)</f>
        <v>0</v>
      </c>
      <c r="O1100" s="23">
        <f t="shared" si="420"/>
        <v>1336125.5</v>
      </c>
      <c r="P1100" s="17">
        <f t="shared" si="420"/>
        <v>-3399245</v>
      </c>
    </row>
    <row r="1103" spans="1:24" ht="15.75" x14ac:dyDescent="0.25">
      <c r="A1103" s="106">
        <v>45132</v>
      </c>
      <c r="B1103" s="106"/>
      <c r="C1103" s="106"/>
      <c r="D1103" s="106"/>
      <c r="E1103" s="106"/>
      <c r="F1103" s="106"/>
      <c r="G1103" s="106"/>
    </row>
    <row r="1104" spans="1:24" ht="15.75" x14ac:dyDescent="0.25">
      <c r="A1104" s="22" t="s">
        <v>34</v>
      </c>
      <c r="B1104" s="22" t="s">
        <v>104</v>
      </c>
      <c r="C1104" s="22" t="s">
        <v>105</v>
      </c>
      <c r="D1104" s="22" t="s">
        <v>112</v>
      </c>
      <c r="E1104" s="22" t="s">
        <v>106</v>
      </c>
      <c r="F1104" s="21" t="s">
        <v>108</v>
      </c>
      <c r="G1104" s="21" t="s">
        <v>28</v>
      </c>
    </row>
    <row r="1105" spans="1:7" ht="15.75" x14ac:dyDescent="0.25">
      <c r="A1105" s="27" t="s">
        <v>76</v>
      </c>
      <c r="B1105" s="23">
        <v>4320</v>
      </c>
      <c r="C1105" s="20">
        <v>15120</v>
      </c>
      <c r="D1105" s="23">
        <f t="shared" ref="D1105:D1115" si="421">+C1105+B1105</f>
        <v>19440</v>
      </c>
      <c r="E1105" s="7">
        <v>-8460</v>
      </c>
      <c r="F1105" s="23">
        <f t="shared" ref="F1105:F1114" si="422">+B1105+C1105-E1105</f>
        <v>27900</v>
      </c>
      <c r="G1105" s="23">
        <v>0</v>
      </c>
    </row>
    <row r="1106" spans="1:7" ht="15.75" x14ac:dyDescent="0.25">
      <c r="A1106" s="27" t="s">
        <v>71</v>
      </c>
      <c r="B1106" s="23"/>
      <c r="C1106" s="20"/>
      <c r="D1106" s="23">
        <f t="shared" si="421"/>
        <v>0</v>
      </c>
      <c r="E1106" s="7"/>
      <c r="F1106" s="23">
        <f t="shared" si="422"/>
        <v>0</v>
      </c>
      <c r="G1106" s="23">
        <v>0</v>
      </c>
    </row>
    <row r="1107" spans="1:7" ht="15.75" x14ac:dyDescent="0.25">
      <c r="A1107" s="27" t="s">
        <v>82</v>
      </c>
      <c r="B1107" s="23"/>
      <c r="C1107" s="20"/>
      <c r="D1107" s="23">
        <f t="shared" si="421"/>
        <v>0</v>
      </c>
      <c r="E1107" s="7"/>
      <c r="F1107" s="23">
        <f t="shared" si="422"/>
        <v>0</v>
      </c>
      <c r="G1107" s="23">
        <v>0</v>
      </c>
    </row>
    <row r="1108" spans="1:7" ht="15.75" x14ac:dyDescent="0.25">
      <c r="A1108" s="27" t="s">
        <v>43</v>
      </c>
      <c r="B1108" s="23"/>
      <c r="C1108" s="20"/>
      <c r="D1108" s="23">
        <f t="shared" si="421"/>
        <v>0</v>
      </c>
      <c r="E1108" s="7"/>
      <c r="F1108" s="23">
        <f t="shared" si="422"/>
        <v>0</v>
      </c>
      <c r="G1108" s="23">
        <v>0</v>
      </c>
    </row>
    <row r="1109" spans="1:7" ht="15.75" x14ac:dyDescent="0.25">
      <c r="A1109" s="27" t="s">
        <v>15</v>
      </c>
      <c r="B1109" s="23"/>
      <c r="C1109" s="20"/>
      <c r="D1109" s="23">
        <f t="shared" si="421"/>
        <v>0</v>
      </c>
      <c r="E1109" s="7"/>
      <c r="F1109" s="23">
        <f t="shared" si="422"/>
        <v>0</v>
      </c>
      <c r="G1109" s="23">
        <v>0</v>
      </c>
    </row>
    <row r="1110" spans="1:7" ht="15.75" x14ac:dyDescent="0.25">
      <c r="A1110" s="27" t="s">
        <v>75</v>
      </c>
      <c r="B1110" s="23"/>
      <c r="C1110" s="20"/>
      <c r="D1110" s="23">
        <f t="shared" si="421"/>
        <v>0</v>
      </c>
      <c r="E1110" s="7"/>
      <c r="F1110" s="23">
        <f t="shared" si="422"/>
        <v>0</v>
      </c>
      <c r="G1110" s="23">
        <v>0</v>
      </c>
    </row>
    <row r="1111" spans="1:7" ht="15.75" x14ac:dyDescent="0.25">
      <c r="A1111" s="27" t="s">
        <v>61</v>
      </c>
      <c r="B1111" s="23"/>
      <c r="C1111" s="20"/>
      <c r="D1111" s="23">
        <f t="shared" si="421"/>
        <v>0</v>
      </c>
      <c r="E1111" s="7"/>
      <c r="F1111" s="23">
        <f t="shared" si="422"/>
        <v>0</v>
      </c>
      <c r="G1111" s="23">
        <v>0</v>
      </c>
    </row>
    <row r="1112" spans="1:7" ht="15.75" x14ac:dyDescent="0.25">
      <c r="A1112" s="27" t="s">
        <v>97</v>
      </c>
      <c r="B1112" s="23"/>
      <c r="C1112" s="20"/>
      <c r="D1112" s="23">
        <f t="shared" si="421"/>
        <v>0</v>
      </c>
      <c r="E1112" s="7"/>
      <c r="F1112" s="23">
        <f t="shared" si="422"/>
        <v>0</v>
      </c>
      <c r="G1112" s="23">
        <v>0</v>
      </c>
    </row>
    <row r="1113" spans="1:7" ht="15.75" x14ac:dyDescent="0.25">
      <c r="A1113" s="27" t="s">
        <v>62</v>
      </c>
      <c r="B1113" s="23"/>
      <c r="C1113" s="20"/>
      <c r="D1113" s="23">
        <f t="shared" si="421"/>
        <v>0</v>
      </c>
      <c r="E1113" s="7"/>
      <c r="F1113" s="23">
        <f t="shared" si="422"/>
        <v>0</v>
      </c>
      <c r="G1113" s="23">
        <v>0</v>
      </c>
    </row>
    <row r="1114" spans="1:7" ht="15.75" x14ac:dyDescent="0.25">
      <c r="A1114" s="27" t="s">
        <v>89</v>
      </c>
      <c r="B1114" s="23"/>
      <c r="C1114" s="20"/>
      <c r="D1114" s="23">
        <f t="shared" si="421"/>
        <v>0</v>
      </c>
      <c r="E1114" s="7"/>
      <c r="F1114" s="23">
        <f t="shared" si="422"/>
        <v>0</v>
      </c>
      <c r="G1114" s="23">
        <v>0</v>
      </c>
    </row>
    <row r="1115" spans="1:7" ht="15.75" x14ac:dyDescent="0.25">
      <c r="A1115" s="21" t="s">
        <v>107</v>
      </c>
      <c r="B1115" s="22">
        <f>SUM(B1105:B1114)</f>
        <v>4320</v>
      </c>
      <c r="C1115" s="18">
        <f>SUM(C1105:C1114)</f>
        <v>15120</v>
      </c>
      <c r="D1115" s="23">
        <f t="shared" si="421"/>
        <v>19440</v>
      </c>
      <c r="E1115" s="18">
        <f>SUM(E1105:E1114)</f>
        <v>-8460</v>
      </c>
      <c r="F1115" s="23">
        <f>SUM(F1105:F1114)</f>
        <v>27900</v>
      </c>
      <c r="G1115" s="17">
        <f>SUM(G1105:G1114)</f>
        <v>0</v>
      </c>
    </row>
    <row r="1120" spans="1:7" x14ac:dyDescent="0.25">
      <c r="B1120" s="138" t="s">
        <v>126</v>
      </c>
      <c r="C1120" s="138"/>
      <c r="D1120" s="138"/>
      <c r="E1120" s="138"/>
    </row>
    <row r="1121" spans="1:18" x14ac:dyDescent="0.25">
      <c r="B1121" s="138"/>
      <c r="C1121" s="138"/>
      <c r="D1121" s="138"/>
      <c r="E1121" s="138"/>
    </row>
    <row r="1122" spans="1:18" x14ac:dyDescent="0.25">
      <c r="B1122" s="138"/>
      <c r="C1122" s="138"/>
      <c r="D1122" s="138"/>
      <c r="E1122" s="138"/>
    </row>
    <row r="1123" spans="1:18" x14ac:dyDescent="0.25">
      <c r="B1123" s="138"/>
      <c r="C1123" s="138"/>
      <c r="D1123" s="138"/>
      <c r="E1123" s="138"/>
    </row>
    <row r="1127" spans="1:18" ht="15.75" x14ac:dyDescent="0.25">
      <c r="A1127" s="106">
        <v>45152</v>
      </c>
      <c r="B1127" s="106"/>
      <c r="C1127" s="106"/>
      <c r="D1127" s="106"/>
      <c r="E1127" s="106"/>
      <c r="F1127" s="106"/>
      <c r="G1127" s="106"/>
      <c r="K1127" s="106">
        <v>45154</v>
      </c>
      <c r="L1127" s="106"/>
      <c r="M1127" s="106"/>
      <c r="N1127" s="106"/>
      <c r="O1127" s="106"/>
      <c r="P1127" s="106"/>
      <c r="Q1127" s="106"/>
    </row>
    <row r="1128" spans="1:18" ht="15.75" x14ac:dyDescent="0.25">
      <c r="A1128" s="22" t="s">
        <v>34</v>
      </c>
      <c r="B1128" s="22" t="s">
        <v>104</v>
      </c>
      <c r="C1128" s="22" t="s">
        <v>105</v>
      </c>
      <c r="D1128" s="22" t="s">
        <v>112</v>
      </c>
      <c r="E1128" s="22" t="s">
        <v>106</v>
      </c>
      <c r="F1128" s="21" t="s">
        <v>108</v>
      </c>
      <c r="G1128" s="21" t="s">
        <v>28</v>
      </c>
      <c r="K1128" s="22" t="s">
        <v>34</v>
      </c>
      <c r="L1128" s="22" t="s">
        <v>104</v>
      </c>
      <c r="M1128" s="22" t="s">
        <v>105</v>
      </c>
      <c r="N1128" s="22" t="s">
        <v>112</v>
      </c>
      <c r="O1128" s="22" t="s">
        <v>106</v>
      </c>
      <c r="P1128" s="21" t="s">
        <v>108</v>
      </c>
      <c r="Q1128" s="21" t="s">
        <v>28</v>
      </c>
    </row>
    <row r="1129" spans="1:18" ht="15.75" x14ac:dyDescent="0.25">
      <c r="A1129" s="27" t="s">
        <v>71</v>
      </c>
      <c r="B1129" s="23">
        <v>2890</v>
      </c>
      <c r="C1129" s="20"/>
      <c r="D1129" s="23">
        <f t="shared" ref="D1129:D1142" si="423">+C1129+B1129</f>
        <v>2890</v>
      </c>
      <c r="E1129" s="7"/>
      <c r="F1129" s="23">
        <f t="shared" ref="F1129:F1142" si="424">+B1129+C1129-E1129</f>
        <v>2890</v>
      </c>
      <c r="G1129" s="23">
        <v>-235705</v>
      </c>
      <c r="H1129">
        <v>19.899999999999999</v>
      </c>
      <c r="K1129" s="27" t="s">
        <v>71</v>
      </c>
      <c r="L1129" s="23">
        <v>-19465</v>
      </c>
      <c r="M1129" s="20">
        <v>19890</v>
      </c>
      <c r="N1129" s="23">
        <f t="shared" ref="N1129:N1142" si="425">+M1129+L1129</f>
        <v>425</v>
      </c>
      <c r="O1129" s="7">
        <v>595</v>
      </c>
      <c r="P1129" s="23">
        <f t="shared" ref="P1129:P1142" si="426">+L1129+M1129-O1129</f>
        <v>-170</v>
      </c>
      <c r="Q1129" s="23">
        <v>-279480</v>
      </c>
      <c r="R1129">
        <v>17.45</v>
      </c>
    </row>
    <row r="1130" spans="1:18" ht="15.75" x14ac:dyDescent="0.25">
      <c r="A1130" s="27" t="s">
        <v>61</v>
      </c>
      <c r="B1130" s="23">
        <v>11275</v>
      </c>
      <c r="C1130" s="20"/>
      <c r="D1130" s="23">
        <f t="shared" si="423"/>
        <v>11275</v>
      </c>
      <c r="E1130" s="7"/>
      <c r="F1130" s="23">
        <f t="shared" si="424"/>
        <v>11275</v>
      </c>
      <c r="G1130" s="23">
        <v>-90255</v>
      </c>
      <c r="H1130">
        <v>48.5</v>
      </c>
      <c r="K1130" s="27" t="s">
        <v>61</v>
      </c>
      <c r="L1130" s="23">
        <v>10945</v>
      </c>
      <c r="M1130" s="20">
        <v>19910</v>
      </c>
      <c r="N1130" s="23">
        <f t="shared" si="425"/>
        <v>30855</v>
      </c>
      <c r="O1130" s="7">
        <v>-3245</v>
      </c>
      <c r="P1130" s="23">
        <f t="shared" si="426"/>
        <v>34100</v>
      </c>
      <c r="Q1130" s="23">
        <v>-273680</v>
      </c>
      <c r="R1130">
        <v>42.05</v>
      </c>
    </row>
    <row r="1131" spans="1:18" ht="15.75" x14ac:dyDescent="0.25">
      <c r="A1131" s="27" t="s">
        <v>94</v>
      </c>
      <c r="B1131" s="23">
        <v>-12000</v>
      </c>
      <c r="C1131" s="20"/>
      <c r="D1131" s="23">
        <f t="shared" si="423"/>
        <v>-12000</v>
      </c>
      <c r="E1131" s="7"/>
      <c r="F1131" s="23">
        <f t="shared" si="424"/>
        <v>-12000</v>
      </c>
      <c r="G1131" s="23">
        <v>-186500</v>
      </c>
      <c r="H1131">
        <v>12.4</v>
      </c>
      <c r="K1131" s="27" t="s">
        <v>94</v>
      </c>
      <c r="L1131" s="23">
        <v>12875</v>
      </c>
      <c r="M1131" s="20">
        <v>3750</v>
      </c>
      <c r="N1131" s="23">
        <f t="shared" si="425"/>
        <v>16625</v>
      </c>
      <c r="O1131" s="7">
        <v>-8500</v>
      </c>
      <c r="P1131" s="23">
        <f t="shared" si="426"/>
        <v>25125</v>
      </c>
      <c r="Q1131" s="23">
        <v>-228250</v>
      </c>
      <c r="R1131">
        <v>11.2</v>
      </c>
    </row>
    <row r="1132" spans="1:18" ht="15.75" x14ac:dyDescent="0.25">
      <c r="A1132" s="27" t="s">
        <v>83</v>
      </c>
      <c r="B1132" s="23"/>
      <c r="C1132" s="20"/>
      <c r="D1132" s="23">
        <f t="shared" si="423"/>
        <v>0</v>
      </c>
      <c r="E1132" s="7"/>
      <c r="F1132" s="23">
        <f t="shared" si="424"/>
        <v>0</v>
      </c>
      <c r="G1132" s="23">
        <v>0</v>
      </c>
      <c r="H1132">
        <v>17.450000000000003</v>
      </c>
      <c r="K1132" s="27" t="s">
        <v>83</v>
      </c>
      <c r="L1132" s="23">
        <v>7695</v>
      </c>
      <c r="M1132" s="20">
        <v>0</v>
      </c>
      <c r="N1132" s="23">
        <f t="shared" si="425"/>
        <v>7695</v>
      </c>
      <c r="O1132" s="7">
        <v>0</v>
      </c>
      <c r="P1132" s="23">
        <f t="shared" si="426"/>
        <v>7695</v>
      </c>
      <c r="Q1132" s="23">
        <v>-271350</v>
      </c>
      <c r="R1132">
        <v>16.100000000000001</v>
      </c>
    </row>
    <row r="1133" spans="1:18" ht="15.75" x14ac:dyDescent="0.25">
      <c r="A1133" s="27" t="s">
        <v>42</v>
      </c>
      <c r="B1133" s="23"/>
      <c r="C1133" s="20"/>
      <c r="D1133" s="23">
        <f t="shared" si="423"/>
        <v>0</v>
      </c>
      <c r="E1133" s="7"/>
      <c r="F1133" s="23">
        <f t="shared" si="424"/>
        <v>0</v>
      </c>
      <c r="G1133" s="23">
        <v>0</v>
      </c>
      <c r="H1133">
        <v>2.2000000000000002</v>
      </c>
      <c r="K1133" s="27" t="s">
        <v>42</v>
      </c>
      <c r="L1133" s="23">
        <v>0</v>
      </c>
      <c r="M1133" s="20">
        <v>0</v>
      </c>
      <c r="N1133" s="23">
        <f t="shared" si="425"/>
        <v>0</v>
      </c>
      <c r="O1133" s="7">
        <v>0</v>
      </c>
      <c r="P1133" s="23">
        <f t="shared" si="426"/>
        <v>0</v>
      </c>
      <c r="Q1133" s="23">
        <v>0</v>
      </c>
      <c r="R1133">
        <v>22.9</v>
      </c>
    </row>
    <row r="1134" spans="1:18" ht="15.75" x14ac:dyDescent="0.25">
      <c r="A1134" s="27" t="s">
        <v>54</v>
      </c>
      <c r="B1134" s="23">
        <v>-22550</v>
      </c>
      <c r="C1134" s="20"/>
      <c r="D1134" s="23">
        <f t="shared" si="423"/>
        <v>-22550</v>
      </c>
      <c r="E1134" s="7"/>
      <c r="F1134" s="23">
        <f t="shared" si="424"/>
        <v>-22550</v>
      </c>
      <c r="G1134" s="23">
        <v>-263500</v>
      </c>
      <c r="H1134">
        <v>26.9</v>
      </c>
      <c r="K1134" s="27" t="s">
        <v>54</v>
      </c>
      <c r="L1134" s="23">
        <v>-4550</v>
      </c>
      <c r="M1134" s="20">
        <v>-13100</v>
      </c>
      <c r="N1134" s="23">
        <f t="shared" si="425"/>
        <v>-17650</v>
      </c>
      <c r="O1134" s="7">
        <v>-12850</v>
      </c>
      <c r="P1134" s="23">
        <f t="shared" si="426"/>
        <v>-4800</v>
      </c>
      <c r="Q1134" s="23">
        <v>-277000</v>
      </c>
      <c r="R1134">
        <v>26.5</v>
      </c>
    </row>
    <row r="1135" spans="1:18" ht="15.75" x14ac:dyDescent="0.25">
      <c r="A1135" s="27" t="s">
        <v>82</v>
      </c>
      <c r="B1135" s="23">
        <v>17242</v>
      </c>
      <c r="C1135" s="20"/>
      <c r="D1135" s="23">
        <f t="shared" si="423"/>
        <v>17242</v>
      </c>
      <c r="E1135" s="7"/>
      <c r="F1135" s="23">
        <f t="shared" si="424"/>
        <v>17242</v>
      </c>
      <c r="G1135" s="23">
        <v>-278231.25</v>
      </c>
      <c r="H1135">
        <v>80.55</v>
      </c>
      <c r="K1135" s="27" t="s">
        <v>82</v>
      </c>
      <c r="L1135" s="23">
        <v>-9951</v>
      </c>
      <c r="M1135" s="20">
        <v>13656.25</v>
      </c>
      <c r="N1135" s="23">
        <f t="shared" si="425"/>
        <v>3705.25</v>
      </c>
      <c r="O1135" s="7">
        <v>14368.75</v>
      </c>
      <c r="P1135" s="23">
        <f t="shared" si="426"/>
        <v>-10663.5</v>
      </c>
      <c r="Q1135" s="23">
        <v>-263506.25</v>
      </c>
      <c r="R1135">
        <v>73.05</v>
      </c>
    </row>
    <row r="1136" spans="1:18" ht="15.75" x14ac:dyDescent="0.25">
      <c r="A1136" s="27" t="s">
        <v>40</v>
      </c>
      <c r="B1136" s="23"/>
      <c r="C1136" s="20"/>
      <c r="D1136" s="23">
        <f t="shared" si="423"/>
        <v>0</v>
      </c>
      <c r="E1136" s="7"/>
      <c r="F1136" s="23">
        <f t="shared" si="424"/>
        <v>0</v>
      </c>
      <c r="G1136" s="23">
        <v>0</v>
      </c>
      <c r="H1136">
        <v>21.25</v>
      </c>
      <c r="K1136" s="27" t="s">
        <v>40</v>
      </c>
      <c r="L1136" s="23">
        <v>0</v>
      </c>
      <c r="M1136" s="20">
        <v>0</v>
      </c>
      <c r="N1136" s="23">
        <f t="shared" si="425"/>
        <v>0</v>
      </c>
      <c r="O1136" s="7">
        <v>0</v>
      </c>
      <c r="P1136" s="23">
        <f t="shared" si="426"/>
        <v>0</v>
      </c>
      <c r="Q1136" s="23">
        <v>0</v>
      </c>
      <c r="R1136">
        <v>19.100000000000001</v>
      </c>
    </row>
    <row r="1137" spans="1:20" ht="15.75" x14ac:dyDescent="0.25">
      <c r="A1137" s="27" t="s">
        <v>92</v>
      </c>
      <c r="B1137" s="23"/>
      <c r="C1137" s="20"/>
      <c r="D1137" s="23">
        <f t="shared" si="423"/>
        <v>0</v>
      </c>
      <c r="E1137" s="7"/>
      <c r="F1137" s="23">
        <f t="shared" si="424"/>
        <v>0</v>
      </c>
      <c r="G1137" s="23">
        <v>0</v>
      </c>
      <c r="H1137">
        <v>17.45</v>
      </c>
      <c r="K1137" s="27" t="s">
        <v>92</v>
      </c>
      <c r="L1137" s="23">
        <v>-4400</v>
      </c>
      <c r="M1137" s="20">
        <v>0</v>
      </c>
      <c r="N1137" s="23">
        <f t="shared" si="425"/>
        <v>-4400</v>
      </c>
      <c r="O1137" s="7">
        <v>0</v>
      </c>
      <c r="P1137" s="23">
        <f t="shared" si="426"/>
        <v>-4400</v>
      </c>
      <c r="Q1137" s="23">
        <v>-270000</v>
      </c>
      <c r="R1137">
        <v>16.25</v>
      </c>
      <c r="T1137" s="34"/>
    </row>
    <row r="1138" spans="1:20" ht="15.75" x14ac:dyDescent="0.25">
      <c r="A1138" s="27" t="s">
        <v>96</v>
      </c>
      <c r="B1138" s="23"/>
      <c r="C1138" s="20"/>
      <c r="D1138" s="23">
        <f t="shared" si="423"/>
        <v>0</v>
      </c>
      <c r="E1138" s="7"/>
      <c r="F1138" s="23">
        <f t="shared" si="424"/>
        <v>0</v>
      </c>
      <c r="G1138" s="23">
        <v>0</v>
      </c>
      <c r="H1138">
        <v>29.4</v>
      </c>
      <c r="K1138" s="27" t="s">
        <v>96</v>
      </c>
      <c r="L1138" s="23">
        <v>-7306</v>
      </c>
      <c r="M1138" s="20">
        <v>0</v>
      </c>
      <c r="N1138" s="23">
        <f t="shared" si="425"/>
        <v>-7306</v>
      </c>
      <c r="O1138" s="7">
        <v>0</v>
      </c>
      <c r="P1138" s="23">
        <f t="shared" si="426"/>
        <v>-7306</v>
      </c>
      <c r="Q1138" s="23">
        <v>-234500</v>
      </c>
      <c r="R1138">
        <v>26.9</v>
      </c>
      <c r="T1138" s="34"/>
    </row>
    <row r="1139" spans="1:20" ht="15.75" x14ac:dyDescent="0.25">
      <c r="A1139" s="27" t="s">
        <v>97</v>
      </c>
      <c r="B1139" s="23"/>
      <c r="C1139" s="20"/>
      <c r="D1139" s="23">
        <f t="shared" si="423"/>
        <v>0</v>
      </c>
      <c r="E1139" s="7"/>
      <c r="F1139" s="23">
        <f t="shared" si="424"/>
        <v>0</v>
      </c>
      <c r="G1139" s="23">
        <v>0</v>
      </c>
      <c r="H1139">
        <v>35.549999999999997</v>
      </c>
      <c r="K1139" s="27" t="s">
        <v>97</v>
      </c>
      <c r="L1139" s="23">
        <v>0</v>
      </c>
      <c r="M1139" s="20">
        <v>0</v>
      </c>
      <c r="N1139" s="23">
        <f t="shared" si="425"/>
        <v>0</v>
      </c>
      <c r="O1139" s="7">
        <v>0</v>
      </c>
      <c r="P1139" s="23">
        <f t="shared" si="426"/>
        <v>0</v>
      </c>
      <c r="Q1139" s="23">
        <v>0</v>
      </c>
      <c r="R1139">
        <v>30.5</v>
      </c>
      <c r="T1139" s="34"/>
    </row>
    <row r="1140" spans="1:20" ht="15.75" x14ac:dyDescent="0.25">
      <c r="A1140" s="27" t="s">
        <v>15</v>
      </c>
      <c r="B1140" s="23">
        <v>-2437</v>
      </c>
      <c r="C1140" s="20"/>
      <c r="D1140" s="23">
        <f t="shared" si="423"/>
        <v>-2437</v>
      </c>
      <c r="E1140" s="7"/>
      <c r="F1140" s="23">
        <f t="shared" si="424"/>
        <v>-2437</v>
      </c>
      <c r="G1140" s="23">
        <v>-210500</v>
      </c>
      <c r="H1140">
        <v>24.65</v>
      </c>
      <c r="K1140" s="27" t="s">
        <v>15</v>
      </c>
      <c r="L1140" s="23">
        <f>-19062-10187</f>
        <v>-29249</v>
      </c>
      <c r="M1140" s="20">
        <v>-23500</v>
      </c>
      <c r="N1140" s="23">
        <f t="shared" si="425"/>
        <v>-52749</v>
      </c>
      <c r="O1140" s="7">
        <v>-500</v>
      </c>
      <c r="P1140" s="23">
        <f t="shared" si="426"/>
        <v>-52249</v>
      </c>
      <c r="Q1140" s="23">
        <v>-379625</v>
      </c>
      <c r="R1140">
        <v>23.4</v>
      </c>
      <c r="T1140" s="34"/>
    </row>
    <row r="1141" spans="1:20" ht="15.75" x14ac:dyDescent="0.25">
      <c r="A1141" s="27" t="s">
        <v>75</v>
      </c>
      <c r="B1141" s="23">
        <v>-2800</v>
      </c>
      <c r="C1141" s="20"/>
      <c r="D1141" s="23">
        <f t="shared" si="423"/>
        <v>-2800</v>
      </c>
      <c r="E1141" s="7"/>
      <c r="F1141" s="23">
        <f t="shared" si="424"/>
        <v>-2800</v>
      </c>
      <c r="G1141" s="23">
        <v>-171000</v>
      </c>
      <c r="H1141">
        <v>20.549999999999997</v>
      </c>
      <c r="K1141" s="27" t="s">
        <v>75</v>
      </c>
      <c r="L1141" s="23">
        <v>-15400</v>
      </c>
      <c r="M1141" s="20">
        <v>42600</v>
      </c>
      <c r="N1141" s="23">
        <f t="shared" si="425"/>
        <v>27200</v>
      </c>
      <c r="O1141" s="7">
        <v>400</v>
      </c>
      <c r="P1141" s="23">
        <f t="shared" si="426"/>
        <v>26800</v>
      </c>
      <c r="Q1141" s="23">
        <v>-292500</v>
      </c>
      <c r="R1141">
        <v>18.799999999999997</v>
      </c>
      <c r="T1141" s="34"/>
    </row>
    <row r="1142" spans="1:20" ht="15.75" x14ac:dyDescent="0.25">
      <c r="A1142" s="27" t="s">
        <v>62</v>
      </c>
      <c r="B1142" s="23"/>
      <c r="C1142" s="20"/>
      <c r="D1142" s="23">
        <f t="shared" si="423"/>
        <v>0</v>
      </c>
      <c r="E1142" s="7"/>
      <c r="F1142" s="23">
        <f t="shared" si="424"/>
        <v>0</v>
      </c>
      <c r="G1142" s="23">
        <v>0</v>
      </c>
      <c r="H1142">
        <v>230.65</v>
      </c>
      <c r="K1142" s="27" t="s">
        <v>62</v>
      </c>
      <c r="L1142" s="23">
        <v>-8782</v>
      </c>
      <c r="M1142" s="20">
        <v>0</v>
      </c>
      <c r="N1142" s="23">
        <f t="shared" si="425"/>
        <v>-8782</v>
      </c>
      <c r="O1142" s="7">
        <v>0</v>
      </c>
      <c r="P1142" s="23">
        <f t="shared" si="426"/>
        <v>-8782</v>
      </c>
      <c r="Q1142" s="23">
        <v>-282690</v>
      </c>
      <c r="R1142">
        <v>207.65</v>
      </c>
      <c r="T1142" s="34"/>
    </row>
    <row r="1143" spans="1:20" ht="15.75" x14ac:dyDescent="0.25">
      <c r="A1143" s="21" t="s">
        <v>107</v>
      </c>
      <c r="B1143" s="22">
        <f>SUM(B1129:B1142)</f>
        <v>-8380</v>
      </c>
      <c r="C1143" s="18">
        <f>SUM(C1129:C1142)</f>
        <v>0</v>
      </c>
      <c r="D1143" s="23">
        <f t="shared" ref="D1143:G1143" si="427">SUM(D1129:D1142)</f>
        <v>-8380</v>
      </c>
      <c r="E1143" s="18">
        <f t="shared" si="427"/>
        <v>0</v>
      </c>
      <c r="F1143" s="23">
        <f t="shared" si="427"/>
        <v>-8380</v>
      </c>
      <c r="G1143" s="17">
        <f t="shared" si="427"/>
        <v>-1435691.25</v>
      </c>
      <c r="K1143" s="21" t="s">
        <v>107</v>
      </c>
      <c r="L1143" s="22">
        <f>SUM(L1129:L1142)</f>
        <v>-67588</v>
      </c>
      <c r="M1143" s="18">
        <f>SUM(M1129:M1142)</f>
        <v>63206.25</v>
      </c>
      <c r="N1143" s="23">
        <f t="shared" ref="N1143:Q1143" si="428">SUM(N1129:N1142)</f>
        <v>-4381.75</v>
      </c>
      <c r="O1143" s="18">
        <f t="shared" si="428"/>
        <v>-9731.25</v>
      </c>
      <c r="P1143" s="23">
        <f t="shared" si="428"/>
        <v>5349.5</v>
      </c>
      <c r="Q1143" s="17">
        <f t="shared" si="428"/>
        <v>-3052581.25</v>
      </c>
      <c r="T1143" s="34"/>
    </row>
    <row r="1144" spans="1:20" x14ac:dyDescent="0.25">
      <c r="T1144" s="34"/>
    </row>
    <row r="1145" spans="1:20" x14ac:dyDescent="0.25">
      <c r="T1145" s="34"/>
    </row>
    <row r="1146" spans="1:20" x14ac:dyDescent="0.25">
      <c r="T1146" s="34"/>
    </row>
    <row r="1147" spans="1:20" ht="15.75" x14ac:dyDescent="0.25">
      <c r="A1147" s="106">
        <v>45155</v>
      </c>
      <c r="B1147" s="106"/>
      <c r="C1147" s="106"/>
      <c r="D1147" s="106"/>
      <c r="E1147" s="106"/>
      <c r="F1147" s="106"/>
      <c r="G1147" s="106"/>
      <c r="K1147" s="106">
        <v>45156</v>
      </c>
      <c r="L1147" s="106"/>
      <c r="M1147" s="106"/>
      <c r="N1147" s="106"/>
      <c r="O1147" s="106"/>
      <c r="P1147" s="106"/>
      <c r="Q1147" s="106"/>
      <c r="T1147" s="34"/>
    </row>
    <row r="1148" spans="1:20" ht="15.75" x14ac:dyDescent="0.25">
      <c r="A1148" s="22" t="s">
        <v>34</v>
      </c>
      <c r="B1148" s="22" t="s">
        <v>104</v>
      </c>
      <c r="C1148" s="22" t="s">
        <v>105</v>
      </c>
      <c r="D1148" s="22" t="s">
        <v>112</v>
      </c>
      <c r="E1148" s="22" t="s">
        <v>106</v>
      </c>
      <c r="F1148" s="21" t="s">
        <v>108</v>
      </c>
      <c r="G1148" s="21" t="s">
        <v>28</v>
      </c>
      <c r="K1148" s="22" t="s">
        <v>34</v>
      </c>
      <c r="L1148" s="22" t="s">
        <v>104</v>
      </c>
      <c r="M1148" s="22" t="s">
        <v>105</v>
      </c>
      <c r="N1148" s="22" t="s">
        <v>112</v>
      </c>
      <c r="O1148" s="22" t="s">
        <v>106</v>
      </c>
      <c r="P1148" s="21" t="s">
        <v>108</v>
      </c>
      <c r="Q1148" s="21" t="s">
        <v>28</v>
      </c>
      <c r="T1148" s="34"/>
    </row>
    <row r="1149" spans="1:20" ht="15.75" x14ac:dyDescent="0.25">
      <c r="A1149" s="27" t="s">
        <v>71</v>
      </c>
      <c r="B1149" s="23">
        <v>5015</v>
      </c>
      <c r="C1149" s="20">
        <v>-19465</v>
      </c>
      <c r="D1149" s="23">
        <f t="shared" ref="D1149:D1162" si="429">+C1149+B1149</f>
        <v>-14450</v>
      </c>
      <c r="E1149" s="7">
        <v>-7480</v>
      </c>
      <c r="F1149" s="23">
        <f t="shared" ref="F1149:F1162" si="430">+B1149+C1149-E1149</f>
        <v>-6970</v>
      </c>
      <c r="G1149" s="23">
        <v>-364735</v>
      </c>
      <c r="K1149" s="27" t="s">
        <v>71</v>
      </c>
      <c r="L1149" s="23">
        <v>-61965</v>
      </c>
      <c r="M1149" s="20">
        <v>100725</v>
      </c>
      <c r="N1149" s="23">
        <f t="shared" ref="N1149:N1161" si="431">+M1149+L1149</f>
        <v>38760</v>
      </c>
      <c r="O1149" s="7">
        <v>-6460</v>
      </c>
      <c r="P1149" s="23">
        <f t="shared" ref="P1149:P1161" si="432">+L1149+M1149-O1149</f>
        <v>45220</v>
      </c>
      <c r="Q1149" s="23">
        <v>-403750</v>
      </c>
      <c r="T1149" s="34"/>
    </row>
    <row r="1150" spans="1:20" ht="15.75" x14ac:dyDescent="0.25">
      <c r="A1150" s="27" t="s">
        <v>61</v>
      </c>
      <c r="B1150" s="23">
        <v>-30140</v>
      </c>
      <c r="C1150" s="20">
        <v>-30250</v>
      </c>
      <c r="D1150" s="23">
        <f t="shared" si="429"/>
        <v>-60390</v>
      </c>
      <c r="E1150" s="7">
        <v>4455</v>
      </c>
      <c r="F1150" s="23">
        <f t="shared" si="430"/>
        <v>-64845</v>
      </c>
      <c r="G1150" s="23">
        <v>-471515</v>
      </c>
      <c r="K1150" s="27" t="s">
        <v>61</v>
      </c>
      <c r="L1150" s="23">
        <v>14685</v>
      </c>
      <c r="M1150" s="20">
        <v>25960</v>
      </c>
      <c r="N1150" s="23">
        <f t="shared" si="431"/>
        <v>40645</v>
      </c>
      <c r="O1150" s="7">
        <v>-18590</v>
      </c>
      <c r="P1150" s="23">
        <f t="shared" si="432"/>
        <v>59235</v>
      </c>
      <c r="Q1150" s="23">
        <v>-441650</v>
      </c>
      <c r="T1150" s="35"/>
    </row>
    <row r="1151" spans="1:20" ht="15.75" x14ac:dyDescent="0.25">
      <c r="A1151" s="27" t="s">
        <v>94</v>
      </c>
      <c r="B1151" s="23">
        <v>10000</v>
      </c>
      <c r="C1151" s="20">
        <v>-73500</v>
      </c>
      <c r="D1151" s="23">
        <f t="shared" si="429"/>
        <v>-63500</v>
      </c>
      <c r="E1151" s="7">
        <v>2250</v>
      </c>
      <c r="F1151" s="23">
        <f t="shared" si="430"/>
        <v>-65750</v>
      </c>
      <c r="G1151" s="23">
        <v>-488500</v>
      </c>
      <c r="K1151" s="27" t="s">
        <v>94</v>
      </c>
      <c r="L1151" s="23">
        <v>-35125</v>
      </c>
      <c r="M1151" s="20">
        <v>37875</v>
      </c>
      <c r="N1151" s="23">
        <f t="shared" si="431"/>
        <v>2750</v>
      </c>
      <c r="O1151" s="7">
        <v>13750</v>
      </c>
      <c r="P1151" s="23">
        <f t="shared" si="432"/>
        <v>-11000</v>
      </c>
      <c r="Q1151" s="23">
        <v>-443500</v>
      </c>
    </row>
    <row r="1152" spans="1:20" ht="15.75" x14ac:dyDescent="0.25">
      <c r="A1152" s="27" t="s">
        <v>83</v>
      </c>
      <c r="B1152" s="23">
        <v>-7830</v>
      </c>
      <c r="C1152" s="20">
        <v>29970</v>
      </c>
      <c r="D1152" s="23">
        <f t="shared" si="429"/>
        <v>22140</v>
      </c>
      <c r="E1152" s="7">
        <v>2970</v>
      </c>
      <c r="F1152" s="23">
        <f t="shared" si="430"/>
        <v>19170</v>
      </c>
      <c r="G1152" s="23">
        <v>-506250</v>
      </c>
      <c r="K1152" s="27" t="s">
        <v>83</v>
      </c>
      <c r="L1152" s="23">
        <v>-9315</v>
      </c>
      <c r="M1152" s="20">
        <v>23220</v>
      </c>
      <c r="N1152" s="23">
        <f t="shared" si="431"/>
        <v>13905</v>
      </c>
      <c r="O1152" s="7">
        <v>5535</v>
      </c>
      <c r="P1152" s="23">
        <f t="shared" si="432"/>
        <v>8370</v>
      </c>
      <c r="Q1152" s="23">
        <v>-433215</v>
      </c>
    </row>
    <row r="1153" spans="1:18" ht="15.75" x14ac:dyDescent="0.25">
      <c r="A1153" s="27" t="s">
        <v>42</v>
      </c>
      <c r="B1153" s="23"/>
      <c r="C1153" s="20">
        <v>0</v>
      </c>
      <c r="D1153" s="23">
        <f t="shared" si="429"/>
        <v>0</v>
      </c>
      <c r="E1153" s="7">
        <v>0</v>
      </c>
      <c r="F1153" s="23">
        <f t="shared" si="430"/>
        <v>0</v>
      </c>
      <c r="G1153" s="23">
        <v>0</v>
      </c>
      <c r="K1153" s="27" t="s">
        <v>54</v>
      </c>
      <c r="L1153" s="23">
        <v>11450</v>
      </c>
      <c r="M1153" s="20">
        <v>39700</v>
      </c>
      <c r="N1153" s="23">
        <f t="shared" si="431"/>
        <v>51150</v>
      </c>
      <c r="O1153" s="7">
        <v>-15000</v>
      </c>
      <c r="P1153" s="23">
        <f t="shared" si="432"/>
        <v>66150</v>
      </c>
      <c r="Q1153" s="23">
        <v>-343500</v>
      </c>
    </row>
    <row r="1154" spans="1:18" ht="15.75" x14ac:dyDescent="0.25">
      <c r="A1154" s="27" t="s">
        <v>54</v>
      </c>
      <c r="B1154" s="23">
        <v>-14250</v>
      </c>
      <c r="C1154" s="20">
        <v>64600</v>
      </c>
      <c r="D1154" s="23">
        <f t="shared" si="429"/>
        <v>50350</v>
      </c>
      <c r="E1154" s="7">
        <v>-1850</v>
      </c>
      <c r="F1154" s="23">
        <f t="shared" si="430"/>
        <v>52200</v>
      </c>
      <c r="G1154" s="23">
        <v>-428500</v>
      </c>
      <c r="K1154" s="27" t="s">
        <v>82</v>
      </c>
      <c r="L1154" s="23">
        <v>19427</v>
      </c>
      <c r="M1154" s="20">
        <v>-36765</v>
      </c>
      <c r="N1154" s="23">
        <f t="shared" si="431"/>
        <v>-17338</v>
      </c>
      <c r="O1154" s="7">
        <v>8692.5</v>
      </c>
      <c r="P1154" s="23">
        <f t="shared" si="432"/>
        <v>-26030.5</v>
      </c>
      <c r="Q1154" s="23">
        <v>-380950</v>
      </c>
    </row>
    <row r="1155" spans="1:18" ht="15.75" x14ac:dyDescent="0.25">
      <c r="A1155" s="27" t="s">
        <v>82</v>
      </c>
      <c r="B1155" s="23">
        <v>9808</v>
      </c>
      <c r="C1155" s="20">
        <v>67711.25</v>
      </c>
      <c r="D1155" s="23">
        <f t="shared" si="429"/>
        <v>77519.25</v>
      </c>
      <c r="E1155" s="7">
        <v>-12207.5</v>
      </c>
      <c r="F1155" s="23">
        <f t="shared" si="430"/>
        <v>89726.75</v>
      </c>
      <c r="G1155" s="23">
        <v>-402752.5</v>
      </c>
      <c r="K1155" s="27" t="s">
        <v>40</v>
      </c>
      <c r="L1155" s="23">
        <v>-17943</v>
      </c>
      <c r="M1155" s="20">
        <v>0</v>
      </c>
      <c r="N1155" s="23">
        <f t="shared" si="431"/>
        <v>-17943</v>
      </c>
      <c r="O1155" s="7">
        <v>0</v>
      </c>
      <c r="P1155" s="23">
        <f t="shared" si="432"/>
        <v>-17943</v>
      </c>
      <c r="Q1155" s="23">
        <v>-336050</v>
      </c>
    </row>
    <row r="1156" spans="1:18" ht="15.75" x14ac:dyDescent="0.25">
      <c r="A1156" s="27" t="s">
        <v>40</v>
      </c>
      <c r="B1156" s="23"/>
      <c r="C1156" s="20">
        <v>0</v>
      </c>
      <c r="D1156" s="23">
        <f t="shared" si="429"/>
        <v>0</v>
      </c>
      <c r="E1156" s="7">
        <v>0</v>
      </c>
      <c r="F1156" s="23">
        <f t="shared" si="430"/>
        <v>0</v>
      </c>
      <c r="G1156" s="23">
        <v>0</v>
      </c>
      <c r="K1156" s="27" t="s">
        <v>92</v>
      </c>
      <c r="L1156" s="23">
        <v>-20000</v>
      </c>
      <c r="M1156" s="20">
        <v>69500</v>
      </c>
      <c r="N1156" s="23">
        <f t="shared" si="431"/>
        <v>49500</v>
      </c>
      <c r="O1156" s="7">
        <v>-17800</v>
      </c>
      <c r="P1156" s="23">
        <f t="shared" si="432"/>
        <v>67300</v>
      </c>
      <c r="Q1156" s="23">
        <v>-380500</v>
      </c>
    </row>
    <row r="1157" spans="1:18" ht="15.75" x14ac:dyDescent="0.25">
      <c r="A1157" s="27" t="s">
        <v>92</v>
      </c>
      <c r="B1157" s="23">
        <v>-4400</v>
      </c>
      <c r="C1157" s="20">
        <v>-4300</v>
      </c>
      <c r="D1157" s="23">
        <f t="shared" si="429"/>
        <v>-8700</v>
      </c>
      <c r="E1157" s="7">
        <v>12200</v>
      </c>
      <c r="F1157" s="23">
        <f t="shared" si="430"/>
        <v>-20900</v>
      </c>
      <c r="G1157" s="23">
        <v>-338000</v>
      </c>
      <c r="K1157" s="27" t="s">
        <v>96</v>
      </c>
      <c r="L1157" s="23">
        <v>-1662</v>
      </c>
      <c r="M1157" s="20">
        <v>5950</v>
      </c>
      <c r="N1157" s="23">
        <f t="shared" si="431"/>
        <v>4288</v>
      </c>
      <c r="O1157" s="7">
        <v>-18550</v>
      </c>
      <c r="P1157" s="23">
        <f t="shared" si="432"/>
        <v>22838</v>
      </c>
      <c r="Q1157" s="23">
        <v>-432425</v>
      </c>
    </row>
    <row r="1158" spans="1:18" ht="15.75" x14ac:dyDescent="0.25">
      <c r="A1158" s="27" t="s">
        <v>96</v>
      </c>
      <c r="B1158" s="23">
        <v>-15312</v>
      </c>
      <c r="C1158" s="20">
        <v>24325</v>
      </c>
      <c r="D1158" s="23">
        <f t="shared" si="429"/>
        <v>9013</v>
      </c>
      <c r="E1158" s="7">
        <v>-700</v>
      </c>
      <c r="F1158" s="23">
        <f t="shared" si="430"/>
        <v>9713</v>
      </c>
      <c r="G1158" s="23">
        <v>-415800</v>
      </c>
      <c r="K1158" s="27" t="s">
        <v>97</v>
      </c>
      <c r="L1158" s="23">
        <v>-23750</v>
      </c>
      <c r="M1158" s="20">
        <v>0</v>
      </c>
      <c r="N1158" s="23">
        <f t="shared" si="431"/>
        <v>-23750</v>
      </c>
      <c r="O1158" s="7">
        <v>0</v>
      </c>
      <c r="P1158" s="23">
        <f t="shared" si="432"/>
        <v>-23750</v>
      </c>
      <c r="Q1158" s="23">
        <v>-408000</v>
      </c>
    </row>
    <row r="1159" spans="1:18" ht="15.75" x14ac:dyDescent="0.25">
      <c r="A1159" s="27" t="s">
        <v>97</v>
      </c>
      <c r="B1159" s="23"/>
      <c r="C1159" s="20">
        <v>0</v>
      </c>
      <c r="D1159" s="23">
        <f t="shared" si="429"/>
        <v>0</v>
      </c>
      <c r="E1159" s="7">
        <v>0</v>
      </c>
      <c r="F1159" s="23">
        <f t="shared" si="430"/>
        <v>0</v>
      </c>
      <c r="G1159" s="23">
        <v>0</v>
      </c>
      <c r="K1159" s="27" t="s">
        <v>15</v>
      </c>
      <c r="L1159" s="23">
        <v>-36187</v>
      </c>
      <c r="M1159" s="20">
        <v>83187.5</v>
      </c>
      <c r="N1159" s="23">
        <f t="shared" si="431"/>
        <v>47000.5</v>
      </c>
      <c r="O1159" s="7">
        <v>4500</v>
      </c>
      <c r="P1159" s="23">
        <f t="shared" si="432"/>
        <v>42500.5</v>
      </c>
      <c r="Q1159" s="23">
        <v>-440250</v>
      </c>
    </row>
    <row r="1160" spans="1:18" ht="15.75" x14ac:dyDescent="0.25">
      <c r="A1160" s="27" t="s">
        <v>15</v>
      </c>
      <c r="B1160" s="23">
        <v>7187</v>
      </c>
      <c r="C1160" s="20">
        <v>50937.5</v>
      </c>
      <c r="D1160" s="23">
        <f t="shared" si="429"/>
        <v>58124.5</v>
      </c>
      <c r="E1160" s="7">
        <v>-1500</v>
      </c>
      <c r="F1160" s="23">
        <f t="shared" si="430"/>
        <v>59624.5</v>
      </c>
      <c r="G1160" s="23">
        <v>-364687.5</v>
      </c>
      <c r="K1160" s="27" t="s">
        <v>75</v>
      </c>
      <c r="L1160" s="23">
        <v>27500</v>
      </c>
      <c r="M1160" s="20">
        <v>-65900</v>
      </c>
      <c r="N1160" s="23">
        <f t="shared" si="431"/>
        <v>-38400</v>
      </c>
      <c r="O1160" s="7">
        <v>-1200</v>
      </c>
      <c r="P1160" s="23">
        <f t="shared" si="432"/>
        <v>-37200</v>
      </c>
      <c r="Q1160" s="23">
        <v>-388000</v>
      </c>
    </row>
    <row r="1161" spans="1:18" ht="15.75" x14ac:dyDescent="0.25">
      <c r="A1161" s="27" t="s">
        <v>75</v>
      </c>
      <c r="B1161" s="23">
        <v>-10200</v>
      </c>
      <c r="C1161" s="20">
        <v>43100</v>
      </c>
      <c r="D1161" s="23">
        <f t="shared" si="429"/>
        <v>32900</v>
      </c>
      <c r="E1161" s="7">
        <v>2200</v>
      </c>
      <c r="F1161" s="23">
        <f t="shared" si="430"/>
        <v>30700</v>
      </c>
      <c r="G1161" s="23">
        <v>-359000</v>
      </c>
      <c r="K1161" s="27" t="s">
        <v>62</v>
      </c>
      <c r="L1161" s="23">
        <v>44115</v>
      </c>
      <c r="M1161" s="20">
        <v>-102750</v>
      </c>
      <c r="N1161" s="23">
        <f t="shared" si="431"/>
        <v>-58635</v>
      </c>
      <c r="O1161" s="7">
        <v>5400</v>
      </c>
      <c r="P1161" s="23">
        <f t="shared" si="432"/>
        <v>-64035</v>
      </c>
      <c r="Q1161" s="23">
        <v>-401220</v>
      </c>
    </row>
    <row r="1162" spans="1:18" ht="15.75" x14ac:dyDescent="0.25">
      <c r="A1162" s="27" t="s">
        <v>62</v>
      </c>
      <c r="B1162" s="23">
        <v>8152</v>
      </c>
      <c r="C1162" s="20">
        <v>31049.999999999996</v>
      </c>
      <c r="D1162" s="23">
        <f t="shared" si="429"/>
        <v>39202</v>
      </c>
      <c r="E1162" s="7">
        <v>-11610</v>
      </c>
      <c r="F1162" s="23">
        <f t="shared" si="430"/>
        <v>50812</v>
      </c>
      <c r="G1162" s="23">
        <v>-429540</v>
      </c>
      <c r="K1162" s="21" t="s">
        <v>107</v>
      </c>
      <c r="L1162" s="22">
        <f t="shared" ref="L1162:Q1162" si="433">SUM(L1149:L1161)</f>
        <v>-88770</v>
      </c>
      <c r="M1162" s="18">
        <f t="shared" si="433"/>
        <v>180702.5</v>
      </c>
      <c r="N1162" s="23">
        <f t="shared" si="433"/>
        <v>91932.5</v>
      </c>
      <c r="O1162" s="18">
        <f t="shared" si="433"/>
        <v>-39722.5</v>
      </c>
      <c r="P1162" s="23">
        <f t="shared" si="433"/>
        <v>131655</v>
      </c>
      <c r="Q1162" s="17">
        <f t="shared" si="433"/>
        <v>-5233010</v>
      </c>
    </row>
    <row r="1163" spans="1:18" ht="15.75" x14ac:dyDescent="0.25">
      <c r="A1163" s="21" t="s">
        <v>107</v>
      </c>
      <c r="B1163" s="22">
        <f>SUM(B1149:B1162)</f>
        <v>-41970</v>
      </c>
      <c r="C1163" s="18">
        <f>SUM(C1149:C1162)</f>
        <v>184178.75</v>
      </c>
      <c r="D1163" s="23">
        <f t="shared" ref="D1163:G1163" si="434">SUM(D1149:D1162)</f>
        <v>142208.75</v>
      </c>
      <c r="E1163" s="18">
        <f t="shared" si="434"/>
        <v>-11272.5</v>
      </c>
      <c r="F1163" s="23">
        <f t="shared" si="434"/>
        <v>153481.25</v>
      </c>
      <c r="G1163" s="17">
        <f t="shared" si="434"/>
        <v>-4569280</v>
      </c>
    </row>
    <row r="1166" spans="1:18" ht="15.75" x14ac:dyDescent="0.25">
      <c r="A1166" s="106">
        <v>45159</v>
      </c>
      <c r="B1166" s="106"/>
      <c r="C1166" s="106"/>
      <c r="D1166" s="106"/>
      <c r="E1166" s="106"/>
      <c r="F1166" s="106"/>
      <c r="G1166" s="106"/>
      <c r="K1166" s="106">
        <v>45160</v>
      </c>
      <c r="L1166" s="106"/>
      <c r="M1166" s="106"/>
      <c r="N1166" s="106"/>
      <c r="O1166" s="106"/>
      <c r="P1166" s="106"/>
      <c r="Q1166" s="106"/>
    </row>
    <row r="1167" spans="1:18" ht="15.75" x14ac:dyDescent="0.25">
      <c r="A1167" s="22" t="s">
        <v>34</v>
      </c>
      <c r="B1167" s="22" t="s">
        <v>104</v>
      </c>
      <c r="C1167" s="22" t="s">
        <v>105</v>
      </c>
      <c r="D1167" s="22" t="s">
        <v>112</v>
      </c>
      <c r="E1167" s="22" t="s">
        <v>106</v>
      </c>
      <c r="F1167" s="21" t="s">
        <v>108</v>
      </c>
      <c r="G1167" s="21" t="s">
        <v>28</v>
      </c>
      <c r="K1167" s="22" t="s">
        <v>34</v>
      </c>
      <c r="L1167" s="22" t="s">
        <v>104</v>
      </c>
      <c r="M1167" s="22" t="s">
        <v>105</v>
      </c>
      <c r="N1167" s="22" t="s">
        <v>112</v>
      </c>
      <c r="O1167" s="22" t="s">
        <v>106</v>
      </c>
      <c r="P1167" s="21" t="s">
        <v>108</v>
      </c>
      <c r="Q1167" s="21" t="s">
        <v>28</v>
      </c>
    </row>
    <row r="1168" spans="1:18" ht="15.75" x14ac:dyDescent="0.25">
      <c r="A1168" s="27" t="s">
        <v>71</v>
      </c>
      <c r="B1168" s="23">
        <v>11730</v>
      </c>
      <c r="C1168" s="20">
        <v>52190</v>
      </c>
      <c r="D1168" s="23">
        <f t="shared" ref="D1168:D1180" si="435">+C1168+B1168</f>
        <v>63920</v>
      </c>
      <c r="E1168" s="7">
        <v>0</v>
      </c>
      <c r="F1168" s="23">
        <f t="shared" ref="F1168:F1180" si="436">+B1168+C1168-E1168</f>
        <v>63920</v>
      </c>
      <c r="G1168" s="23">
        <v>-429420</v>
      </c>
      <c r="H1168">
        <v>13.95</v>
      </c>
      <c r="K1168" s="27" t="s">
        <v>71</v>
      </c>
      <c r="L1168" s="23">
        <v>7480</v>
      </c>
      <c r="M1168" s="20">
        <v>33150</v>
      </c>
      <c r="N1168" s="23">
        <f t="shared" ref="N1168:N1180" si="437">+M1168+L1168</f>
        <v>40630</v>
      </c>
      <c r="O1168" s="7">
        <v>0</v>
      </c>
      <c r="P1168" s="23">
        <f t="shared" ref="P1168:P1180" si="438">+L1168+M1168-O1168</f>
        <v>40630</v>
      </c>
      <c r="Q1168" s="23">
        <v>-496740</v>
      </c>
      <c r="R1168">
        <v>12.6</v>
      </c>
    </row>
    <row r="1169" spans="1:18" ht="15.75" x14ac:dyDescent="0.25">
      <c r="A1169" s="27" t="s">
        <v>61</v>
      </c>
      <c r="B1169" s="23">
        <v>-23155</v>
      </c>
      <c r="C1169" s="20">
        <v>95205</v>
      </c>
      <c r="D1169" s="23">
        <f t="shared" si="435"/>
        <v>72050</v>
      </c>
      <c r="E1169" s="7">
        <v>0</v>
      </c>
      <c r="F1169" s="23">
        <f t="shared" si="436"/>
        <v>72050</v>
      </c>
      <c r="G1169" s="23">
        <v>-441485</v>
      </c>
      <c r="H1169">
        <v>33.299999999999997</v>
      </c>
      <c r="K1169" s="27" t="s">
        <v>61</v>
      </c>
      <c r="L1169" s="23">
        <v>-84315</v>
      </c>
      <c r="M1169" s="20">
        <v>-80575</v>
      </c>
      <c r="N1169" s="23">
        <f t="shared" si="437"/>
        <v>-164890</v>
      </c>
      <c r="O1169" s="7">
        <v>0</v>
      </c>
      <c r="P1169" s="23">
        <f t="shared" si="438"/>
        <v>-164890</v>
      </c>
      <c r="Q1169" s="23">
        <v>-479050</v>
      </c>
      <c r="R1169">
        <v>29.15</v>
      </c>
    </row>
    <row r="1170" spans="1:18" ht="15.75" x14ac:dyDescent="0.25">
      <c r="A1170" s="27" t="s">
        <v>94</v>
      </c>
      <c r="B1170" s="23">
        <v>-2375</v>
      </c>
      <c r="C1170" s="20">
        <v>173125</v>
      </c>
      <c r="D1170" s="23">
        <f t="shared" si="435"/>
        <v>170750</v>
      </c>
      <c r="E1170" s="7">
        <v>0</v>
      </c>
      <c r="F1170" s="23">
        <f t="shared" si="436"/>
        <v>170750</v>
      </c>
      <c r="G1170" s="23">
        <v>-380250</v>
      </c>
      <c r="H1170">
        <v>9.85</v>
      </c>
      <c r="K1170" s="27" t="s">
        <v>94</v>
      </c>
      <c r="L1170" s="23">
        <v>0</v>
      </c>
      <c r="M1170" s="20">
        <v>108500</v>
      </c>
      <c r="N1170" s="23">
        <f t="shared" si="437"/>
        <v>108500</v>
      </c>
      <c r="O1170" s="7">
        <v>0</v>
      </c>
      <c r="P1170" s="23">
        <f t="shared" si="438"/>
        <v>108500</v>
      </c>
      <c r="Q1170" s="23">
        <v>-463250</v>
      </c>
      <c r="R1170">
        <v>9</v>
      </c>
    </row>
    <row r="1171" spans="1:18" ht="15.75" x14ac:dyDescent="0.25">
      <c r="A1171" s="27" t="s">
        <v>83</v>
      </c>
      <c r="B1171" s="23">
        <v>12960</v>
      </c>
      <c r="C1171" s="20">
        <v>118800</v>
      </c>
      <c r="D1171" s="23">
        <f t="shared" si="435"/>
        <v>131760</v>
      </c>
      <c r="E1171" s="7">
        <v>0</v>
      </c>
      <c r="F1171" s="23">
        <f t="shared" si="436"/>
        <v>131760</v>
      </c>
      <c r="G1171" s="23">
        <v>-382995</v>
      </c>
      <c r="H1171">
        <v>12.95</v>
      </c>
      <c r="K1171" s="27" t="s">
        <v>83</v>
      </c>
      <c r="L1171" s="23">
        <v>19845</v>
      </c>
      <c r="M1171" s="20">
        <v>69120</v>
      </c>
      <c r="N1171" s="23">
        <f t="shared" si="437"/>
        <v>88965</v>
      </c>
      <c r="O1171" s="7">
        <v>0</v>
      </c>
      <c r="P1171" s="23">
        <f t="shared" si="438"/>
        <v>88965</v>
      </c>
      <c r="Q1171" s="23">
        <v>-444150</v>
      </c>
      <c r="R1171">
        <v>11.15</v>
      </c>
    </row>
    <row r="1172" spans="1:18" ht="15.75" x14ac:dyDescent="0.25">
      <c r="A1172" s="27" t="s">
        <v>54</v>
      </c>
      <c r="B1172" s="23">
        <v>-12750</v>
      </c>
      <c r="C1172" s="20">
        <v>86250</v>
      </c>
      <c r="D1172" s="23">
        <f t="shared" si="435"/>
        <v>73500</v>
      </c>
      <c r="E1172" s="7">
        <v>0</v>
      </c>
      <c r="F1172" s="23">
        <f t="shared" si="436"/>
        <v>73500</v>
      </c>
      <c r="G1172" s="23">
        <v>-463750</v>
      </c>
      <c r="H1172">
        <v>19</v>
      </c>
      <c r="K1172" s="27" t="s">
        <v>54</v>
      </c>
      <c r="L1172" s="23">
        <v>10850</v>
      </c>
      <c r="M1172" s="20">
        <v>5250</v>
      </c>
      <c r="N1172" s="23">
        <f t="shared" si="437"/>
        <v>16100</v>
      </c>
      <c r="O1172" s="7">
        <v>0</v>
      </c>
      <c r="P1172" s="23">
        <f t="shared" si="438"/>
        <v>16100</v>
      </c>
      <c r="Q1172" s="23">
        <v>0</v>
      </c>
      <c r="R1172">
        <v>17.7</v>
      </c>
    </row>
    <row r="1173" spans="1:18" ht="15.75" x14ac:dyDescent="0.25">
      <c r="A1173" s="27" t="s">
        <v>82</v>
      </c>
      <c r="B1173" s="23">
        <v>-7101</v>
      </c>
      <c r="C1173" s="20">
        <v>67735</v>
      </c>
      <c r="D1173" s="23">
        <f t="shared" si="435"/>
        <v>60634</v>
      </c>
      <c r="E1173" s="7">
        <v>0</v>
      </c>
      <c r="F1173" s="23">
        <f t="shared" si="436"/>
        <v>60634</v>
      </c>
      <c r="G1173" s="23">
        <v>-422892.5</v>
      </c>
      <c r="H1173">
        <v>59.4</v>
      </c>
      <c r="K1173" s="27" t="s">
        <v>82</v>
      </c>
      <c r="L1173" s="23">
        <v>-14938</v>
      </c>
      <c r="M1173" s="20">
        <v>75525</v>
      </c>
      <c r="N1173" s="23">
        <f t="shared" si="437"/>
        <v>60587</v>
      </c>
      <c r="O1173" s="7">
        <v>0</v>
      </c>
      <c r="P1173" s="23">
        <f t="shared" si="438"/>
        <v>60587</v>
      </c>
      <c r="Q1173" s="23">
        <v>-437190</v>
      </c>
      <c r="R1173">
        <v>54.05</v>
      </c>
    </row>
    <row r="1174" spans="1:18" ht="15.75" x14ac:dyDescent="0.25">
      <c r="A1174" s="27" t="s">
        <v>40</v>
      </c>
      <c r="B1174" s="23">
        <v>6187</v>
      </c>
      <c r="C1174" s="20">
        <v>19250</v>
      </c>
      <c r="D1174" s="23">
        <f t="shared" si="435"/>
        <v>25437</v>
      </c>
      <c r="E1174" s="7">
        <v>0</v>
      </c>
      <c r="F1174" s="23">
        <f t="shared" si="436"/>
        <v>25437</v>
      </c>
      <c r="G1174" s="23">
        <v>-415800</v>
      </c>
      <c r="H1174">
        <v>14.2</v>
      </c>
      <c r="K1174" s="27" t="s">
        <v>40</v>
      </c>
      <c r="L1174" s="23">
        <v>68</v>
      </c>
      <c r="M1174" s="20">
        <v>23100</v>
      </c>
      <c r="N1174" s="23">
        <f t="shared" si="437"/>
        <v>23168</v>
      </c>
      <c r="O1174" s="7">
        <v>0</v>
      </c>
      <c r="P1174" s="23">
        <f t="shared" si="438"/>
        <v>23168</v>
      </c>
      <c r="Q1174" s="23">
        <v>-417725</v>
      </c>
      <c r="R1174">
        <v>13.35</v>
      </c>
    </row>
    <row r="1175" spans="1:18" ht="15.75" x14ac:dyDescent="0.25">
      <c r="A1175" s="27" t="s">
        <v>92</v>
      </c>
      <c r="B1175" s="23">
        <v>4100</v>
      </c>
      <c r="C1175" s="20">
        <v>93600</v>
      </c>
      <c r="D1175" s="23">
        <f t="shared" si="435"/>
        <v>97700</v>
      </c>
      <c r="E1175" s="7">
        <v>0</v>
      </c>
      <c r="F1175" s="23">
        <f t="shared" si="436"/>
        <v>97700</v>
      </c>
      <c r="G1175" s="23">
        <v>-328000</v>
      </c>
      <c r="H1175">
        <v>11.95</v>
      </c>
      <c r="K1175" s="27" t="s">
        <v>92</v>
      </c>
      <c r="L1175" s="23">
        <v>11900</v>
      </c>
      <c r="M1175" s="20">
        <v>16600</v>
      </c>
      <c r="N1175" s="23">
        <f t="shared" si="437"/>
        <v>28500</v>
      </c>
      <c r="O1175" s="7">
        <v>0</v>
      </c>
      <c r="P1175" s="23">
        <f t="shared" si="438"/>
        <v>28500</v>
      </c>
      <c r="Q1175" s="23">
        <v>-491000</v>
      </c>
      <c r="R1175">
        <v>12.75</v>
      </c>
    </row>
    <row r="1176" spans="1:18" ht="15.75" x14ac:dyDescent="0.25">
      <c r="A1176" s="27" t="s">
        <v>96</v>
      </c>
      <c r="B1176" s="23">
        <v>-38718</v>
      </c>
      <c r="C1176" s="20">
        <v>163450</v>
      </c>
      <c r="D1176" s="23">
        <f t="shared" si="435"/>
        <v>124732</v>
      </c>
      <c r="E1176" s="7">
        <v>0</v>
      </c>
      <c r="F1176" s="23">
        <f t="shared" si="436"/>
        <v>124732</v>
      </c>
      <c r="G1176" s="23">
        <v>-384825</v>
      </c>
      <c r="H1176">
        <v>19.450000000000003</v>
      </c>
      <c r="K1176" s="27" t="s">
        <v>96</v>
      </c>
      <c r="L1176" s="23">
        <v>612</v>
      </c>
      <c r="M1176" s="20">
        <v>75687.5</v>
      </c>
      <c r="N1176" s="23">
        <f t="shared" si="437"/>
        <v>76299.5</v>
      </c>
      <c r="O1176" s="7">
        <v>0</v>
      </c>
      <c r="P1176" s="23">
        <f t="shared" si="438"/>
        <v>76299.5</v>
      </c>
      <c r="Q1176" s="23">
        <v>-478100</v>
      </c>
      <c r="R1176">
        <v>18.8</v>
      </c>
    </row>
    <row r="1177" spans="1:18" ht="15.75" x14ac:dyDescent="0.25">
      <c r="A1177" s="27" t="s">
        <v>97</v>
      </c>
      <c r="B1177" s="23">
        <v>5812</v>
      </c>
      <c r="C1177" s="20">
        <v>118125</v>
      </c>
      <c r="D1177" s="23">
        <f t="shared" si="435"/>
        <v>123937</v>
      </c>
      <c r="E1177" s="7">
        <v>0</v>
      </c>
      <c r="F1177" s="23">
        <f t="shared" si="436"/>
        <v>123937</v>
      </c>
      <c r="G1177" s="23">
        <v>-447500</v>
      </c>
      <c r="H1177">
        <v>22.3</v>
      </c>
      <c r="K1177" s="27" t="s">
        <v>97</v>
      </c>
      <c r="L1177" s="23">
        <v>-14812</v>
      </c>
      <c r="M1177" s="20">
        <v>86750</v>
      </c>
      <c r="N1177" s="23">
        <f t="shared" si="437"/>
        <v>71938</v>
      </c>
      <c r="O1177" s="7">
        <v>0</v>
      </c>
      <c r="P1177" s="23">
        <f t="shared" si="438"/>
        <v>71938</v>
      </c>
      <c r="Q1177" s="23">
        <v>-490250</v>
      </c>
      <c r="R1177">
        <v>20.25</v>
      </c>
    </row>
    <row r="1178" spans="1:18" ht="15.75" x14ac:dyDescent="0.25">
      <c r="A1178" s="27" t="s">
        <v>15</v>
      </c>
      <c r="B1178" s="23">
        <v>-44312</v>
      </c>
      <c r="C1178" s="20">
        <v>80625</v>
      </c>
      <c r="D1178" s="23">
        <f t="shared" si="435"/>
        <v>36313</v>
      </c>
      <c r="E1178" s="7">
        <v>0</v>
      </c>
      <c r="F1178" s="23">
        <f t="shared" si="436"/>
        <v>36313</v>
      </c>
      <c r="G1178" s="23">
        <v>-444625</v>
      </c>
      <c r="H1178">
        <v>16.3</v>
      </c>
      <c r="K1178" s="27" t="s">
        <v>15</v>
      </c>
      <c r="L1178" s="23">
        <v>15500</v>
      </c>
      <c r="M1178" s="20">
        <v>105250</v>
      </c>
      <c r="N1178" s="23">
        <f t="shared" si="437"/>
        <v>120750</v>
      </c>
      <c r="O1178" s="7">
        <v>0</v>
      </c>
      <c r="P1178" s="23">
        <f t="shared" si="438"/>
        <v>120750</v>
      </c>
      <c r="Q1178" s="23">
        <v>-431875</v>
      </c>
      <c r="R1178">
        <v>14.6</v>
      </c>
    </row>
    <row r="1179" spans="1:18" ht="15.75" x14ac:dyDescent="0.25">
      <c r="A1179" s="27" t="s">
        <v>75</v>
      </c>
      <c r="B1179" s="23">
        <v>-11800</v>
      </c>
      <c r="C1179" s="20">
        <v>125500</v>
      </c>
      <c r="D1179" s="23">
        <f t="shared" si="435"/>
        <v>113700</v>
      </c>
      <c r="E1179" s="7">
        <v>0</v>
      </c>
      <c r="F1179" s="23">
        <f t="shared" si="436"/>
        <v>113700</v>
      </c>
      <c r="G1179" s="23">
        <v>-415000</v>
      </c>
      <c r="H1179">
        <v>13.85</v>
      </c>
      <c r="K1179" s="27" t="s">
        <v>75</v>
      </c>
      <c r="L1179" s="23">
        <v>-16700</v>
      </c>
      <c r="M1179" s="20">
        <v>167500</v>
      </c>
      <c r="N1179" s="23">
        <f t="shared" si="437"/>
        <v>150800</v>
      </c>
      <c r="O1179" s="7">
        <v>0</v>
      </c>
      <c r="P1179" s="23">
        <f t="shared" si="438"/>
        <v>150800</v>
      </c>
      <c r="Q1179" s="23">
        <v>-480000</v>
      </c>
      <c r="R1179">
        <v>11.8</v>
      </c>
    </row>
    <row r="1180" spans="1:18" ht="15.75" x14ac:dyDescent="0.25">
      <c r="A1180" s="27" t="s">
        <v>62</v>
      </c>
      <c r="B1180" s="23">
        <v>2685</v>
      </c>
      <c r="C1180" s="20">
        <v>114922.5</v>
      </c>
      <c r="D1180" s="23">
        <f t="shared" si="435"/>
        <v>117607.5</v>
      </c>
      <c r="E1180" s="7">
        <v>0</v>
      </c>
      <c r="F1180" s="23">
        <f t="shared" si="436"/>
        <v>117607.5</v>
      </c>
      <c r="G1180" s="23">
        <v>-431730</v>
      </c>
      <c r="H1180">
        <v>164.75</v>
      </c>
      <c r="K1180" s="27" t="s">
        <v>62</v>
      </c>
      <c r="L1180" s="23">
        <v>637</v>
      </c>
      <c r="M1180" s="20">
        <v>80400</v>
      </c>
      <c r="N1180" s="23">
        <f t="shared" si="437"/>
        <v>81037</v>
      </c>
      <c r="O1180" s="7">
        <v>0</v>
      </c>
      <c r="P1180" s="23">
        <f t="shared" si="438"/>
        <v>81037</v>
      </c>
      <c r="Q1180" s="23">
        <v>-504540</v>
      </c>
      <c r="R1180">
        <v>148.94999999999999</v>
      </c>
    </row>
    <row r="1181" spans="1:18" ht="15.75" x14ac:dyDescent="0.25">
      <c r="A1181" s="21" t="s">
        <v>107</v>
      </c>
      <c r="B1181" s="22">
        <f t="shared" ref="B1181:G1181" si="439">SUM(B1168:B1180)</f>
        <v>-96737</v>
      </c>
      <c r="C1181" s="18">
        <f t="shared" si="439"/>
        <v>1308777.5</v>
      </c>
      <c r="D1181" s="23">
        <f t="shared" si="439"/>
        <v>1212040.5</v>
      </c>
      <c r="E1181" s="18">
        <f t="shared" si="439"/>
        <v>0</v>
      </c>
      <c r="F1181" s="23">
        <f t="shared" si="439"/>
        <v>1212040.5</v>
      </c>
      <c r="G1181" s="17">
        <f t="shared" si="439"/>
        <v>-5388272.5</v>
      </c>
      <c r="K1181" s="21" t="s">
        <v>107</v>
      </c>
      <c r="L1181" s="22">
        <f t="shared" ref="L1181:Q1181" si="440">SUM(L1168:L1180)</f>
        <v>-63873</v>
      </c>
      <c r="M1181" s="18">
        <f t="shared" si="440"/>
        <v>766257.5</v>
      </c>
      <c r="N1181" s="23">
        <f t="shared" si="440"/>
        <v>702384.5</v>
      </c>
      <c r="O1181" s="18">
        <f t="shared" si="440"/>
        <v>0</v>
      </c>
      <c r="P1181" s="23">
        <f t="shared" si="440"/>
        <v>702384.5</v>
      </c>
      <c r="Q1181" s="17">
        <f t="shared" si="440"/>
        <v>-5613870</v>
      </c>
    </row>
    <row r="1184" spans="1:18" ht="15.75" x14ac:dyDescent="0.25">
      <c r="A1184" s="106">
        <v>45161</v>
      </c>
      <c r="B1184" s="106"/>
      <c r="C1184" s="106"/>
      <c r="D1184" s="106"/>
      <c r="E1184" s="106"/>
      <c r="F1184" s="106"/>
      <c r="G1184" s="106"/>
      <c r="K1184" s="106">
        <v>45162</v>
      </c>
      <c r="L1184" s="106"/>
      <c r="M1184" s="106"/>
      <c r="N1184" s="106"/>
      <c r="O1184" s="106"/>
      <c r="P1184" s="106"/>
      <c r="Q1184" s="106"/>
    </row>
    <row r="1185" spans="1:17" ht="15.75" x14ac:dyDescent="0.25">
      <c r="A1185" s="22" t="s">
        <v>34</v>
      </c>
      <c r="B1185" s="22" t="s">
        <v>104</v>
      </c>
      <c r="C1185" s="22" t="s">
        <v>105</v>
      </c>
      <c r="D1185" s="22" t="s">
        <v>112</v>
      </c>
      <c r="E1185" s="22" t="s">
        <v>106</v>
      </c>
      <c r="F1185" s="21" t="s">
        <v>108</v>
      </c>
      <c r="G1185" s="21" t="s">
        <v>28</v>
      </c>
      <c r="K1185" s="22" t="s">
        <v>34</v>
      </c>
      <c r="L1185" s="22" t="s">
        <v>104</v>
      </c>
      <c r="M1185" s="22" t="s">
        <v>105</v>
      </c>
      <c r="N1185" s="22" t="s">
        <v>112</v>
      </c>
      <c r="O1185" s="22" t="s">
        <v>106</v>
      </c>
      <c r="P1185" s="21" t="s">
        <v>108</v>
      </c>
      <c r="Q1185" s="21" t="s">
        <v>28</v>
      </c>
    </row>
    <row r="1186" spans="1:17" ht="15.75" x14ac:dyDescent="0.25">
      <c r="A1186" s="27" t="s">
        <v>71</v>
      </c>
      <c r="B1186" s="23">
        <v>-55505</v>
      </c>
      <c r="C1186" s="20">
        <v>-10795</v>
      </c>
      <c r="D1186" s="23">
        <f t="shared" ref="D1186:D1199" si="441">+C1186+B1186</f>
        <v>-66300</v>
      </c>
      <c r="E1186" s="7">
        <v>0</v>
      </c>
      <c r="F1186" s="23">
        <f t="shared" ref="F1186:F1199" si="442">+B1186+C1186-E1186</f>
        <v>-66300</v>
      </c>
      <c r="G1186" s="23">
        <v>-387090</v>
      </c>
      <c r="K1186" s="27" t="s">
        <v>71</v>
      </c>
      <c r="L1186" s="23">
        <v>-10710</v>
      </c>
      <c r="M1186" s="20">
        <v>72165</v>
      </c>
      <c r="N1186" s="23">
        <f t="shared" ref="N1186:N1199" si="443">+M1186+L1186</f>
        <v>61455</v>
      </c>
      <c r="O1186" s="7">
        <v>0</v>
      </c>
      <c r="P1186" s="23">
        <f t="shared" ref="P1186:P1199" si="444">+L1186+M1186-O1186</f>
        <v>61455</v>
      </c>
      <c r="Q1186" s="23">
        <v>-262990</v>
      </c>
    </row>
    <row r="1187" spans="1:17" ht="15.75" x14ac:dyDescent="0.25">
      <c r="A1187" s="27" t="s">
        <v>61</v>
      </c>
      <c r="B1187" s="23">
        <v>-21890</v>
      </c>
      <c r="C1187" s="20">
        <v>22825.000000000004</v>
      </c>
      <c r="D1187" s="23">
        <f t="shared" si="441"/>
        <v>935.00000000000364</v>
      </c>
      <c r="E1187" s="7">
        <v>0</v>
      </c>
      <c r="F1187" s="23">
        <f t="shared" si="442"/>
        <v>935.00000000000364</v>
      </c>
      <c r="G1187" s="23">
        <v>-517550</v>
      </c>
      <c r="K1187" s="27" t="s">
        <v>61</v>
      </c>
      <c r="L1187" s="23">
        <v>22110</v>
      </c>
      <c r="M1187" s="20">
        <v>14300</v>
      </c>
      <c r="N1187" s="23">
        <f t="shared" si="443"/>
        <v>36410</v>
      </c>
      <c r="O1187" s="7">
        <v>0</v>
      </c>
      <c r="P1187" s="23">
        <f t="shared" si="444"/>
        <v>36410</v>
      </c>
      <c r="Q1187" s="23">
        <v>-481800</v>
      </c>
    </row>
    <row r="1188" spans="1:17" ht="15.75" x14ac:dyDescent="0.25">
      <c r="A1188" s="27" t="s">
        <v>94</v>
      </c>
      <c r="B1188" s="23">
        <v>-27125</v>
      </c>
      <c r="C1188" s="20">
        <v>16250</v>
      </c>
      <c r="D1188" s="23">
        <f t="shared" si="441"/>
        <v>-10875</v>
      </c>
      <c r="E1188" s="7">
        <v>0</v>
      </c>
      <c r="F1188" s="23">
        <f t="shared" si="442"/>
        <v>-10875</v>
      </c>
      <c r="G1188" s="23">
        <v>-452500</v>
      </c>
      <c r="K1188" s="27" t="s">
        <v>94</v>
      </c>
      <c r="L1188" s="23">
        <v>-25625</v>
      </c>
      <c r="M1188" s="20">
        <v>50000</v>
      </c>
      <c r="N1188" s="23">
        <f t="shared" si="443"/>
        <v>24375</v>
      </c>
      <c r="O1188" s="7">
        <v>0</v>
      </c>
      <c r="P1188" s="23">
        <f t="shared" si="444"/>
        <v>24375</v>
      </c>
      <c r="Q1188" s="23">
        <v>-401250</v>
      </c>
    </row>
    <row r="1189" spans="1:17" ht="15.75" x14ac:dyDescent="0.25">
      <c r="A1189" s="27" t="s">
        <v>83</v>
      </c>
      <c r="B1189" s="23">
        <v>54135</v>
      </c>
      <c r="C1189" s="20">
        <v>-27810</v>
      </c>
      <c r="D1189" s="23">
        <f t="shared" si="441"/>
        <v>26325</v>
      </c>
      <c r="E1189" s="7">
        <v>0</v>
      </c>
      <c r="F1189" s="23">
        <f t="shared" si="442"/>
        <v>26325</v>
      </c>
      <c r="G1189" s="23">
        <v>-415125</v>
      </c>
      <c r="K1189" s="27" t="s">
        <v>83</v>
      </c>
      <c r="L1189" s="23">
        <v>-7020</v>
      </c>
      <c r="M1189" s="20">
        <v>36855</v>
      </c>
      <c r="N1189" s="23">
        <f t="shared" si="443"/>
        <v>29835</v>
      </c>
      <c r="O1189" s="7">
        <v>0</v>
      </c>
      <c r="P1189" s="23">
        <f t="shared" si="444"/>
        <v>29835</v>
      </c>
      <c r="Q1189" s="23">
        <v>-388125</v>
      </c>
    </row>
    <row r="1190" spans="1:17" ht="15.75" x14ac:dyDescent="0.25">
      <c r="A1190" s="27" t="s">
        <v>54</v>
      </c>
      <c r="B1190" s="23">
        <v>-48350</v>
      </c>
      <c r="C1190" s="20">
        <v>0</v>
      </c>
      <c r="D1190" s="23">
        <f t="shared" si="441"/>
        <v>-48350</v>
      </c>
      <c r="E1190" s="7">
        <v>0</v>
      </c>
      <c r="F1190" s="23">
        <f t="shared" si="442"/>
        <v>-48350</v>
      </c>
      <c r="G1190" s="23">
        <v>-395400</v>
      </c>
      <c r="K1190" s="27" t="s">
        <v>54</v>
      </c>
      <c r="L1190" s="23">
        <v>-22450</v>
      </c>
      <c r="M1190" s="20">
        <v>137000</v>
      </c>
      <c r="N1190" s="23">
        <f t="shared" si="443"/>
        <v>114550</v>
      </c>
      <c r="O1190" s="7">
        <v>0</v>
      </c>
      <c r="P1190" s="23">
        <f t="shared" si="444"/>
        <v>114550</v>
      </c>
      <c r="Q1190" s="23">
        <v>-216000</v>
      </c>
    </row>
    <row r="1191" spans="1:17" ht="15.75" x14ac:dyDescent="0.25">
      <c r="A1191" s="27" t="s">
        <v>82</v>
      </c>
      <c r="B1191" s="23">
        <v>71416</v>
      </c>
      <c r="C1191" s="20">
        <v>-28642.5</v>
      </c>
      <c r="D1191" s="23">
        <f t="shared" si="441"/>
        <v>42773.5</v>
      </c>
      <c r="E1191" s="7">
        <v>0</v>
      </c>
      <c r="F1191" s="23">
        <f t="shared" si="442"/>
        <v>42773.5</v>
      </c>
      <c r="G1191" s="23">
        <v>-443887.5</v>
      </c>
      <c r="K1191" s="27" t="s">
        <v>82</v>
      </c>
      <c r="L1191" s="23">
        <v>-136800</v>
      </c>
      <c r="M1191" s="20">
        <v>-31825</v>
      </c>
      <c r="N1191" s="23">
        <f t="shared" si="443"/>
        <v>-168625</v>
      </c>
      <c r="O1191" s="7">
        <v>0</v>
      </c>
      <c r="P1191" s="23">
        <f t="shared" si="444"/>
        <v>-168625</v>
      </c>
      <c r="Q1191" s="23">
        <v>-430255</v>
      </c>
    </row>
    <row r="1192" spans="1:17" ht="15.75" x14ac:dyDescent="0.25">
      <c r="A1192" s="27" t="s">
        <v>40</v>
      </c>
      <c r="B1192" s="23">
        <v>-32106</v>
      </c>
      <c r="C1192" s="20">
        <v>49775</v>
      </c>
      <c r="D1192" s="23">
        <f t="shared" si="441"/>
        <v>17669</v>
      </c>
      <c r="E1192" s="7">
        <v>0</v>
      </c>
      <c r="F1192" s="23">
        <f t="shared" si="442"/>
        <v>17669</v>
      </c>
      <c r="G1192" s="23">
        <v>-306900</v>
      </c>
      <c r="K1192" s="27" t="s">
        <v>40</v>
      </c>
      <c r="L1192" s="23">
        <v>-10862</v>
      </c>
      <c r="M1192" s="20">
        <v>86900</v>
      </c>
      <c r="N1192" s="23">
        <f t="shared" si="443"/>
        <v>76038</v>
      </c>
      <c r="O1192" s="7">
        <v>0</v>
      </c>
      <c r="P1192" s="23">
        <f t="shared" si="444"/>
        <v>76038</v>
      </c>
      <c r="Q1192" s="23">
        <v>-246400</v>
      </c>
    </row>
    <row r="1193" spans="1:17" ht="15.75" x14ac:dyDescent="0.25">
      <c r="A1193" s="27" t="s">
        <v>92</v>
      </c>
      <c r="B1193" s="23">
        <v>-200100</v>
      </c>
      <c r="C1193" s="20">
        <v>-286100</v>
      </c>
      <c r="D1193" s="23">
        <f t="shared" si="441"/>
        <v>-486200</v>
      </c>
      <c r="E1193" s="7">
        <v>0</v>
      </c>
      <c r="F1193" s="23">
        <f t="shared" si="442"/>
        <v>-486200</v>
      </c>
      <c r="G1193" s="23">
        <v>-486300</v>
      </c>
      <c r="K1193" s="27" t="s">
        <v>92</v>
      </c>
      <c r="L1193" s="23">
        <v>-13000</v>
      </c>
      <c r="M1193" s="20">
        <v>136000</v>
      </c>
      <c r="N1193" s="23">
        <f t="shared" si="443"/>
        <v>123000</v>
      </c>
      <c r="O1193" s="7">
        <v>0</v>
      </c>
      <c r="P1193" s="23">
        <f t="shared" si="444"/>
        <v>123000</v>
      </c>
      <c r="Q1193" s="23">
        <v>-339500</v>
      </c>
    </row>
    <row r="1194" spans="1:17" ht="15.75" x14ac:dyDescent="0.25">
      <c r="A1194" s="27" t="s">
        <v>96</v>
      </c>
      <c r="B1194" s="23">
        <v>2318</v>
      </c>
      <c r="C1194" s="20">
        <v>31062.5</v>
      </c>
      <c r="D1194" s="23">
        <f t="shared" si="441"/>
        <v>33380.5</v>
      </c>
      <c r="E1194" s="7">
        <v>0</v>
      </c>
      <c r="F1194" s="23">
        <f t="shared" si="442"/>
        <v>33380.5</v>
      </c>
      <c r="G1194" s="23">
        <v>-485275</v>
      </c>
      <c r="K1194" s="27" t="s">
        <v>96</v>
      </c>
      <c r="L1194" s="23">
        <v>56918</v>
      </c>
      <c r="M1194" s="20">
        <v>-43312.5</v>
      </c>
      <c r="N1194" s="23">
        <f t="shared" si="443"/>
        <v>13605.5</v>
      </c>
      <c r="O1194" s="7">
        <v>0</v>
      </c>
      <c r="P1194" s="23">
        <f t="shared" si="444"/>
        <v>13605.5</v>
      </c>
      <c r="Q1194" s="23">
        <v>-443625</v>
      </c>
    </row>
    <row r="1195" spans="1:17" ht="15.75" x14ac:dyDescent="0.25">
      <c r="A1195" s="27" t="s">
        <v>97</v>
      </c>
      <c r="B1195" s="23">
        <v>-11375</v>
      </c>
      <c r="C1195" s="20">
        <v>44125</v>
      </c>
      <c r="D1195" s="23">
        <f t="shared" si="441"/>
        <v>32750</v>
      </c>
      <c r="E1195" s="7">
        <v>0</v>
      </c>
      <c r="F1195" s="23">
        <f t="shared" si="442"/>
        <v>32750</v>
      </c>
      <c r="G1195" s="23">
        <v>-428500</v>
      </c>
      <c r="K1195" s="27" t="s">
        <v>97</v>
      </c>
      <c r="L1195" s="23">
        <v>48375</v>
      </c>
      <c r="M1195" s="20">
        <v>-158000</v>
      </c>
      <c r="N1195" s="23">
        <f t="shared" si="443"/>
        <v>-109625</v>
      </c>
      <c r="O1195" s="7">
        <v>0</v>
      </c>
      <c r="P1195" s="23">
        <f t="shared" si="444"/>
        <v>-109625</v>
      </c>
      <c r="Q1195" s="23">
        <v>-475125</v>
      </c>
    </row>
    <row r="1196" spans="1:17" ht="15.75" x14ac:dyDescent="0.25">
      <c r="A1196" s="27" t="s">
        <v>15</v>
      </c>
      <c r="B1196" s="23">
        <v>-2750</v>
      </c>
      <c r="C1196" s="20">
        <v>110062.5</v>
      </c>
      <c r="D1196" s="23">
        <f t="shared" si="441"/>
        <v>107312.5</v>
      </c>
      <c r="E1196" s="7">
        <v>0</v>
      </c>
      <c r="F1196" s="23">
        <f t="shared" si="442"/>
        <v>107312.5</v>
      </c>
      <c r="G1196" s="23">
        <v>-461937.5</v>
      </c>
      <c r="K1196" s="27" t="s">
        <v>15</v>
      </c>
      <c r="L1196" s="23">
        <v>22812</v>
      </c>
      <c r="M1196" s="20">
        <v>-106437.5</v>
      </c>
      <c r="N1196" s="23">
        <f t="shared" si="443"/>
        <v>-83625.5</v>
      </c>
      <c r="O1196" s="7">
        <v>0</v>
      </c>
      <c r="P1196" s="23">
        <f t="shared" si="444"/>
        <v>-83625.5</v>
      </c>
      <c r="Q1196" s="23">
        <v>-462750</v>
      </c>
    </row>
    <row r="1197" spans="1:17" ht="15.75" x14ac:dyDescent="0.25">
      <c r="A1197" s="27" t="s">
        <v>75</v>
      </c>
      <c r="B1197" s="23">
        <v>-42700</v>
      </c>
      <c r="C1197" s="20">
        <v>112000.00000000001</v>
      </c>
      <c r="D1197" s="23">
        <f t="shared" si="441"/>
        <v>69300.000000000015</v>
      </c>
      <c r="E1197" s="7">
        <v>0</v>
      </c>
      <c r="F1197" s="23">
        <f t="shared" si="442"/>
        <v>69300.000000000015</v>
      </c>
      <c r="G1197" s="23">
        <v>-390000</v>
      </c>
      <c r="K1197" s="27" t="s">
        <v>75</v>
      </c>
      <c r="L1197" s="23">
        <v>18100</v>
      </c>
      <c r="M1197" s="20">
        <v>81300.000000000015</v>
      </c>
      <c r="N1197" s="23">
        <f t="shared" si="443"/>
        <v>99400.000000000015</v>
      </c>
      <c r="O1197" s="7">
        <v>0</v>
      </c>
      <c r="P1197" s="23">
        <f t="shared" si="444"/>
        <v>99400.000000000015</v>
      </c>
      <c r="Q1197" s="23">
        <v>-354200</v>
      </c>
    </row>
    <row r="1198" spans="1:17" ht="15.75" x14ac:dyDescent="0.25">
      <c r="A1198" s="27" t="s">
        <v>62</v>
      </c>
      <c r="B1198" s="23">
        <v>101</v>
      </c>
      <c r="C1198" s="20">
        <v>-600</v>
      </c>
      <c r="D1198" s="23">
        <f t="shared" si="441"/>
        <v>-499</v>
      </c>
      <c r="E1198" s="7">
        <v>0</v>
      </c>
      <c r="F1198" s="23">
        <f t="shared" si="442"/>
        <v>-499</v>
      </c>
      <c r="G1198" s="23">
        <v>-438435</v>
      </c>
      <c r="K1198" s="27" t="s">
        <v>62</v>
      </c>
      <c r="L1198" s="23">
        <v>-131340</v>
      </c>
      <c r="M1198" s="20">
        <v>-30780</v>
      </c>
      <c r="N1198" s="23">
        <f t="shared" si="443"/>
        <v>-162120</v>
      </c>
      <c r="O1198" s="7">
        <v>0</v>
      </c>
      <c r="P1198" s="23">
        <f t="shared" si="444"/>
        <v>-162120</v>
      </c>
      <c r="Q1198" s="23">
        <v>-525780</v>
      </c>
    </row>
    <row r="1199" spans="1:17" ht="15.75" x14ac:dyDescent="0.25">
      <c r="A1199" s="27" t="s">
        <v>42</v>
      </c>
      <c r="B1199" s="23">
        <v>-47975</v>
      </c>
      <c r="C1199" s="20">
        <v>0</v>
      </c>
      <c r="D1199" s="23">
        <f t="shared" si="441"/>
        <v>-47975</v>
      </c>
      <c r="E1199" s="7"/>
      <c r="F1199" s="23">
        <f t="shared" si="442"/>
        <v>-47975</v>
      </c>
      <c r="G1199" s="23">
        <v>-340100</v>
      </c>
      <c r="K1199" s="27" t="s">
        <v>42</v>
      </c>
      <c r="L1199" s="23">
        <v>-8550</v>
      </c>
      <c r="M1199" s="20">
        <v>83125</v>
      </c>
      <c r="N1199" s="23">
        <f t="shared" si="443"/>
        <v>74575</v>
      </c>
      <c r="O1199" s="7"/>
      <c r="P1199" s="23">
        <f t="shared" si="444"/>
        <v>74575</v>
      </c>
      <c r="Q1199" s="23">
        <v>-350550</v>
      </c>
    </row>
    <row r="1200" spans="1:17" ht="15.75" x14ac:dyDescent="0.25">
      <c r="A1200" s="21" t="s">
        <v>107</v>
      </c>
      <c r="B1200" s="22">
        <f t="shared" ref="B1200:G1200" si="445">SUM(B1186:B1199)</f>
        <v>-361906</v>
      </c>
      <c r="C1200" s="18">
        <f t="shared" si="445"/>
        <v>32152.500000000015</v>
      </c>
      <c r="D1200" s="23">
        <f t="shared" si="445"/>
        <v>-329753.5</v>
      </c>
      <c r="E1200" s="18">
        <f t="shared" si="445"/>
        <v>0</v>
      </c>
      <c r="F1200" s="23">
        <f t="shared" si="445"/>
        <v>-329753.5</v>
      </c>
      <c r="G1200" s="17">
        <f t="shared" si="445"/>
        <v>-5949000</v>
      </c>
      <c r="K1200" s="21" t="s">
        <v>107</v>
      </c>
      <c r="L1200" s="22">
        <f t="shared" ref="L1200:Q1200" si="446">SUM(L1186:L1199)</f>
        <v>-198042</v>
      </c>
      <c r="M1200" s="18">
        <f t="shared" si="446"/>
        <v>327290</v>
      </c>
      <c r="N1200" s="23">
        <f t="shared" si="446"/>
        <v>129248</v>
      </c>
      <c r="O1200" s="18">
        <f t="shared" si="446"/>
        <v>0</v>
      </c>
      <c r="P1200" s="23">
        <f t="shared" si="446"/>
        <v>129248</v>
      </c>
      <c r="Q1200" s="17">
        <f t="shared" si="446"/>
        <v>-5378350</v>
      </c>
    </row>
    <row r="1203" spans="1:18" ht="15.75" x14ac:dyDescent="0.25">
      <c r="A1203" s="106">
        <v>45163</v>
      </c>
      <c r="B1203" s="106"/>
      <c r="C1203" s="106"/>
      <c r="D1203" s="106"/>
      <c r="E1203" s="106"/>
      <c r="F1203" s="106"/>
      <c r="G1203" s="106"/>
      <c r="K1203" s="106">
        <v>45166</v>
      </c>
      <c r="L1203" s="106"/>
      <c r="M1203" s="106"/>
      <c r="N1203" s="106"/>
      <c r="O1203" s="106"/>
      <c r="P1203" s="106"/>
      <c r="Q1203" s="106"/>
    </row>
    <row r="1204" spans="1:18" ht="15.75" x14ac:dyDescent="0.25">
      <c r="A1204" s="22" t="s">
        <v>34</v>
      </c>
      <c r="B1204" s="22" t="s">
        <v>104</v>
      </c>
      <c r="C1204" s="22" t="s">
        <v>105</v>
      </c>
      <c r="D1204" s="22" t="s">
        <v>112</v>
      </c>
      <c r="E1204" s="22" t="s">
        <v>106</v>
      </c>
      <c r="F1204" s="21" t="s">
        <v>108</v>
      </c>
      <c r="G1204" s="21" t="s">
        <v>28</v>
      </c>
      <c r="K1204" s="22" t="s">
        <v>34</v>
      </c>
      <c r="L1204" s="22" t="s">
        <v>104</v>
      </c>
      <c r="M1204" s="22" t="s">
        <v>105</v>
      </c>
      <c r="N1204" s="22" t="s">
        <v>112</v>
      </c>
      <c r="O1204" s="22" t="s">
        <v>106</v>
      </c>
      <c r="P1204" s="21" t="s">
        <v>108</v>
      </c>
      <c r="Q1204" s="21" t="s">
        <v>28</v>
      </c>
    </row>
    <row r="1205" spans="1:18" ht="15.75" x14ac:dyDescent="0.25">
      <c r="A1205" s="27" t="s">
        <v>71</v>
      </c>
      <c r="B1205" s="23">
        <f>-30345-28645</f>
        <v>-58990</v>
      </c>
      <c r="C1205" s="20">
        <v>-24820</v>
      </c>
      <c r="D1205" s="23">
        <f t="shared" ref="D1205:D1219" si="447">+C1205+B1205</f>
        <v>-83810</v>
      </c>
      <c r="E1205" s="7">
        <v>0</v>
      </c>
      <c r="F1205" s="23">
        <f t="shared" ref="F1205:F1218" si="448">+B1205+C1205-E1205</f>
        <v>-83810</v>
      </c>
      <c r="G1205" s="23">
        <v>-530740</v>
      </c>
      <c r="H1205">
        <v>9.65</v>
      </c>
      <c r="K1205" s="27" t="s">
        <v>71</v>
      </c>
      <c r="L1205" s="23">
        <v>-35870</v>
      </c>
      <c r="M1205" s="20">
        <v>173910</v>
      </c>
      <c r="N1205" s="23">
        <f t="shared" ref="N1205:N1219" si="449">+M1205+L1205</f>
        <v>138040</v>
      </c>
      <c r="O1205" s="7">
        <v>0</v>
      </c>
      <c r="P1205" s="23">
        <f t="shared" ref="P1205:P1219" si="450">+L1205+M1205-O1205</f>
        <v>138040</v>
      </c>
      <c r="Q1205" s="23">
        <v>-388960</v>
      </c>
      <c r="R1205">
        <v>7.3500000000000005</v>
      </c>
    </row>
    <row r="1206" spans="1:18" ht="15.75" x14ac:dyDescent="0.25">
      <c r="A1206" s="27" t="s">
        <v>61</v>
      </c>
      <c r="B1206" s="23">
        <v>-50895</v>
      </c>
      <c r="C1206" s="20">
        <v>105930</v>
      </c>
      <c r="D1206" s="23">
        <f t="shared" si="447"/>
        <v>55035</v>
      </c>
      <c r="E1206" s="7">
        <v>0</v>
      </c>
      <c r="F1206" s="23">
        <f t="shared" si="448"/>
        <v>55035</v>
      </c>
      <c r="G1206" s="23">
        <v>-662310</v>
      </c>
      <c r="H1206">
        <v>19.8</v>
      </c>
      <c r="K1206" s="27" t="s">
        <v>61</v>
      </c>
      <c r="L1206" s="23">
        <v>-99275</v>
      </c>
      <c r="M1206" s="20">
        <v>150645</v>
      </c>
      <c r="N1206" s="23">
        <f t="shared" si="449"/>
        <v>51370</v>
      </c>
      <c r="O1206" s="7">
        <v>0</v>
      </c>
      <c r="P1206" s="23">
        <f t="shared" si="450"/>
        <v>51370</v>
      </c>
      <c r="Q1206" s="23">
        <v>-672650</v>
      </c>
      <c r="R1206">
        <v>16.95</v>
      </c>
    </row>
    <row r="1207" spans="1:18" ht="15.75" x14ac:dyDescent="0.25">
      <c r="A1207" s="27" t="s">
        <v>94</v>
      </c>
      <c r="B1207" s="23">
        <v>-23375</v>
      </c>
      <c r="C1207" s="20">
        <v>141000</v>
      </c>
      <c r="D1207" s="23">
        <f t="shared" si="447"/>
        <v>117625</v>
      </c>
      <c r="E1207" s="7">
        <v>0</v>
      </c>
      <c r="F1207" s="23">
        <f t="shared" si="448"/>
        <v>117625</v>
      </c>
      <c r="G1207" s="23">
        <v>-426250</v>
      </c>
      <c r="H1207">
        <v>6.2</v>
      </c>
      <c r="K1207" s="27" t="s">
        <v>94</v>
      </c>
      <c r="L1207" s="23">
        <v>-17500</v>
      </c>
      <c r="M1207" s="20">
        <v>56250</v>
      </c>
      <c r="N1207" s="23">
        <f t="shared" si="449"/>
        <v>38750</v>
      </c>
      <c r="O1207" s="7">
        <v>0</v>
      </c>
      <c r="P1207" s="23">
        <f t="shared" si="450"/>
        <v>38750</v>
      </c>
      <c r="Q1207" s="23">
        <v>-471250</v>
      </c>
      <c r="R1207">
        <v>4.8499999999999996</v>
      </c>
    </row>
    <row r="1208" spans="1:18" ht="15.75" x14ac:dyDescent="0.25">
      <c r="A1208" s="27" t="s">
        <v>83</v>
      </c>
      <c r="B1208" s="23">
        <v>104355</v>
      </c>
      <c r="C1208" s="20">
        <v>-147420</v>
      </c>
      <c r="D1208" s="23">
        <f t="shared" si="447"/>
        <v>-43065</v>
      </c>
      <c r="E1208" s="7">
        <v>0</v>
      </c>
      <c r="F1208" s="23">
        <f t="shared" si="448"/>
        <v>-43065</v>
      </c>
      <c r="G1208" s="23">
        <v>-535680</v>
      </c>
      <c r="H1208">
        <v>8.25</v>
      </c>
      <c r="K1208" s="27" t="s">
        <v>83</v>
      </c>
      <c r="L1208" s="23">
        <v>-5400</v>
      </c>
      <c r="M1208" s="20">
        <v>278640</v>
      </c>
      <c r="N1208" s="23">
        <f t="shared" si="449"/>
        <v>273240</v>
      </c>
      <c r="O1208" s="7">
        <v>0</v>
      </c>
      <c r="P1208" s="23">
        <f t="shared" si="450"/>
        <v>273240</v>
      </c>
      <c r="Q1208" s="23">
        <v>-348570</v>
      </c>
      <c r="R1208">
        <v>5.9</v>
      </c>
    </row>
    <row r="1209" spans="1:18" ht="15.75" x14ac:dyDescent="0.25">
      <c r="A1209" s="27" t="s">
        <v>54</v>
      </c>
      <c r="B1209" s="23">
        <v>59250</v>
      </c>
      <c r="C1209" s="20">
        <v>12500</v>
      </c>
      <c r="D1209" s="23">
        <f t="shared" si="447"/>
        <v>71750</v>
      </c>
      <c r="E1209" s="7">
        <v>0</v>
      </c>
      <c r="F1209" s="23">
        <f t="shared" si="448"/>
        <v>71750</v>
      </c>
      <c r="G1209" s="23">
        <v>-337000</v>
      </c>
      <c r="H1209">
        <v>12.600000000000001</v>
      </c>
      <c r="K1209" s="27" t="s">
        <v>54</v>
      </c>
      <c r="L1209" s="23">
        <v>-97300</v>
      </c>
      <c r="M1209" s="20">
        <v>56400</v>
      </c>
      <c r="N1209" s="23">
        <f t="shared" si="449"/>
        <v>-40900</v>
      </c>
      <c r="O1209" s="7">
        <v>0</v>
      </c>
      <c r="P1209" s="23">
        <f t="shared" si="450"/>
        <v>-40900</v>
      </c>
      <c r="Q1209" s="23">
        <v>-291000</v>
      </c>
      <c r="R1209">
        <v>8.8999999999999986</v>
      </c>
    </row>
    <row r="1210" spans="1:18" ht="15.75" x14ac:dyDescent="0.25">
      <c r="A1210" s="27" t="s">
        <v>82</v>
      </c>
      <c r="B1210" s="23">
        <v>-12468</v>
      </c>
      <c r="C1210" s="20">
        <v>-30067.5</v>
      </c>
      <c r="D1210" s="23">
        <f t="shared" si="447"/>
        <v>-42535.5</v>
      </c>
      <c r="E1210" s="7">
        <v>0</v>
      </c>
      <c r="F1210" s="23">
        <f t="shared" si="448"/>
        <v>-42535.5</v>
      </c>
      <c r="G1210" s="23">
        <v>-515125</v>
      </c>
      <c r="H1210">
        <v>39.299999999999997</v>
      </c>
      <c r="K1210" s="27" t="s">
        <v>82</v>
      </c>
      <c r="L1210" s="23">
        <v>-86616</v>
      </c>
      <c r="M1210" s="20">
        <v>97147.499999999985</v>
      </c>
      <c r="N1210" s="23">
        <f t="shared" si="449"/>
        <v>10531.499999999985</v>
      </c>
      <c r="O1210" s="7">
        <v>0</v>
      </c>
      <c r="P1210" s="23">
        <f t="shared" si="450"/>
        <v>10531.499999999985</v>
      </c>
      <c r="Q1210" s="20">
        <v>-690021.25</v>
      </c>
      <c r="R1210">
        <v>34.65</v>
      </c>
    </row>
    <row r="1211" spans="1:18" ht="15.75" x14ac:dyDescent="0.25">
      <c r="A1211" s="27" t="s">
        <v>40</v>
      </c>
      <c r="B1211" s="23">
        <v>30387</v>
      </c>
      <c r="C1211" s="20">
        <v>38500</v>
      </c>
      <c r="D1211" s="23">
        <f t="shared" si="447"/>
        <v>68887</v>
      </c>
      <c r="E1211" s="7">
        <v>0</v>
      </c>
      <c r="F1211" s="23">
        <f t="shared" si="448"/>
        <v>68887</v>
      </c>
      <c r="G1211" s="23">
        <v>-350006.25</v>
      </c>
      <c r="H1211">
        <v>8.5</v>
      </c>
      <c r="K1211" s="27" t="s">
        <v>40</v>
      </c>
      <c r="L1211" s="23">
        <v>-16775</v>
      </c>
      <c r="M1211" s="20">
        <v>-4262.5</v>
      </c>
      <c r="N1211" s="23">
        <f t="shared" si="449"/>
        <v>-21037.5</v>
      </c>
      <c r="O1211" s="7">
        <v>0</v>
      </c>
      <c r="P1211" s="23">
        <f t="shared" si="450"/>
        <v>-21037.5</v>
      </c>
      <c r="Q1211" s="23">
        <v>-382800</v>
      </c>
      <c r="R1211">
        <v>7</v>
      </c>
    </row>
    <row r="1212" spans="1:18" ht="15.75" x14ac:dyDescent="0.25">
      <c r="A1212" s="27" t="s">
        <v>92</v>
      </c>
      <c r="B1212" s="23">
        <v>74100</v>
      </c>
      <c r="C1212" s="20">
        <v>-113000</v>
      </c>
      <c r="D1212" s="23">
        <f t="shared" si="447"/>
        <v>-38900</v>
      </c>
      <c r="E1212" s="7">
        <v>0</v>
      </c>
      <c r="F1212" s="23">
        <f t="shared" si="448"/>
        <v>-38900</v>
      </c>
      <c r="G1212" s="23">
        <v>-530000</v>
      </c>
      <c r="H1212">
        <v>9.3999999999999986</v>
      </c>
      <c r="K1212" s="27" t="s">
        <v>92</v>
      </c>
      <c r="L1212" s="23">
        <v>-8800</v>
      </c>
      <c r="M1212" s="20">
        <v>156000</v>
      </c>
      <c r="N1212" s="23">
        <f t="shared" si="449"/>
        <v>147200</v>
      </c>
      <c r="O1212" s="7">
        <v>0</v>
      </c>
      <c r="P1212" s="23">
        <f t="shared" si="450"/>
        <v>147200</v>
      </c>
      <c r="Q1212" s="23">
        <v>-366000</v>
      </c>
      <c r="R1212">
        <v>7.6999999999999993</v>
      </c>
    </row>
    <row r="1213" spans="1:18" ht="15.75" x14ac:dyDescent="0.25">
      <c r="A1213" s="27" t="s">
        <v>96</v>
      </c>
      <c r="B1213" s="23">
        <v>-159293</v>
      </c>
      <c r="C1213" s="20">
        <v>31762.5</v>
      </c>
      <c r="D1213" s="23">
        <f t="shared" si="447"/>
        <v>-127530.5</v>
      </c>
      <c r="E1213" s="7">
        <v>0</v>
      </c>
      <c r="F1213" s="23">
        <f t="shared" si="448"/>
        <v>-127530.5</v>
      </c>
      <c r="G1213" s="23">
        <v>-504900</v>
      </c>
      <c r="H1213">
        <v>15.350000000000001</v>
      </c>
      <c r="K1213" s="27" t="s">
        <v>96</v>
      </c>
      <c r="L1213" s="23">
        <v>-192150</v>
      </c>
      <c r="M1213" s="20">
        <v>-276487.5</v>
      </c>
      <c r="N1213" s="23">
        <f t="shared" si="449"/>
        <v>-468637.5</v>
      </c>
      <c r="O1213" s="7">
        <v>0</v>
      </c>
      <c r="P1213" s="23">
        <f t="shared" si="450"/>
        <v>-468637.5</v>
      </c>
      <c r="Q1213" s="23">
        <v>-727650</v>
      </c>
      <c r="R1213">
        <v>13.5</v>
      </c>
    </row>
    <row r="1214" spans="1:18" ht="15.75" x14ac:dyDescent="0.25">
      <c r="A1214" s="27" t="s">
        <v>97</v>
      </c>
      <c r="B1214" s="23">
        <v>98875</v>
      </c>
      <c r="C1214" s="20">
        <v>-313375</v>
      </c>
      <c r="D1214" s="23">
        <f t="shared" si="447"/>
        <v>-214500</v>
      </c>
      <c r="E1214" s="7">
        <v>0</v>
      </c>
      <c r="F1214" s="23">
        <f t="shared" si="448"/>
        <v>-214500</v>
      </c>
      <c r="G1214" s="23">
        <v>-490500</v>
      </c>
      <c r="H1214">
        <v>16.299999999999997</v>
      </c>
      <c r="K1214" s="27" t="s">
        <v>97</v>
      </c>
      <c r="L1214" s="23">
        <v>36687</v>
      </c>
      <c r="M1214" s="20">
        <v>-346125.00000000006</v>
      </c>
      <c r="N1214" s="23">
        <f t="shared" si="449"/>
        <v>-309438.00000000006</v>
      </c>
      <c r="O1214" s="7">
        <v>0</v>
      </c>
      <c r="P1214" s="23">
        <f t="shared" si="450"/>
        <v>-309438.00000000006</v>
      </c>
      <c r="Q1214" s="23">
        <v>-462000</v>
      </c>
      <c r="R1214">
        <v>15.25</v>
      </c>
    </row>
    <row r="1215" spans="1:18" ht="15.75" x14ac:dyDescent="0.25">
      <c r="A1215" s="27" t="s">
        <v>15</v>
      </c>
      <c r="B1215" s="23">
        <v>-51000</v>
      </c>
      <c r="C1215" s="20">
        <v>77250</v>
      </c>
      <c r="D1215" s="23">
        <f t="shared" si="447"/>
        <v>26250</v>
      </c>
      <c r="E1215" s="7">
        <v>0</v>
      </c>
      <c r="F1215" s="23">
        <f t="shared" si="448"/>
        <v>26250</v>
      </c>
      <c r="G1215" s="23">
        <v>-391875</v>
      </c>
      <c r="H1215">
        <v>9.4499999999999993</v>
      </c>
      <c r="K1215" s="27" t="s">
        <v>15</v>
      </c>
      <c r="L1215" s="23">
        <v>-54875</v>
      </c>
      <c r="M1215" s="20">
        <v>136750</v>
      </c>
      <c r="N1215" s="23">
        <f t="shared" si="449"/>
        <v>81875</v>
      </c>
      <c r="O1215" s="7">
        <v>0</v>
      </c>
      <c r="P1215" s="23">
        <f t="shared" si="450"/>
        <v>81875</v>
      </c>
      <c r="Q1215" s="23">
        <v>-423875</v>
      </c>
      <c r="R1215">
        <v>8.1000000000000014</v>
      </c>
    </row>
    <row r="1216" spans="1:18" ht="15.75" x14ac:dyDescent="0.25">
      <c r="A1216" s="27" t="s">
        <v>75</v>
      </c>
      <c r="B1216" s="23">
        <v>-3800</v>
      </c>
      <c r="C1216" s="20">
        <v>6499.9999999999782</v>
      </c>
      <c r="D1216" s="23">
        <f t="shared" si="447"/>
        <v>2699.9999999999782</v>
      </c>
      <c r="E1216" s="7">
        <v>0</v>
      </c>
      <c r="F1216" s="23">
        <f t="shared" si="448"/>
        <v>2699.9999999999782</v>
      </c>
      <c r="G1216" s="23">
        <v>-378900</v>
      </c>
      <c r="H1216">
        <v>8.15</v>
      </c>
      <c r="K1216" s="27" t="s">
        <v>75</v>
      </c>
      <c r="L1216" s="23">
        <v>-4000</v>
      </c>
      <c r="M1216" s="20">
        <v>253500</v>
      </c>
      <c r="N1216" s="23">
        <f t="shared" si="449"/>
        <v>249500</v>
      </c>
      <c r="O1216" s="7">
        <v>0</v>
      </c>
      <c r="P1216" s="23">
        <f t="shared" si="450"/>
        <v>249500</v>
      </c>
      <c r="Q1216" s="23">
        <v>-330800</v>
      </c>
      <c r="R1216">
        <v>7.0500000000000007</v>
      </c>
    </row>
    <row r="1217" spans="1:18" ht="15.75" x14ac:dyDescent="0.25">
      <c r="A1217" s="27" t="s">
        <v>62</v>
      </c>
      <c r="B1217" s="23">
        <v>77970</v>
      </c>
      <c r="C1217" s="20">
        <v>9885</v>
      </c>
      <c r="D1217" s="23">
        <f t="shared" si="447"/>
        <v>87855</v>
      </c>
      <c r="E1217" s="7">
        <v>0</v>
      </c>
      <c r="F1217" s="23">
        <f t="shared" si="448"/>
        <v>87855</v>
      </c>
      <c r="G1217" s="23">
        <v>-450187.5</v>
      </c>
      <c r="H1217">
        <v>105.2</v>
      </c>
      <c r="K1217" s="27" t="s">
        <v>62</v>
      </c>
      <c r="L1217" s="23">
        <v>-34075</v>
      </c>
      <c r="M1217" s="20">
        <v>197460</v>
      </c>
      <c r="N1217" s="23">
        <f t="shared" si="449"/>
        <v>163385</v>
      </c>
      <c r="O1217" s="7">
        <v>0</v>
      </c>
      <c r="P1217" s="23">
        <f t="shared" si="450"/>
        <v>163385</v>
      </c>
      <c r="Q1217" s="23">
        <v>-421717.5</v>
      </c>
      <c r="R1217">
        <v>82.1</v>
      </c>
    </row>
    <row r="1218" spans="1:18" ht="15.75" x14ac:dyDescent="0.25">
      <c r="A1218" s="27" t="s">
        <v>42</v>
      </c>
      <c r="B1218" s="23">
        <v>-7030</v>
      </c>
      <c r="C1218" s="20">
        <v>21280.000000000007</v>
      </c>
      <c r="D1218" s="23">
        <f t="shared" si="447"/>
        <v>14250.000000000007</v>
      </c>
      <c r="E1218" s="7">
        <v>0</v>
      </c>
      <c r="F1218" s="23">
        <f t="shared" si="448"/>
        <v>14250.000000000007</v>
      </c>
      <c r="G1218" s="23">
        <v>-597550</v>
      </c>
      <c r="H1218">
        <v>9.0500000000000007</v>
      </c>
      <c r="K1218" s="27" t="s">
        <v>42</v>
      </c>
      <c r="L1218" s="23">
        <v>-61370</v>
      </c>
      <c r="M1218" s="20">
        <v>108965</v>
      </c>
      <c r="N1218" s="23">
        <f t="shared" si="449"/>
        <v>47595</v>
      </c>
      <c r="O1218" s="7">
        <v>0</v>
      </c>
      <c r="P1218" s="23">
        <f t="shared" si="450"/>
        <v>47595</v>
      </c>
      <c r="Q1218" s="23">
        <v>-491150</v>
      </c>
      <c r="R1218">
        <v>6.8000000000000007</v>
      </c>
    </row>
    <row r="1219" spans="1:18" ht="15.75" x14ac:dyDescent="0.25">
      <c r="A1219" s="27" t="e">
        <f>+MAIN!#REF!</f>
        <v>#REF!</v>
      </c>
      <c r="B1219" s="23">
        <v>30500</v>
      </c>
      <c r="C1219" s="20">
        <v>0</v>
      </c>
      <c r="D1219" s="23">
        <f t="shared" si="447"/>
        <v>30500</v>
      </c>
      <c r="E1219" s="7">
        <v>0</v>
      </c>
      <c r="F1219" s="23"/>
      <c r="G1219" s="23">
        <v>-219000</v>
      </c>
      <c r="H1219">
        <v>6.65</v>
      </c>
      <c r="K1219" s="40" t="s">
        <v>55</v>
      </c>
      <c r="L1219" s="23">
        <v>-64800</v>
      </c>
      <c r="M1219" s="20">
        <v>-49600.000000000015</v>
      </c>
      <c r="N1219" s="23">
        <f t="shared" si="449"/>
        <v>-114400.00000000001</v>
      </c>
      <c r="O1219" s="7">
        <v>0</v>
      </c>
      <c r="P1219" s="23">
        <f t="shared" si="450"/>
        <v>-114400.00000000001</v>
      </c>
      <c r="Q1219" s="23">
        <v>-259500</v>
      </c>
      <c r="R1219">
        <v>6.7</v>
      </c>
    </row>
    <row r="1220" spans="1:18" ht="15.75" x14ac:dyDescent="0.25">
      <c r="A1220" s="21" t="s">
        <v>107</v>
      </c>
      <c r="B1220" s="22">
        <f t="shared" ref="B1220:G1220" si="451">SUM(B1205:B1219)</f>
        <v>108586</v>
      </c>
      <c r="C1220" s="18">
        <f t="shared" si="451"/>
        <v>-184075.00000000003</v>
      </c>
      <c r="D1220" s="23">
        <f t="shared" si="451"/>
        <v>-75489.000000000029</v>
      </c>
      <c r="E1220" s="18">
        <f t="shared" si="451"/>
        <v>0</v>
      </c>
      <c r="F1220" s="23">
        <f t="shared" si="451"/>
        <v>-105989.00000000003</v>
      </c>
      <c r="G1220" s="17">
        <f t="shared" si="451"/>
        <v>-6920023.75</v>
      </c>
      <c r="K1220" s="21" t="s">
        <v>107</v>
      </c>
      <c r="L1220" s="22">
        <f t="shared" ref="L1220:Q1220" si="452">SUM(L1205:L1219)</f>
        <v>-742119</v>
      </c>
      <c r="M1220" s="18">
        <f t="shared" si="452"/>
        <v>989192.5</v>
      </c>
      <c r="N1220" s="23">
        <f t="shared" si="452"/>
        <v>247073.49999999994</v>
      </c>
      <c r="O1220" s="18">
        <f t="shared" si="452"/>
        <v>0</v>
      </c>
      <c r="P1220" s="23">
        <f t="shared" si="452"/>
        <v>247073.49999999994</v>
      </c>
      <c r="Q1220" s="17">
        <f t="shared" si="452"/>
        <v>-6727943.75</v>
      </c>
    </row>
    <row r="1222" spans="1:18" ht="15.75" x14ac:dyDescent="0.25">
      <c r="A1222" s="106">
        <v>45167</v>
      </c>
      <c r="B1222" s="106"/>
      <c r="C1222" s="106"/>
      <c r="D1222" s="106"/>
      <c r="E1222" s="106"/>
      <c r="F1222" s="106"/>
      <c r="G1222" s="106"/>
      <c r="K1222" s="106">
        <v>45167</v>
      </c>
      <c r="L1222" s="106"/>
      <c r="M1222" s="106"/>
      <c r="N1222" s="106"/>
      <c r="O1222" s="106"/>
      <c r="P1222" s="106"/>
      <c r="Q1222" s="106"/>
    </row>
    <row r="1223" spans="1:18" ht="15.75" x14ac:dyDescent="0.25">
      <c r="A1223" s="22" t="s">
        <v>34</v>
      </c>
      <c r="B1223" s="22" t="s">
        <v>104</v>
      </c>
      <c r="C1223" s="22" t="s">
        <v>105</v>
      </c>
      <c r="D1223" s="22" t="s">
        <v>112</v>
      </c>
      <c r="E1223" s="22" t="s">
        <v>106</v>
      </c>
      <c r="F1223" s="21" t="s">
        <v>108</v>
      </c>
      <c r="G1223" s="21" t="s">
        <v>28</v>
      </c>
      <c r="K1223" s="22" t="s">
        <v>34</v>
      </c>
      <c r="L1223" s="22" t="s">
        <v>104</v>
      </c>
      <c r="M1223" s="22" t="s">
        <v>105</v>
      </c>
      <c r="N1223" s="22" t="s">
        <v>112</v>
      </c>
      <c r="O1223" s="22" t="s">
        <v>106</v>
      </c>
      <c r="P1223" s="21" t="s">
        <v>108</v>
      </c>
      <c r="Q1223" s="21" t="s">
        <v>28</v>
      </c>
    </row>
    <row r="1224" spans="1:18" ht="15.75" x14ac:dyDescent="0.25">
      <c r="A1224" s="27" t="s">
        <v>71</v>
      </c>
      <c r="B1224" s="23">
        <v>-57375</v>
      </c>
      <c r="C1224" s="20">
        <v>68085</v>
      </c>
      <c r="D1224" s="23">
        <f t="shared" ref="D1224:D1238" si="453">+C1224+B1224</f>
        <v>10710</v>
      </c>
      <c r="E1224" s="7">
        <v>0</v>
      </c>
      <c r="F1224" s="23">
        <f t="shared" ref="F1224:F1238" si="454">+B1224+C1224-E1224</f>
        <v>10710</v>
      </c>
      <c r="G1224" s="23">
        <v>0</v>
      </c>
      <c r="K1224" s="27" t="s">
        <v>71</v>
      </c>
      <c r="L1224" s="23">
        <v>0</v>
      </c>
      <c r="M1224" s="20">
        <v>0</v>
      </c>
      <c r="N1224" s="23">
        <f t="shared" ref="N1224:N1238" si="455">+M1224+L1224</f>
        <v>0</v>
      </c>
      <c r="O1224" s="7">
        <v>0</v>
      </c>
      <c r="P1224" s="23">
        <f t="shared" ref="P1224:P1238" si="456">+L1224+M1224-O1224</f>
        <v>0</v>
      </c>
      <c r="Q1224" s="23">
        <v>0</v>
      </c>
    </row>
    <row r="1225" spans="1:18" ht="15.75" x14ac:dyDescent="0.25">
      <c r="A1225" s="27" t="s">
        <v>61</v>
      </c>
      <c r="B1225" s="23">
        <v>-57475</v>
      </c>
      <c r="C1225" s="20">
        <v>192280</v>
      </c>
      <c r="D1225" s="23">
        <f t="shared" si="453"/>
        <v>134805</v>
      </c>
      <c r="E1225" s="7">
        <v>0</v>
      </c>
      <c r="F1225" s="23">
        <f t="shared" si="454"/>
        <v>134805</v>
      </c>
      <c r="G1225" s="23">
        <v>-354420</v>
      </c>
      <c r="K1225" s="27" t="s">
        <v>61</v>
      </c>
      <c r="L1225" s="23">
        <v>-91276</v>
      </c>
      <c r="M1225" s="20">
        <v>135135</v>
      </c>
      <c r="N1225" s="23">
        <f t="shared" si="455"/>
        <v>43859</v>
      </c>
      <c r="O1225" s="7">
        <v>0</v>
      </c>
      <c r="P1225" s="23">
        <f t="shared" si="456"/>
        <v>43859</v>
      </c>
      <c r="Q1225" s="23">
        <v>0</v>
      </c>
    </row>
    <row r="1226" spans="1:18" ht="15.75" x14ac:dyDescent="0.25">
      <c r="A1226" s="27" t="s">
        <v>94</v>
      </c>
      <c r="B1226" s="23">
        <v>-67250</v>
      </c>
      <c r="C1226" s="20">
        <v>185500</v>
      </c>
      <c r="D1226" s="23">
        <f t="shared" si="453"/>
        <v>118250</v>
      </c>
      <c r="E1226" s="7">
        <v>0</v>
      </c>
      <c r="F1226" s="23">
        <f t="shared" si="454"/>
        <v>118250</v>
      </c>
      <c r="G1226" s="23">
        <v>0</v>
      </c>
      <c r="K1226" s="27" t="s">
        <v>94</v>
      </c>
      <c r="L1226" s="23">
        <v>0</v>
      </c>
      <c r="M1226" s="20">
        <v>0</v>
      </c>
      <c r="N1226" s="23">
        <f t="shared" si="455"/>
        <v>0</v>
      </c>
      <c r="O1226" s="7">
        <v>0</v>
      </c>
      <c r="P1226" s="23">
        <f t="shared" si="456"/>
        <v>0</v>
      </c>
      <c r="Q1226" s="23">
        <v>0</v>
      </c>
    </row>
    <row r="1227" spans="1:18" ht="15.75" x14ac:dyDescent="0.25">
      <c r="A1227" s="27" t="s">
        <v>83</v>
      </c>
      <c r="B1227" s="23">
        <v>-42255</v>
      </c>
      <c r="C1227" s="20">
        <v>137160</v>
      </c>
      <c r="D1227" s="23">
        <f t="shared" si="453"/>
        <v>94905</v>
      </c>
      <c r="E1227" s="7">
        <v>0</v>
      </c>
      <c r="F1227" s="23">
        <f t="shared" si="454"/>
        <v>94905</v>
      </c>
      <c r="G1227" s="23">
        <v>-32400</v>
      </c>
      <c r="K1227" s="27" t="s">
        <v>83</v>
      </c>
      <c r="L1227" s="23">
        <v>-24975</v>
      </c>
      <c r="M1227" s="20">
        <v>31050</v>
      </c>
      <c r="N1227" s="23">
        <f t="shared" si="455"/>
        <v>6075</v>
      </c>
      <c r="O1227" s="7">
        <v>0</v>
      </c>
      <c r="P1227" s="23">
        <f t="shared" si="456"/>
        <v>6075</v>
      </c>
      <c r="Q1227" s="23">
        <v>0</v>
      </c>
    </row>
    <row r="1228" spans="1:18" ht="15.75" x14ac:dyDescent="0.25">
      <c r="A1228" s="27" t="s">
        <v>54</v>
      </c>
      <c r="B1228" s="23">
        <v>-103450</v>
      </c>
      <c r="C1228" s="20">
        <v>153750</v>
      </c>
      <c r="D1228" s="23">
        <f t="shared" si="453"/>
        <v>50300</v>
      </c>
      <c r="E1228" s="7">
        <v>0</v>
      </c>
      <c r="F1228" s="23">
        <f t="shared" si="454"/>
        <v>50300</v>
      </c>
      <c r="G1228" s="23">
        <v>0</v>
      </c>
      <c r="K1228" s="27" t="s">
        <v>54</v>
      </c>
      <c r="L1228" s="23">
        <v>0</v>
      </c>
      <c r="M1228" s="20">
        <v>0</v>
      </c>
      <c r="N1228" s="23">
        <f t="shared" si="455"/>
        <v>0</v>
      </c>
      <c r="O1228" s="7">
        <v>0</v>
      </c>
      <c r="P1228" s="23">
        <f t="shared" si="456"/>
        <v>0</v>
      </c>
      <c r="Q1228" s="23">
        <v>0</v>
      </c>
    </row>
    <row r="1229" spans="1:18" ht="15.75" x14ac:dyDescent="0.25">
      <c r="A1229" s="27" t="s">
        <v>82</v>
      </c>
      <c r="B1229" s="23">
        <v>50065</v>
      </c>
      <c r="C1229" s="20">
        <v>277613.75</v>
      </c>
      <c r="D1229" s="23">
        <f t="shared" si="453"/>
        <v>327678.75</v>
      </c>
      <c r="E1229" s="7">
        <v>0</v>
      </c>
      <c r="F1229" s="23">
        <f t="shared" si="454"/>
        <v>327678.75</v>
      </c>
      <c r="G1229" s="20">
        <v>0</v>
      </c>
      <c r="K1229" s="27" t="s">
        <v>82</v>
      </c>
      <c r="L1229" s="23">
        <v>0</v>
      </c>
      <c r="M1229" s="20">
        <v>0</v>
      </c>
      <c r="N1229" s="23">
        <f t="shared" si="455"/>
        <v>0</v>
      </c>
      <c r="O1229" s="7">
        <v>0</v>
      </c>
      <c r="P1229" s="23">
        <f t="shared" si="456"/>
        <v>0</v>
      </c>
      <c r="Q1229" s="20">
        <v>0</v>
      </c>
    </row>
    <row r="1230" spans="1:18" ht="15.75" x14ac:dyDescent="0.25">
      <c r="A1230" s="27" t="s">
        <v>40</v>
      </c>
      <c r="B1230" s="23">
        <v>965250</v>
      </c>
      <c r="C1230" s="20">
        <v>-1155137.5</v>
      </c>
      <c r="D1230" s="23">
        <f t="shared" si="453"/>
        <v>-189887.5</v>
      </c>
      <c r="E1230" s="7">
        <v>0</v>
      </c>
      <c r="F1230" s="23">
        <f t="shared" si="454"/>
        <v>-189887.5</v>
      </c>
      <c r="G1230" s="23">
        <v>0</v>
      </c>
      <c r="K1230" s="27" t="s">
        <v>40</v>
      </c>
      <c r="L1230" s="23">
        <v>0</v>
      </c>
      <c r="M1230" s="20">
        <v>0</v>
      </c>
      <c r="N1230" s="23">
        <f t="shared" si="455"/>
        <v>0</v>
      </c>
      <c r="O1230" s="7">
        <v>0</v>
      </c>
      <c r="P1230" s="23">
        <f t="shared" si="456"/>
        <v>0</v>
      </c>
      <c r="Q1230" s="23">
        <v>0</v>
      </c>
    </row>
    <row r="1231" spans="1:18" ht="15.75" x14ac:dyDescent="0.25">
      <c r="A1231" s="27" t="s">
        <v>92</v>
      </c>
      <c r="B1231" s="23">
        <v>-1600</v>
      </c>
      <c r="C1231" s="20">
        <v>176000</v>
      </c>
      <c r="D1231" s="23">
        <f t="shared" si="453"/>
        <v>174400</v>
      </c>
      <c r="E1231" s="7">
        <v>0</v>
      </c>
      <c r="F1231" s="23">
        <f t="shared" si="454"/>
        <v>174400</v>
      </c>
      <c r="G1231" s="23">
        <v>-50500</v>
      </c>
      <c r="K1231" s="27" t="s">
        <v>92</v>
      </c>
      <c r="L1231" s="23">
        <v>-179700</v>
      </c>
      <c r="M1231" s="20">
        <v>228700</v>
      </c>
      <c r="N1231" s="23">
        <f t="shared" si="455"/>
        <v>49000</v>
      </c>
      <c r="O1231" s="7">
        <v>0</v>
      </c>
      <c r="P1231" s="23">
        <f t="shared" si="456"/>
        <v>49000</v>
      </c>
      <c r="Q1231" s="23">
        <v>0</v>
      </c>
    </row>
    <row r="1232" spans="1:18" ht="15.75" x14ac:dyDescent="0.25">
      <c r="A1232" s="27" t="s">
        <v>96</v>
      </c>
      <c r="B1232" s="23">
        <v>52718</v>
      </c>
      <c r="C1232" s="20">
        <v>129718.75</v>
      </c>
      <c r="D1232" s="23">
        <f t="shared" si="453"/>
        <v>182436.75</v>
      </c>
      <c r="E1232" s="7">
        <v>0</v>
      </c>
      <c r="F1232" s="23">
        <f t="shared" si="454"/>
        <v>182436.75</v>
      </c>
      <c r="G1232" s="23">
        <v>-405781.25</v>
      </c>
      <c r="K1232" s="27" t="s">
        <v>96</v>
      </c>
      <c r="L1232" s="23">
        <v>-138731</v>
      </c>
      <c r="M1232" s="20">
        <v>171237.5</v>
      </c>
      <c r="N1232" s="23">
        <f t="shared" si="455"/>
        <v>32506.5</v>
      </c>
      <c r="O1232" s="7">
        <v>0</v>
      </c>
      <c r="P1232" s="23">
        <f t="shared" si="456"/>
        <v>32506.5</v>
      </c>
      <c r="Q1232" s="23">
        <v>0</v>
      </c>
    </row>
    <row r="1233" spans="1:17" ht="15.75" x14ac:dyDescent="0.25">
      <c r="A1233" s="27" t="s">
        <v>97</v>
      </c>
      <c r="B1233" s="23">
        <v>354062</v>
      </c>
      <c r="C1233" s="20">
        <v>-394375</v>
      </c>
      <c r="D1233" s="23">
        <f t="shared" si="453"/>
        <v>-40313</v>
      </c>
      <c r="E1233" s="7">
        <v>0</v>
      </c>
      <c r="F1233" s="23">
        <f t="shared" si="454"/>
        <v>-40313</v>
      </c>
      <c r="G1233" s="23">
        <v>-235500</v>
      </c>
      <c r="K1233" s="27" t="s">
        <v>97</v>
      </c>
      <c r="L1233" s="23">
        <v>-76750</v>
      </c>
      <c r="M1233" s="20">
        <v>110125</v>
      </c>
      <c r="N1233" s="23">
        <f t="shared" si="455"/>
        <v>33375</v>
      </c>
      <c r="O1233" s="7">
        <v>0</v>
      </c>
      <c r="P1233" s="23">
        <f t="shared" si="456"/>
        <v>33375</v>
      </c>
      <c r="Q1233" s="23">
        <v>0</v>
      </c>
    </row>
    <row r="1234" spans="1:17" ht="15.75" x14ac:dyDescent="0.25">
      <c r="A1234" s="27" t="s">
        <v>15</v>
      </c>
      <c r="B1234" s="23">
        <v>-125</v>
      </c>
      <c r="C1234" s="20">
        <v>177375</v>
      </c>
      <c r="D1234" s="23">
        <f t="shared" si="453"/>
        <v>177250</v>
      </c>
      <c r="E1234" s="7">
        <v>0</v>
      </c>
      <c r="F1234" s="23">
        <f t="shared" si="454"/>
        <v>177250</v>
      </c>
      <c r="G1234" s="23">
        <v>-14625</v>
      </c>
      <c r="K1234" s="27" t="s">
        <v>15</v>
      </c>
      <c r="L1234" s="23">
        <v>103250</v>
      </c>
      <c r="M1234" s="20">
        <v>-110250</v>
      </c>
      <c r="N1234" s="23">
        <f t="shared" si="455"/>
        <v>-7000</v>
      </c>
      <c r="O1234" s="7">
        <v>0</v>
      </c>
      <c r="P1234" s="23">
        <f t="shared" si="456"/>
        <v>-7000</v>
      </c>
      <c r="Q1234" s="23">
        <v>0</v>
      </c>
    </row>
    <row r="1235" spans="1:17" ht="15.75" x14ac:dyDescent="0.25">
      <c r="A1235" s="27" t="s">
        <v>75</v>
      </c>
      <c r="B1235" s="23">
        <v>-130300</v>
      </c>
      <c r="C1235" s="20">
        <v>258500</v>
      </c>
      <c r="D1235" s="23">
        <f t="shared" si="453"/>
        <v>128200</v>
      </c>
      <c r="E1235" s="7">
        <v>0</v>
      </c>
      <c r="F1235" s="23">
        <f t="shared" si="454"/>
        <v>128200</v>
      </c>
      <c r="G1235" s="23">
        <v>0</v>
      </c>
      <c r="K1235" s="27" t="s">
        <v>75</v>
      </c>
      <c r="L1235" s="23">
        <v>0</v>
      </c>
      <c r="M1235" s="20">
        <v>0</v>
      </c>
      <c r="N1235" s="23">
        <f t="shared" si="455"/>
        <v>0</v>
      </c>
      <c r="O1235" s="7">
        <v>0</v>
      </c>
      <c r="P1235" s="23">
        <f t="shared" si="456"/>
        <v>0</v>
      </c>
      <c r="Q1235" s="23">
        <v>0</v>
      </c>
    </row>
    <row r="1236" spans="1:17" ht="15.75" x14ac:dyDescent="0.25">
      <c r="A1236" s="27" t="s">
        <v>62</v>
      </c>
      <c r="B1236" s="23">
        <f>77655-2992</f>
        <v>74663</v>
      </c>
      <c r="C1236" s="20">
        <v>-11917.500000000029</v>
      </c>
      <c r="D1236" s="23">
        <f t="shared" si="453"/>
        <v>62745.499999999971</v>
      </c>
      <c r="E1236" s="7">
        <v>0</v>
      </c>
      <c r="F1236" s="23">
        <f t="shared" si="454"/>
        <v>62745.499999999971</v>
      </c>
      <c r="G1236" s="23">
        <v>-141637.5</v>
      </c>
      <c r="K1236" s="27" t="s">
        <v>62</v>
      </c>
      <c r="L1236" s="23">
        <v>-342232</v>
      </c>
      <c r="M1236" s="20">
        <v>45487.5</v>
      </c>
      <c r="N1236" s="23">
        <f t="shared" si="455"/>
        <v>-296744.5</v>
      </c>
      <c r="O1236" s="7">
        <v>0</v>
      </c>
      <c r="P1236" s="23">
        <f t="shared" si="456"/>
        <v>-296744.5</v>
      </c>
      <c r="Q1236" s="23">
        <v>0</v>
      </c>
    </row>
    <row r="1237" spans="1:17" ht="15.75" x14ac:dyDescent="0.25">
      <c r="A1237" s="27" t="s">
        <v>42</v>
      </c>
      <c r="B1237" s="23">
        <v>-25365</v>
      </c>
      <c r="C1237" s="20">
        <v>39615</v>
      </c>
      <c r="D1237" s="23">
        <f t="shared" si="453"/>
        <v>14250</v>
      </c>
      <c r="E1237" s="7">
        <v>0</v>
      </c>
      <c r="F1237" s="23">
        <f t="shared" si="454"/>
        <v>14250</v>
      </c>
      <c r="G1237" s="23">
        <v>0</v>
      </c>
      <c r="K1237" s="27" t="s">
        <v>42</v>
      </c>
      <c r="L1237" s="23">
        <v>0</v>
      </c>
      <c r="M1237" s="20">
        <v>0</v>
      </c>
      <c r="N1237" s="23">
        <f t="shared" si="455"/>
        <v>0</v>
      </c>
      <c r="O1237" s="7">
        <v>0</v>
      </c>
      <c r="P1237" s="23">
        <f t="shared" si="456"/>
        <v>0</v>
      </c>
      <c r="Q1237" s="23">
        <v>0</v>
      </c>
    </row>
    <row r="1238" spans="1:17" ht="15.75" x14ac:dyDescent="0.25">
      <c r="A1238" s="40" t="s">
        <v>55</v>
      </c>
      <c r="B1238" s="23">
        <f>-11500+11600</f>
        <v>100</v>
      </c>
      <c r="C1238" s="20">
        <v>50000</v>
      </c>
      <c r="D1238" s="23">
        <f t="shared" si="453"/>
        <v>50100</v>
      </c>
      <c r="E1238" s="7">
        <v>0</v>
      </c>
      <c r="F1238" s="23">
        <f t="shared" si="454"/>
        <v>50100</v>
      </c>
      <c r="G1238" s="23">
        <v>0</v>
      </c>
      <c r="K1238" s="40" t="s">
        <v>55</v>
      </c>
      <c r="L1238" s="23">
        <v>13100</v>
      </c>
      <c r="M1238" s="20">
        <v>-3500</v>
      </c>
      <c r="N1238" s="23">
        <f t="shared" si="455"/>
        <v>9600</v>
      </c>
      <c r="O1238" s="7">
        <v>0</v>
      </c>
      <c r="P1238" s="23">
        <f t="shared" si="456"/>
        <v>9600</v>
      </c>
      <c r="Q1238" s="23">
        <v>0</v>
      </c>
    </row>
    <row r="1239" spans="1:17" ht="15.75" x14ac:dyDescent="0.25">
      <c r="A1239" s="21" t="s">
        <v>107</v>
      </c>
      <c r="B1239" s="22">
        <f t="shared" ref="B1239:G1239" si="457">SUM(B1224:B1238)</f>
        <v>1011663</v>
      </c>
      <c r="C1239" s="18">
        <f t="shared" si="457"/>
        <v>284167.5</v>
      </c>
      <c r="D1239" s="23">
        <f t="shared" si="457"/>
        <v>1295830.5</v>
      </c>
      <c r="E1239" s="18">
        <f t="shared" si="457"/>
        <v>0</v>
      </c>
      <c r="F1239" s="23">
        <f t="shared" si="457"/>
        <v>1295830.5</v>
      </c>
      <c r="G1239" s="17">
        <f t="shared" si="457"/>
        <v>-1234863.75</v>
      </c>
      <c r="K1239" s="21" t="s">
        <v>107</v>
      </c>
      <c r="L1239" s="22">
        <f t="shared" ref="L1239:Q1239" si="458">SUM(L1224:L1238)</f>
        <v>-737314</v>
      </c>
      <c r="M1239" s="18">
        <f t="shared" si="458"/>
        <v>607985</v>
      </c>
      <c r="N1239" s="23">
        <f t="shared" si="458"/>
        <v>-129329</v>
      </c>
      <c r="O1239" s="18">
        <f t="shared" si="458"/>
        <v>0</v>
      </c>
      <c r="P1239" s="23">
        <f t="shared" si="458"/>
        <v>-129329</v>
      </c>
      <c r="Q1239" s="17">
        <f t="shared" si="458"/>
        <v>0</v>
      </c>
    </row>
    <row r="1242" spans="1:17" x14ac:dyDescent="0.25">
      <c r="C1242" s="136">
        <v>45170</v>
      </c>
      <c r="D1242" s="137"/>
      <c r="E1242" s="137"/>
    </row>
    <row r="1243" spans="1:17" x14ac:dyDescent="0.25">
      <c r="C1243" s="137"/>
      <c r="D1243" s="137"/>
      <c r="E1243" s="137"/>
    </row>
    <row r="1244" spans="1:17" x14ac:dyDescent="0.25">
      <c r="C1244" s="137"/>
      <c r="D1244" s="137"/>
      <c r="E1244" s="137"/>
    </row>
    <row r="1247" spans="1:17" ht="15.75" x14ac:dyDescent="0.25">
      <c r="A1247" s="106">
        <v>45182</v>
      </c>
      <c r="B1247" s="106"/>
      <c r="C1247" s="106"/>
      <c r="D1247" s="106"/>
      <c r="E1247" s="106"/>
      <c r="F1247" s="106"/>
      <c r="G1247" s="106"/>
      <c r="K1247" s="106">
        <v>45183</v>
      </c>
      <c r="L1247" s="106"/>
      <c r="M1247" s="106"/>
      <c r="N1247" s="106"/>
      <c r="O1247" s="106"/>
      <c r="P1247" s="106"/>
      <c r="Q1247" s="106"/>
    </row>
    <row r="1248" spans="1:17" ht="15.75" x14ac:dyDescent="0.25">
      <c r="A1248" s="22" t="s">
        <v>34</v>
      </c>
      <c r="B1248" s="22" t="s">
        <v>104</v>
      </c>
      <c r="C1248" s="22" t="s">
        <v>105</v>
      </c>
      <c r="D1248" s="22" t="s">
        <v>112</v>
      </c>
      <c r="E1248" s="22" t="s">
        <v>106</v>
      </c>
      <c r="F1248" s="21" t="s">
        <v>108</v>
      </c>
      <c r="G1248" s="21" t="s">
        <v>28</v>
      </c>
      <c r="K1248" s="22" t="s">
        <v>34</v>
      </c>
      <c r="L1248" s="22" t="s">
        <v>104</v>
      </c>
      <c r="M1248" s="22" t="s">
        <v>105</v>
      </c>
      <c r="N1248" s="22" t="s">
        <v>112</v>
      </c>
      <c r="O1248" s="22" t="s">
        <v>106</v>
      </c>
      <c r="P1248" s="21" t="s">
        <v>108</v>
      </c>
      <c r="Q1248" s="21" t="s">
        <v>28</v>
      </c>
    </row>
    <row r="1249" spans="1:18" ht="15.75" x14ac:dyDescent="0.25">
      <c r="A1249" s="41" t="s">
        <v>71</v>
      </c>
      <c r="B1249" s="23">
        <v>6205</v>
      </c>
      <c r="C1249" s="20">
        <v>0</v>
      </c>
      <c r="D1249" s="23">
        <f t="shared" ref="D1249:D1263" si="459">+C1249+B1249</f>
        <v>6205</v>
      </c>
      <c r="E1249" s="7">
        <v>0</v>
      </c>
      <c r="F1249" s="23">
        <f t="shared" ref="F1249:F1263" si="460">+B1249+C1249-E1249</f>
        <v>6205</v>
      </c>
      <c r="G1249" s="23">
        <v>-428485</v>
      </c>
      <c r="H1249">
        <v>18.75</v>
      </c>
      <c r="K1249" s="41" t="s">
        <v>71</v>
      </c>
      <c r="L1249" s="23">
        <v>-12325</v>
      </c>
      <c r="M1249" s="20">
        <v>-3655</v>
      </c>
      <c r="N1249" s="23">
        <f t="shared" ref="N1249:N1263" si="461">+M1249+L1249</f>
        <v>-15980</v>
      </c>
      <c r="O1249" s="20">
        <v>-2380</v>
      </c>
      <c r="P1249" s="23">
        <f t="shared" ref="P1249:P1263" si="462">+L1249+M1249-O1249</f>
        <v>-13600</v>
      </c>
      <c r="Q1249" s="23">
        <v>-504900</v>
      </c>
      <c r="R1249">
        <v>17.95</v>
      </c>
    </row>
    <row r="1250" spans="1:18" ht="15.75" x14ac:dyDescent="0.25">
      <c r="A1250" s="41" t="s">
        <v>76</v>
      </c>
      <c r="B1250" s="23">
        <v>-1620</v>
      </c>
      <c r="C1250" s="20">
        <v>0</v>
      </c>
      <c r="D1250" s="23">
        <f t="shared" si="459"/>
        <v>-1620</v>
      </c>
      <c r="E1250" s="7">
        <v>0</v>
      </c>
      <c r="F1250" s="23">
        <f t="shared" si="460"/>
        <v>-1620</v>
      </c>
      <c r="G1250" s="23">
        <v>-452250</v>
      </c>
      <c r="H1250">
        <v>8.5500000000000007</v>
      </c>
      <c r="K1250" s="41" t="s">
        <v>76</v>
      </c>
      <c r="L1250" s="23">
        <v>-2160</v>
      </c>
      <c r="M1250" s="20">
        <v>40770</v>
      </c>
      <c r="N1250" s="23">
        <f t="shared" si="461"/>
        <v>38610</v>
      </c>
      <c r="O1250" s="20">
        <v>-26460</v>
      </c>
      <c r="P1250" s="23">
        <f t="shared" si="462"/>
        <v>65070</v>
      </c>
      <c r="Q1250" s="23">
        <v>-586710</v>
      </c>
      <c r="R1250">
        <v>8.3000000000000007</v>
      </c>
    </row>
    <row r="1251" spans="1:18" ht="15.75" x14ac:dyDescent="0.25">
      <c r="A1251" s="41" t="s">
        <v>94</v>
      </c>
      <c r="B1251" s="23">
        <v>-44250</v>
      </c>
      <c r="C1251" s="20">
        <v>0</v>
      </c>
      <c r="D1251" s="23">
        <f t="shared" si="459"/>
        <v>-44250</v>
      </c>
      <c r="E1251" s="7">
        <v>0</v>
      </c>
      <c r="F1251" s="23">
        <f t="shared" si="460"/>
        <v>-44250</v>
      </c>
      <c r="G1251" s="23">
        <v>-449000</v>
      </c>
      <c r="H1251">
        <v>14.3</v>
      </c>
      <c r="K1251" s="41" t="s">
        <v>94</v>
      </c>
      <c r="L1251" s="23">
        <v>-43625</v>
      </c>
      <c r="M1251" s="20">
        <v>58250</v>
      </c>
      <c r="N1251" s="23">
        <f t="shared" si="461"/>
        <v>14625</v>
      </c>
      <c r="O1251" s="20">
        <v>18000</v>
      </c>
      <c r="P1251" s="23">
        <f t="shared" si="462"/>
        <v>-3375</v>
      </c>
      <c r="Q1251" s="23">
        <v>-598750</v>
      </c>
      <c r="R1251">
        <v>14.7</v>
      </c>
    </row>
    <row r="1252" spans="1:18" ht="15.75" x14ac:dyDescent="0.25">
      <c r="A1252" s="41" t="s">
        <v>127</v>
      </c>
      <c r="B1252" s="23">
        <v>-4792</v>
      </c>
      <c r="C1252" s="20">
        <v>0</v>
      </c>
      <c r="D1252" s="23">
        <f t="shared" si="459"/>
        <v>-4792</v>
      </c>
      <c r="E1252" s="7">
        <v>0</v>
      </c>
      <c r="F1252" s="23">
        <f t="shared" si="460"/>
        <v>-4792</v>
      </c>
      <c r="G1252" s="23">
        <v>-473850</v>
      </c>
      <c r="H1252">
        <v>36.5</v>
      </c>
      <c r="K1252" s="41" t="s">
        <v>127</v>
      </c>
      <c r="L1252" s="23">
        <v>-36112</v>
      </c>
      <c r="M1252" s="20">
        <v>-2565</v>
      </c>
      <c r="N1252" s="23">
        <f t="shared" si="461"/>
        <v>-38677</v>
      </c>
      <c r="O1252" s="20">
        <v>5130</v>
      </c>
      <c r="P1252" s="23">
        <f t="shared" si="462"/>
        <v>-43807</v>
      </c>
      <c r="Q1252" s="23">
        <v>-529605</v>
      </c>
      <c r="R1252">
        <v>36.4</v>
      </c>
    </row>
    <row r="1253" spans="1:18" ht="15.75" x14ac:dyDescent="0.25">
      <c r="A1253" s="41" t="s">
        <v>54</v>
      </c>
      <c r="B1253" s="23">
        <v>2200</v>
      </c>
      <c r="C1253" s="20">
        <v>0</v>
      </c>
      <c r="D1253" s="23">
        <f t="shared" si="459"/>
        <v>2200</v>
      </c>
      <c r="E1253" s="7">
        <v>0</v>
      </c>
      <c r="F1253" s="23">
        <f t="shared" si="460"/>
        <v>2200</v>
      </c>
      <c r="G1253" s="23">
        <v>-469500</v>
      </c>
      <c r="H1253">
        <v>34.950000000000003</v>
      </c>
      <c r="K1253" s="41" t="s">
        <v>54</v>
      </c>
      <c r="L1253" s="23">
        <v>12650</v>
      </c>
      <c r="M1253" s="20">
        <v>134450</v>
      </c>
      <c r="N1253" s="23">
        <f t="shared" si="461"/>
        <v>147100</v>
      </c>
      <c r="O1253" s="20">
        <v>800</v>
      </c>
      <c r="P1253" s="23">
        <f t="shared" si="462"/>
        <v>146300</v>
      </c>
      <c r="Q1253" s="23">
        <v>-572000</v>
      </c>
      <c r="R1253">
        <v>33.200000000000003</v>
      </c>
    </row>
    <row r="1254" spans="1:18" ht="15.75" x14ac:dyDescent="0.25">
      <c r="A1254" s="41" t="s">
        <v>82</v>
      </c>
      <c r="B1254" s="23">
        <v>-5248</v>
      </c>
      <c r="C1254" s="20">
        <v>0</v>
      </c>
      <c r="D1254" s="23">
        <f t="shared" si="459"/>
        <v>-5248</v>
      </c>
      <c r="E1254" s="7">
        <v>0</v>
      </c>
      <c r="F1254" s="23">
        <f t="shared" si="460"/>
        <v>-5248</v>
      </c>
      <c r="G1254" s="20">
        <v>-446262.5</v>
      </c>
      <c r="H1254">
        <v>83.85</v>
      </c>
      <c r="K1254" s="41" t="s">
        <v>82</v>
      </c>
      <c r="L1254" s="23">
        <f>-121861+3633</f>
        <v>-118228</v>
      </c>
      <c r="M1254" s="20">
        <v>-26885</v>
      </c>
      <c r="N1254" s="23">
        <f t="shared" si="461"/>
        <v>-145113</v>
      </c>
      <c r="O1254" s="20">
        <v>-8811.2500000000018</v>
      </c>
      <c r="P1254" s="23">
        <f t="shared" si="462"/>
        <v>-136301.75</v>
      </c>
      <c r="Q1254" s="20">
        <v>-602632.5</v>
      </c>
      <c r="R1254">
        <v>89.550000000000011</v>
      </c>
    </row>
    <row r="1255" spans="1:18" ht="15.75" x14ac:dyDescent="0.25">
      <c r="A1255" s="41" t="s">
        <v>74</v>
      </c>
      <c r="B1255" s="23">
        <v>18262</v>
      </c>
      <c r="C1255" s="20">
        <v>0</v>
      </c>
      <c r="D1255" s="23">
        <f t="shared" si="459"/>
        <v>18262</v>
      </c>
      <c r="E1255" s="7">
        <v>0</v>
      </c>
      <c r="F1255" s="23">
        <f t="shared" si="460"/>
        <v>18262</v>
      </c>
      <c r="G1255" s="23">
        <v>-459375</v>
      </c>
      <c r="H1255">
        <v>63.7</v>
      </c>
      <c r="K1255" s="41" t="s">
        <v>74</v>
      </c>
      <c r="L1255" s="23">
        <v>-22387</v>
      </c>
      <c r="M1255" s="20">
        <v>22462.5</v>
      </c>
      <c r="N1255" s="23">
        <f t="shared" si="461"/>
        <v>75.5</v>
      </c>
      <c r="O1255" s="20">
        <v>-8400</v>
      </c>
      <c r="P1255" s="23">
        <f t="shared" si="462"/>
        <v>8475.5</v>
      </c>
      <c r="Q1255" s="23">
        <v>-542625</v>
      </c>
      <c r="R1255">
        <v>59.5</v>
      </c>
    </row>
    <row r="1256" spans="1:18" ht="15.75" x14ac:dyDescent="0.25">
      <c r="A1256" s="41" t="s">
        <v>128</v>
      </c>
      <c r="B1256" s="23">
        <v>-10985</v>
      </c>
      <c r="C1256" s="20">
        <v>0</v>
      </c>
      <c r="D1256" s="23">
        <f t="shared" si="459"/>
        <v>-10985</v>
      </c>
      <c r="E1256" s="7">
        <v>0</v>
      </c>
      <c r="F1256" s="23">
        <f t="shared" si="460"/>
        <v>-10985</v>
      </c>
      <c r="G1256" s="23">
        <v>-481000</v>
      </c>
      <c r="H1256">
        <v>23.3</v>
      </c>
      <c r="K1256" s="41" t="s">
        <v>128</v>
      </c>
      <c r="L1256" s="23">
        <v>215410</v>
      </c>
      <c r="M1256" s="20">
        <v>-213524.99999999997</v>
      </c>
      <c r="N1256" s="23">
        <f t="shared" si="461"/>
        <v>1885.0000000000291</v>
      </c>
      <c r="O1256" s="20">
        <v>-4420</v>
      </c>
      <c r="P1256" s="23">
        <f t="shared" si="462"/>
        <v>6305.0000000000291</v>
      </c>
      <c r="Q1256" s="23">
        <v>-568425</v>
      </c>
      <c r="R1256">
        <v>24.6</v>
      </c>
    </row>
    <row r="1257" spans="1:18" ht="15.75" x14ac:dyDescent="0.25">
      <c r="A1257" s="41" t="s">
        <v>129</v>
      </c>
      <c r="B1257" s="23">
        <v>-5325</v>
      </c>
      <c r="C1257" s="20">
        <v>0</v>
      </c>
      <c r="D1257" s="23">
        <f t="shared" si="459"/>
        <v>-5325</v>
      </c>
      <c r="E1257" s="7">
        <v>0</v>
      </c>
      <c r="F1257" s="23">
        <f t="shared" si="460"/>
        <v>-5325</v>
      </c>
      <c r="G1257" s="23">
        <v>-468750</v>
      </c>
      <c r="H1257">
        <v>25.85</v>
      </c>
      <c r="K1257" s="41" t="s">
        <v>129</v>
      </c>
      <c r="L1257" s="23">
        <v>-10350</v>
      </c>
      <c r="M1257" s="20">
        <v>80250</v>
      </c>
      <c r="N1257" s="23">
        <f t="shared" si="461"/>
        <v>69900</v>
      </c>
      <c r="O1257" s="20">
        <v>3900</v>
      </c>
      <c r="P1257" s="23">
        <f t="shared" si="462"/>
        <v>66000</v>
      </c>
      <c r="Q1257" s="23">
        <v>-508950</v>
      </c>
      <c r="R1257">
        <v>23.950000000000003</v>
      </c>
    </row>
    <row r="1258" spans="1:18" ht="15.75" x14ac:dyDescent="0.25">
      <c r="A1258" s="41" t="s">
        <v>130</v>
      </c>
      <c r="B1258" s="23">
        <v>33060</v>
      </c>
      <c r="C1258" s="20">
        <v>0</v>
      </c>
      <c r="D1258" s="23">
        <f t="shared" si="459"/>
        <v>33060</v>
      </c>
      <c r="E1258" s="7">
        <v>0</v>
      </c>
      <c r="F1258" s="23">
        <f t="shared" si="460"/>
        <v>33060</v>
      </c>
      <c r="G1258" s="23">
        <v>-493905</v>
      </c>
      <c r="H1258">
        <v>7.75</v>
      </c>
      <c r="K1258" s="41" t="s">
        <v>130</v>
      </c>
      <c r="L1258" s="23">
        <v>-15675</v>
      </c>
      <c r="M1258" s="20">
        <v>99465</v>
      </c>
      <c r="N1258" s="23">
        <f t="shared" si="461"/>
        <v>83790</v>
      </c>
      <c r="O1258" s="20">
        <v>16530</v>
      </c>
      <c r="P1258" s="23">
        <f t="shared" si="462"/>
        <v>67260</v>
      </c>
      <c r="Q1258" s="23">
        <v>-568575</v>
      </c>
      <c r="R1258">
        <v>7.15</v>
      </c>
    </row>
    <row r="1259" spans="1:18" ht="15.75" x14ac:dyDescent="0.25">
      <c r="A1259" s="41" t="s">
        <v>15</v>
      </c>
      <c r="B1259" s="23">
        <v>-36812</v>
      </c>
      <c r="C1259" s="20">
        <v>0</v>
      </c>
      <c r="D1259" s="23">
        <f t="shared" si="459"/>
        <v>-36812</v>
      </c>
      <c r="E1259" s="7">
        <v>0</v>
      </c>
      <c r="F1259" s="23">
        <f t="shared" si="460"/>
        <v>-36812</v>
      </c>
      <c r="G1259" s="23">
        <v>-478437.5</v>
      </c>
      <c r="H1259">
        <v>24.5</v>
      </c>
      <c r="K1259" s="41" t="s">
        <v>15</v>
      </c>
      <c r="L1259" s="23">
        <v>3812</v>
      </c>
      <c r="M1259" s="20">
        <v>71687.5</v>
      </c>
      <c r="N1259" s="23">
        <f t="shared" si="461"/>
        <v>75499.5</v>
      </c>
      <c r="O1259" s="20">
        <v>13437.5</v>
      </c>
      <c r="P1259" s="23">
        <f t="shared" si="462"/>
        <v>62062</v>
      </c>
      <c r="Q1259" s="23">
        <v>-600375</v>
      </c>
      <c r="R1259">
        <v>23.7</v>
      </c>
    </row>
    <row r="1260" spans="1:18" ht="15.75" x14ac:dyDescent="0.25">
      <c r="A1260" s="41" t="s">
        <v>75</v>
      </c>
      <c r="B1260" s="23">
        <v>-4700</v>
      </c>
      <c r="C1260" s="20">
        <v>0</v>
      </c>
      <c r="D1260" s="23">
        <f t="shared" si="459"/>
        <v>-4700</v>
      </c>
      <c r="E1260" s="7">
        <v>0</v>
      </c>
      <c r="F1260" s="23">
        <f t="shared" si="460"/>
        <v>-4700</v>
      </c>
      <c r="G1260" s="23">
        <v>-443800</v>
      </c>
      <c r="H1260">
        <v>19.600000000000001</v>
      </c>
      <c r="K1260" s="41" t="s">
        <v>75</v>
      </c>
      <c r="L1260" s="23">
        <v>-143000</v>
      </c>
      <c r="M1260" s="20">
        <v>-88000</v>
      </c>
      <c r="N1260" s="23">
        <f t="shared" si="461"/>
        <v>-231000</v>
      </c>
      <c r="O1260" s="20">
        <v>21700</v>
      </c>
      <c r="P1260" s="23">
        <f t="shared" si="462"/>
        <v>-252700</v>
      </c>
      <c r="Q1260" s="23">
        <v>-573300</v>
      </c>
      <c r="R1260">
        <v>21.1</v>
      </c>
    </row>
    <row r="1261" spans="1:18" ht="15.75" x14ac:dyDescent="0.25">
      <c r="A1261" s="41" t="s">
        <v>62</v>
      </c>
      <c r="B1261" s="23">
        <v>-4425</v>
      </c>
      <c r="C1261" s="20">
        <v>0</v>
      </c>
      <c r="D1261" s="23">
        <f t="shared" si="459"/>
        <v>-4425</v>
      </c>
      <c r="E1261" s="7">
        <v>0</v>
      </c>
      <c r="F1261" s="23">
        <f t="shared" si="460"/>
        <v>-4425</v>
      </c>
      <c r="G1261" s="23">
        <v>-441337.5</v>
      </c>
      <c r="H1261">
        <v>237.9</v>
      </c>
      <c r="K1261" s="41" t="s">
        <v>62</v>
      </c>
      <c r="L1261" s="23">
        <v>8002</v>
      </c>
      <c r="M1261" s="20">
        <v>101550</v>
      </c>
      <c r="N1261" s="23">
        <f t="shared" si="461"/>
        <v>109552</v>
      </c>
      <c r="O1261" s="20">
        <v>-5662.5</v>
      </c>
      <c r="P1261" s="23">
        <f t="shared" si="462"/>
        <v>115214.5</v>
      </c>
      <c r="Q1261" s="23">
        <v>-548625</v>
      </c>
      <c r="R1261">
        <v>224.25</v>
      </c>
    </row>
    <row r="1262" spans="1:18" ht="15.75" x14ac:dyDescent="0.25">
      <c r="A1262" s="41" t="s">
        <v>61</v>
      </c>
      <c r="B1262" s="23">
        <v>11880</v>
      </c>
      <c r="C1262" s="20">
        <v>0</v>
      </c>
      <c r="D1262" s="23">
        <f t="shared" si="459"/>
        <v>11880</v>
      </c>
      <c r="E1262" s="7">
        <v>0</v>
      </c>
      <c r="F1262" s="23">
        <f t="shared" si="460"/>
        <v>11880</v>
      </c>
      <c r="G1262" s="23">
        <v>-480150</v>
      </c>
      <c r="H1262">
        <v>47.45</v>
      </c>
      <c r="K1262" s="41" t="s">
        <v>61</v>
      </c>
      <c r="L1262" s="23">
        <v>-41415</v>
      </c>
      <c r="M1262" s="20">
        <v>13805.000000000004</v>
      </c>
      <c r="N1262" s="23">
        <f t="shared" si="461"/>
        <v>-27609.999999999996</v>
      </c>
      <c r="O1262" s="20">
        <v>-6765.0000000000018</v>
      </c>
      <c r="P1262" s="23">
        <f t="shared" si="462"/>
        <v>-20844.999999999993</v>
      </c>
      <c r="Q1262" s="23">
        <v>-614515</v>
      </c>
      <c r="R1262">
        <v>45.2</v>
      </c>
    </row>
    <row r="1263" spans="1:18" ht="15.75" x14ac:dyDescent="0.25">
      <c r="A1263" s="41" t="s">
        <v>96</v>
      </c>
      <c r="B1263" s="23">
        <v>2012</v>
      </c>
      <c r="C1263" s="20">
        <v>0</v>
      </c>
      <c r="D1263" s="23">
        <f t="shared" si="459"/>
        <v>2012</v>
      </c>
      <c r="E1263" s="7">
        <v>0</v>
      </c>
      <c r="F1263" s="23">
        <f t="shared" si="460"/>
        <v>2012</v>
      </c>
      <c r="G1263" s="23">
        <v>-446250</v>
      </c>
      <c r="H1263">
        <v>36.15</v>
      </c>
      <c r="K1263" s="41" t="s">
        <v>96</v>
      </c>
      <c r="L1263" s="23">
        <v>-20518</v>
      </c>
      <c r="M1263" s="20">
        <v>59762.5</v>
      </c>
      <c r="N1263" s="23">
        <f t="shared" si="461"/>
        <v>39244.5</v>
      </c>
      <c r="O1263" s="20">
        <v>0</v>
      </c>
      <c r="P1263" s="23">
        <f t="shared" si="462"/>
        <v>39244.5</v>
      </c>
      <c r="Q1263" s="23">
        <v>-576625</v>
      </c>
      <c r="R1263">
        <v>34.9</v>
      </c>
    </row>
    <row r="1264" spans="1:18" ht="15.75" x14ac:dyDescent="0.25">
      <c r="A1264" s="21" t="s">
        <v>107</v>
      </c>
      <c r="B1264" s="22">
        <f t="shared" ref="B1264:G1264" si="463">SUM(B1249:B1263)</f>
        <v>-44538</v>
      </c>
      <c r="C1264" s="18">
        <f t="shared" si="463"/>
        <v>0</v>
      </c>
      <c r="D1264" s="23">
        <f t="shared" si="463"/>
        <v>-44538</v>
      </c>
      <c r="E1264" s="18">
        <f t="shared" si="463"/>
        <v>0</v>
      </c>
      <c r="F1264" s="23">
        <f t="shared" si="463"/>
        <v>-44538</v>
      </c>
      <c r="G1264" s="17">
        <f t="shared" si="463"/>
        <v>-6912352.5</v>
      </c>
      <c r="K1264" s="21" t="s">
        <v>107</v>
      </c>
      <c r="L1264" s="22">
        <f t="shared" ref="L1264:Q1264" si="464">SUM(L1249:L1263)</f>
        <v>-225921</v>
      </c>
      <c r="M1264" s="18">
        <f t="shared" si="464"/>
        <v>347822.5</v>
      </c>
      <c r="N1264" s="23">
        <f t="shared" si="464"/>
        <v>121901.50000000003</v>
      </c>
      <c r="O1264" s="18">
        <f t="shared" si="464"/>
        <v>16598.75</v>
      </c>
      <c r="P1264" s="23">
        <f t="shared" si="464"/>
        <v>105302.75000000003</v>
      </c>
      <c r="Q1264" s="17">
        <f t="shared" si="464"/>
        <v>-8496612.5</v>
      </c>
    </row>
    <row r="1268" spans="1:17" ht="15.75" x14ac:dyDescent="0.25">
      <c r="A1268" s="106">
        <v>45184</v>
      </c>
      <c r="B1268" s="106"/>
      <c r="C1268" s="106"/>
      <c r="D1268" s="106"/>
      <c r="E1268" s="106"/>
      <c r="F1268" s="106"/>
      <c r="G1268" s="106"/>
      <c r="K1268" s="106">
        <v>45187</v>
      </c>
      <c r="L1268" s="106"/>
      <c r="M1268" s="106"/>
      <c r="N1268" s="106"/>
      <c r="O1268" s="106"/>
      <c r="P1268" s="106"/>
      <c r="Q1268" s="106"/>
    </row>
    <row r="1269" spans="1:17" ht="15.75" x14ac:dyDescent="0.25">
      <c r="A1269" s="22" t="s">
        <v>34</v>
      </c>
      <c r="B1269" s="22" t="s">
        <v>104</v>
      </c>
      <c r="C1269" s="22" t="s">
        <v>105</v>
      </c>
      <c r="D1269" s="22" t="s">
        <v>112</v>
      </c>
      <c r="E1269" s="22" t="s">
        <v>106</v>
      </c>
      <c r="F1269" s="21" t="s">
        <v>108</v>
      </c>
      <c r="G1269" s="21" t="s">
        <v>28</v>
      </c>
      <c r="K1269" s="22" t="s">
        <v>34</v>
      </c>
      <c r="L1269" s="22" t="s">
        <v>104</v>
      </c>
      <c r="M1269" s="22" t="s">
        <v>105</v>
      </c>
      <c r="N1269" s="22" t="s">
        <v>112</v>
      </c>
      <c r="O1269" s="22" t="s">
        <v>106</v>
      </c>
      <c r="P1269" s="21" t="s">
        <v>108</v>
      </c>
      <c r="Q1269" s="21" t="s">
        <v>28</v>
      </c>
    </row>
    <row r="1270" spans="1:17" ht="15.75" x14ac:dyDescent="0.25">
      <c r="A1270" s="41" t="s">
        <v>71</v>
      </c>
      <c r="B1270" s="23">
        <v>-850</v>
      </c>
      <c r="C1270" s="42">
        <v>-62900</v>
      </c>
      <c r="D1270" s="23">
        <f t="shared" ref="D1270:D1284" si="465">+C1270+B1270</f>
        <v>-63750</v>
      </c>
      <c r="E1270" s="20">
        <v>-1700</v>
      </c>
      <c r="F1270" s="23">
        <f t="shared" ref="F1270:F1284" si="466">+B1270+C1270-E1270</f>
        <v>-62050</v>
      </c>
      <c r="G1270" s="23">
        <v>-638690</v>
      </c>
      <c r="K1270" s="41" t="s">
        <v>71</v>
      </c>
      <c r="L1270" s="23">
        <v>-8925</v>
      </c>
      <c r="M1270" s="42">
        <v>124950</v>
      </c>
      <c r="N1270" s="23">
        <f t="shared" ref="N1270:N1285" si="467">+M1270+L1270</f>
        <v>116025</v>
      </c>
      <c r="O1270" s="20">
        <v>28050</v>
      </c>
      <c r="P1270" s="23">
        <f t="shared" ref="P1270:P1283" si="468">+L1270+M1270-O1270</f>
        <v>87975</v>
      </c>
      <c r="Q1270" s="23">
        <v>-687990</v>
      </c>
    </row>
    <row r="1271" spans="1:17" ht="15.75" x14ac:dyDescent="0.25">
      <c r="A1271" s="41" t="s">
        <v>76</v>
      </c>
      <c r="B1271" s="23">
        <v>-55890</v>
      </c>
      <c r="C1271" s="42">
        <v>-18630</v>
      </c>
      <c r="D1271" s="23">
        <f t="shared" si="465"/>
        <v>-74520</v>
      </c>
      <c r="E1271" s="20">
        <v>25920</v>
      </c>
      <c r="F1271" s="23">
        <f t="shared" si="466"/>
        <v>-100440</v>
      </c>
      <c r="G1271" s="23">
        <v>-583740</v>
      </c>
      <c r="K1271" s="41" t="s">
        <v>76</v>
      </c>
      <c r="L1271" s="23">
        <v>22140</v>
      </c>
      <c r="M1271" s="42">
        <v>108540</v>
      </c>
      <c r="N1271" s="23">
        <f t="shared" si="467"/>
        <v>130680</v>
      </c>
      <c r="O1271" s="20">
        <v>-31860</v>
      </c>
      <c r="P1271" s="23">
        <f t="shared" si="468"/>
        <v>162540</v>
      </c>
      <c r="Q1271" s="23">
        <v>-660960</v>
      </c>
    </row>
    <row r="1272" spans="1:17" ht="15.75" x14ac:dyDescent="0.25">
      <c r="A1272" s="41" t="s">
        <v>94</v>
      </c>
      <c r="B1272" s="23">
        <v>-23625</v>
      </c>
      <c r="C1272" s="42">
        <v>91875</v>
      </c>
      <c r="D1272" s="23">
        <f t="shared" si="465"/>
        <v>68250</v>
      </c>
      <c r="E1272" s="20">
        <v>24750</v>
      </c>
      <c r="F1272" s="23">
        <f t="shared" si="466"/>
        <v>43500</v>
      </c>
      <c r="G1272" s="23">
        <v>-592500</v>
      </c>
      <c r="K1272" s="41" t="s">
        <v>94</v>
      </c>
      <c r="L1272" s="23">
        <v>-4000</v>
      </c>
      <c r="M1272" s="42">
        <v>324250</v>
      </c>
      <c r="N1272" s="23">
        <f t="shared" si="467"/>
        <v>320250</v>
      </c>
      <c r="O1272" s="20">
        <v>55500</v>
      </c>
      <c r="P1272" s="23">
        <f t="shared" si="468"/>
        <v>264750</v>
      </c>
      <c r="Q1272" s="23">
        <v>-594250</v>
      </c>
    </row>
    <row r="1273" spans="1:17" ht="15.75" x14ac:dyDescent="0.25">
      <c r="A1273" s="41" t="s">
        <v>127</v>
      </c>
      <c r="B1273" s="23">
        <v>-2430</v>
      </c>
      <c r="C1273" s="42">
        <v>120015</v>
      </c>
      <c r="D1273" s="23">
        <f t="shared" si="465"/>
        <v>117585</v>
      </c>
      <c r="E1273" s="20">
        <v>27405</v>
      </c>
      <c r="F1273" s="23">
        <f t="shared" si="466"/>
        <v>90180</v>
      </c>
      <c r="G1273" s="23">
        <v>-628290</v>
      </c>
      <c r="K1273" s="41" t="s">
        <v>127</v>
      </c>
      <c r="L1273" s="23">
        <v>21195</v>
      </c>
      <c r="M1273" s="42">
        <v>116167.49999999999</v>
      </c>
      <c r="N1273" s="23">
        <f t="shared" si="467"/>
        <v>137362.5</v>
      </c>
      <c r="O1273" s="20">
        <v>-1147.5</v>
      </c>
      <c r="P1273" s="23">
        <f t="shared" si="468"/>
        <v>138510</v>
      </c>
      <c r="Q1273" s="23">
        <v>-635810</v>
      </c>
    </row>
    <row r="1274" spans="1:17" ht="15.75" x14ac:dyDescent="0.25">
      <c r="A1274" s="41" t="s">
        <v>54</v>
      </c>
      <c r="B1274" s="23">
        <v>4650</v>
      </c>
      <c r="C1274" s="42">
        <v>156500</v>
      </c>
      <c r="D1274" s="23">
        <f t="shared" si="465"/>
        <v>161150</v>
      </c>
      <c r="E1274" s="20">
        <v>21300</v>
      </c>
      <c r="F1274" s="23">
        <f t="shared" si="466"/>
        <v>139850</v>
      </c>
      <c r="G1274" s="23">
        <v>-701000</v>
      </c>
      <c r="K1274" s="41" t="s">
        <v>54</v>
      </c>
      <c r="L1274" s="23">
        <v>-63500</v>
      </c>
      <c r="M1274" s="42">
        <v>203000</v>
      </c>
      <c r="N1274" s="23">
        <f t="shared" si="467"/>
        <v>139500</v>
      </c>
      <c r="O1274" s="20">
        <v>-3100</v>
      </c>
      <c r="P1274" s="23">
        <f t="shared" si="468"/>
        <v>142600</v>
      </c>
      <c r="Q1274" s="23">
        <v>-661500</v>
      </c>
    </row>
    <row r="1275" spans="1:17" ht="15.75" x14ac:dyDescent="0.25">
      <c r="A1275" s="41" t="s">
        <v>82</v>
      </c>
      <c r="B1275" s="23">
        <v>10640</v>
      </c>
      <c r="C1275" s="42">
        <v>89775</v>
      </c>
      <c r="D1275" s="23">
        <f t="shared" si="465"/>
        <v>100415</v>
      </c>
      <c r="E1275" s="20">
        <v>-5557.5</v>
      </c>
      <c r="F1275" s="23">
        <f t="shared" si="466"/>
        <v>105972.5</v>
      </c>
      <c r="G1275" s="20">
        <v>-559265</v>
      </c>
      <c r="K1275" s="41" t="s">
        <v>82</v>
      </c>
      <c r="L1275" s="23">
        <v>55171</v>
      </c>
      <c r="M1275" s="42">
        <v>-36836.25</v>
      </c>
      <c r="N1275" s="23">
        <f t="shared" si="467"/>
        <v>18334.75</v>
      </c>
      <c r="O1275" s="20">
        <v>-5415</v>
      </c>
      <c r="P1275" s="23">
        <f t="shared" si="468"/>
        <v>23749.75</v>
      </c>
      <c r="Q1275" s="20">
        <v>-535610</v>
      </c>
    </row>
    <row r="1276" spans="1:17" ht="15.75" x14ac:dyDescent="0.25">
      <c r="A1276" s="41" t="s">
        <v>74</v>
      </c>
      <c r="B1276" s="23">
        <v>-23887</v>
      </c>
      <c r="C1276" s="42">
        <v>14400</v>
      </c>
      <c r="D1276" s="23">
        <f t="shared" si="465"/>
        <v>-9487</v>
      </c>
      <c r="E1276" s="20">
        <v>-16425</v>
      </c>
      <c r="F1276" s="23">
        <f t="shared" si="466"/>
        <v>6938</v>
      </c>
      <c r="G1276" s="23">
        <v>-700050</v>
      </c>
      <c r="K1276" s="41" t="s">
        <v>74</v>
      </c>
      <c r="L1276" s="23">
        <v>-44512</v>
      </c>
      <c r="M1276" s="42">
        <v>99975</v>
      </c>
      <c r="N1276" s="23">
        <f t="shared" si="467"/>
        <v>55463</v>
      </c>
      <c r="O1276" s="20">
        <v>-40200</v>
      </c>
      <c r="P1276" s="23">
        <f t="shared" si="468"/>
        <v>95663</v>
      </c>
      <c r="Q1276" s="23">
        <v>-568650</v>
      </c>
    </row>
    <row r="1277" spans="1:17" ht="15.75" x14ac:dyDescent="0.25">
      <c r="A1277" s="41" t="s">
        <v>128</v>
      </c>
      <c r="B1277" s="23">
        <v>-9555</v>
      </c>
      <c r="C1277" s="42">
        <v>76830</v>
      </c>
      <c r="D1277" s="23">
        <f t="shared" si="465"/>
        <v>67275</v>
      </c>
      <c r="E1277" s="20">
        <v>2730</v>
      </c>
      <c r="F1277" s="23">
        <f t="shared" si="466"/>
        <v>64545</v>
      </c>
      <c r="G1277" s="23">
        <v>-634790</v>
      </c>
      <c r="K1277" s="41" t="s">
        <v>128</v>
      </c>
      <c r="L1277" s="23">
        <v>22230</v>
      </c>
      <c r="M1277" s="42">
        <v>42770</v>
      </c>
      <c r="N1277" s="23">
        <f t="shared" si="467"/>
        <v>65000</v>
      </c>
      <c r="O1277" s="20">
        <v>5460</v>
      </c>
      <c r="P1277" s="23">
        <f t="shared" si="468"/>
        <v>59540</v>
      </c>
      <c r="Q1277" s="23">
        <v>-716430</v>
      </c>
    </row>
    <row r="1278" spans="1:17" ht="15.75" x14ac:dyDescent="0.25">
      <c r="A1278" s="41" t="s">
        <v>129</v>
      </c>
      <c r="B1278" s="23">
        <v>257625</v>
      </c>
      <c r="C1278" s="43">
        <v>-429300.00000000006</v>
      </c>
      <c r="D1278" s="23">
        <f t="shared" si="465"/>
        <v>-171675.00000000006</v>
      </c>
      <c r="E1278" s="20">
        <v>5399.9999999999964</v>
      </c>
      <c r="F1278" s="23">
        <f t="shared" si="466"/>
        <v>-177075.00000000006</v>
      </c>
      <c r="G1278" s="23">
        <v>0</v>
      </c>
      <c r="K1278" s="41" t="s">
        <v>129</v>
      </c>
      <c r="L1278" s="23">
        <v>-66900</v>
      </c>
      <c r="M1278" s="43">
        <v>145800</v>
      </c>
      <c r="N1278" s="23">
        <f t="shared" si="467"/>
        <v>78900</v>
      </c>
      <c r="O1278" s="20">
        <v>-25800</v>
      </c>
      <c r="P1278" s="23">
        <f t="shared" si="468"/>
        <v>104700</v>
      </c>
      <c r="Q1278" s="23">
        <v>0</v>
      </c>
    </row>
    <row r="1279" spans="1:17" ht="15.75" x14ac:dyDescent="0.25">
      <c r="A1279" s="41" t="s">
        <v>130</v>
      </c>
      <c r="B1279" s="23">
        <v>1710</v>
      </c>
      <c r="C1279" s="42">
        <v>70679.999999999971</v>
      </c>
      <c r="D1279" s="23">
        <f t="shared" si="465"/>
        <v>72389.999999999971</v>
      </c>
      <c r="E1279" s="20">
        <v>4560</v>
      </c>
      <c r="F1279" s="23">
        <f t="shared" si="466"/>
        <v>67829.999999999971</v>
      </c>
      <c r="G1279" s="23">
        <v>-599925</v>
      </c>
      <c r="K1279" s="41" t="s">
        <v>130</v>
      </c>
      <c r="L1279" s="23">
        <v>-178125</v>
      </c>
      <c r="M1279" s="42">
        <v>-57854.999999999985</v>
      </c>
      <c r="N1279" s="23">
        <f t="shared" si="467"/>
        <v>-235980</v>
      </c>
      <c r="O1279" s="20">
        <v>3420</v>
      </c>
      <c r="P1279" s="23">
        <f t="shared" si="468"/>
        <v>-239400</v>
      </c>
      <c r="Q1279" s="23">
        <v>0</v>
      </c>
    </row>
    <row r="1280" spans="1:17" ht="15.75" x14ac:dyDescent="0.25">
      <c r="A1280" s="41" t="s">
        <v>15</v>
      </c>
      <c r="B1280" s="23">
        <v>-41875</v>
      </c>
      <c r="C1280" s="42">
        <v>125000</v>
      </c>
      <c r="D1280" s="23">
        <f t="shared" si="465"/>
        <v>83125</v>
      </c>
      <c r="E1280" s="20">
        <v>-5875</v>
      </c>
      <c r="F1280" s="23">
        <f t="shared" si="466"/>
        <v>89000</v>
      </c>
      <c r="G1280" s="23">
        <v>-626750</v>
      </c>
      <c r="K1280" s="41" t="s">
        <v>15</v>
      </c>
      <c r="L1280" s="23">
        <v>-80187</v>
      </c>
      <c r="M1280" s="42">
        <v>132625</v>
      </c>
      <c r="N1280" s="23">
        <f t="shared" si="467"/>
        <v>52438</v>
      </c>
      <c r="O1280" s="20">
        <v>38375</v>
      </c>
      <c r="P1280" s="23">
        <f t="shared" si="468"/>
        <v>14063</v>
      </c>
      <c r="Q1280" s="23">
        <v>-697000</v>
      </c>
    </row>
    <row r="1281" spans="1:17" ht="15.75" x14ac:dyDescent="0.25">
      <c r="A1281" s="41" t="s">
        <v>75</v>
      </c>
      <c r="B1281" s="23">
        <v>10300</v>
      </c>
      <c r="C1281" s="42">
        <v>203100</v>
      </c>
      <c r="D1281" s="23">
        <f t="shared" si="465"/>
        <v>213400</v>
      </c>
      <c r="E1281" s="20">
        <v>49700</v>
      </c>
      <c r="F1281" s="23">
        <f t="shared" si="466"/>
        <v>163700</v>
      </c>
      <c r="G1281" s="23">
        <v>-585000</v>
      </c>
      <c r="K1281" s="41" t="s">
        <v>75</v>
      </c>
      <c r="L1281" s="23">
        <v>-900</v>
      </c>
      <c r="M1281" s="42">
        <v>218200</v>
      </c>
      <c r="N1281" s="23">
        <f t="shared" si="467"/>
        <v>217300</v>
      </c>
      <c r="O1281" s="20">
        <v>75200</v>
      </c>
      <c r="P1281" s="23">
        <f t="shared" si="468"/>
        <v>142100</v>
      </c>
      <c r="Q1281" s="23">
        <v>-657000</v>
      </c>
    </row>
    <row r="1282" spans="1:17" ht="15.75" x14ac:dyDescent="0.25">
      <c r="A1282" s="41" t="s">
        <v>62</v>
      </c>
      <c r="B1282" s="23">
        <v>-35550</v>
      </c>
      <c r="C1282" s="42">
        <v>101925</v>
      </c>
      <c r="D1282" s="23">
        <f t="shared" si="465"/>
        <v>66375</v>
      </c>
      <c r="E1282" s="20">
        <v>15675</v>
      </c>
      <c r="F1282" s="23">
        <f t="shared" si="466"/>
        <v>50700</v>
      </c>
      <c r="G1282" s="23">
        <v>-647625</v>
      </c>
      <c r="K1282" s="41" t="s">
        <v>62</v>
      </c>
      <c r="L1282" s="23">
        <v>-13387</v>
      </c>
      <c r="M1282" s="42">
        <v>125535</v>
      </c>
      <c r="N1282" s="23">
        <f t="shared" si="467"/>
        <v>112148</v>
      </c>
      <c r="O1282" s="20">
        <v>14475</v>
      </c>
      <c r="P1282" s="23">
        <f t="shared" si="468"/>
        <v>97673</v>
      </c>
      <c r="Q1282" s="23">
        <v>-668925</v>
      </c>
    </row>
    <row r="1283" spans="1:17" ht="15.75" x14ac:dyDescent="0.25">
      <c r="A1283" s="41" t="s">
        <v>61</v>
      </c>
      <c r="B1283" s="23">
        <v>-2145</v>
      </c>
      <c r="C1283" s="42">
        <v>202840</v>
      </c>
      <c r="D1283" s="23">
        <f t="shared" si="465"/>
        <v>200695</v>
      </c>
      <c r="E1283" s="20">
        <v>8195</v>
      </c>
      <c r="F1283" s="23">
        <f t="shared" si="466"/>
        <v>192500</v>
      </c>
      <c r="G1283" s="23">
        <v>-621390</v>
      </c>
      <c r="K1283" s="41" t="s">
        <v>61</v>
      </c>
      <c r="L1283" s="23">
        <v>-7700</v>
      </c>
      <c r="M1283" s="42">
        <v>93665</v>
      </c>
      <c r="N1283" s="23">
        <f t="shared" si="467"/>
        <v>85965</v>
      </c>
      <c r="O1283" s="20">
        <v>21065</v>
      </c>
      <c r="P1283" s="23">
        <f t="shared" si="468"/>
        <v>64900</v>
      </c>
      <c r="Q1283" s="23">
        <v>-690525</v>
      </c>
    </row>
    <row r="1284" spans="1:17" ht="15.75" x14ac:dyDescent="0.25">
      <c r="A1284" s="41" t="s">
        <v>96</v>
      </c>
      <c r="B1284" s="23">
        <v>-3281</v>
      </c>
      <c r="C1284" s="42">
        <v>100625</v>
      </c>
      <c r="D1284" s="23">
        <f t="shared" si="465"/>
        <v>97344</v>
      </c>
      <c r="E1284" s="20">
        <v>17150</v>
      </c>
      <c r="F1284" s="23">
        <f t="shared" si="466"/>
        <v>80194</v>
      </c>
      <c r="G1284" s="23">
        <v>-652750</v>
      </c>
      <c r="K1284" s="41" t="s">
        <v>96</v>
      </c>
      <c r="L1284" s="23">
        <v>19643</v>
      </c>
      <c r="M1284" s="42">
        <v>19556.249999999971</v>
      </c>
      <c r="N1284" s="23">
        <f t="shared" si="467"/>
        <v>39199.249999999971</v>
      </c>
      <c r="O1284" s="20">
        <v>4462.5</v>
      </c>
      <c r="P1284" s="20">
        <f>+L1284+M1284-O1284</f>
        <v>34736.749999999971</v>
      </c>
      <c r="Q1284" s="23">
        <v>-659837.5</v>
      </c>
    </row>
    <row r="1285" spans="1:17" ht="15.75" x14ac:dyDescent="0.25">
      <c r="A1285" s="41"/>
      <c r="B1285" s="23"/>
      <c r="C1285" s="42"/>
      <c r="D1285" s="23"/>
      <c r="E1285" s="20"/>
      <c r="F1285" s="23"/>
      <c r="G1285" s="23"/>
      <c r="K1285" s="41" t="s">
        <v>131</v>
      </c>
      <c r="L1285" s="23">
        <v>10500</v>
      </c>
      <c r="M1285" s="42">
        <v>0</v>
      </c>
      <c r="N1285" s="23">
        <f t="shared" si="467"/>
        <v>10500</v>
      </c>
      <c r="O1285" s="20">
        <v>0</v>
      </c>
      <c r="P1285" s="20">
        <f>+L1285+M1285-O1285</f>
        <v>10500</v>
      </c>
      <c r="Q1285" s="33">
        <v>-583375</v>
      </c>
    </row>
    <row r="1286" spans="1:17" ht="15.75" x14ac:dyDescent="0.25">
      <c r="A1286" s="21" t="s">
        <v>107</v>
      </c>
      <c r="B1286" s="22">
        <f t="shared" ref="B1286:G1286" si="469">SUM(B1270:B1284)</f>
        <v>85837</v>
      </c>
      <c r="C1286" s="18">
        <f t="shared" si="469"/>
        <v>842734.99999999988</v>
      </c>
      <c r="D1286" s="23">
        <f t="shared" si="469"/>
        <v>928571.99999999988</v>
      </c>
      <c r="E1286" s="18">
        <f t="shared" si="469"/>
        <v>173227.5</v>
      </c>
      <c r="F1286" s="23">
        <f t="shared" si="469"/>
        <v>755344.49999999988</v>
      </c>
      <c r="G1286" s="17">
        <f t="shared" si="469"/>
        <v>-8771765</v>
      </c>
      <c r="K1286" s="21" t="s">
        <v>107</v>
      </c>
      <c r="L1286" s="22">
        <f t="shared" ref="L1286:Q1286" si="470">SUM(L1270:L1285)</f>
        <v>-317257</v>
      </c>
      <c r="M1286" s="18">
        <f t="shared" si="470"/>
        <v>1660342.5</v>
      </c>
      <c r="N1286" s="23">
        <f t="shared" si="470"/>
        <v>1343085.5</v>
      </c>
      <c r="O1286" s="18">
        <f t="shared" si="470"/>
        <v>138485</v>
      </c>
      <c r="P1286" s="23">
        <f t="shared" si="470"/>
        <v>1204600.5</v>
      </c>
      <c r="Q1286" s="17">
        <f t="shared" si="470"/>
        <v>-9017862.5</v>
      </c>
    </row>
    <row r="1288" spans="1:17" x14ac:dyDescent="0.25">
      <c r="F1288" s="44"/>
    </row>
    <row r="1289" spans="1:17" ht="15.75" x14ac:dyDescent="0.25">
      <c r="A1289" s="106">
        <v>45189</v>
      </c>
      <c r="B1289" s="106"/>
      <c r="C1289" s="106"/>
      <c r="D1289" s="106"/>
      <c r="E1289" s="106"/>
      <c r="F1289" s="106"/>
      <c r="G1289" s="106"/>
      <c r="K1289" s="106">
        <v>45190</v>
      </c>
      <c r="L1289" s="106"/>
      <c r="M1289" s="106"/>
      <c r="N1289" s="106"/>
      <c r="O1289" s="106"/>
      <c r="P1289" s="106"/>
      <c r="Q1289" s="106"/>
    </row>
    <row r="1290" spans="1:17" ht="15.75" x14ac:dyDescent="0.25">
      <c r="A1290" s="22" t="s">
        <v>34</v>
      </c>
      <c r="B1290" s="22" t="s">
        <v>104</v>
      </c>
      <c r="C1290" s="22" t="s">
        <v>105</v>
      </c>
      <c r="D1290" s="22" t="s">
        <v>112</v>
      </c>
      <c r="E1290" s="22" t="s">
        <v>106</v>
      </c>
      <c r="F1290" s="21" t="s">
        <v>108</v>
      </c>
      <c r="G1290" s="21" t="s">
        <v>28</v>
      </c>
      <c r="K1290" s="22" t="s">
        <v>34</v>
      </c>
      <c r="L1290" s="22" t="s">
        <v>104</v>
      </c>
      <c r="M1290" s="22" t="s">
        <v>105</v>
      </c>
      <c r="N1290" s="22" t="s">
        <v>112</v>
      </c>
      <c r="O1290" s="22" t="s">
        <v>106</v>
      </c>
      <c r="P1290" s="21" t="s">
        <v>108</v>
      </c>
      <c r="Q1290" s="21" t="s">
        <v>28</v>
      </c>
    </row>
    <row r="1291" spans="1:17" ht="15.75" x14ac:dyDescent="0.25">
      <c r="A1291" s="41" t="s">
        <v>71</v>
      </c>
      <c r="B1291" s="23">
        <v>14110</v>
      </c>
      <c r="C1291" s="42">
        <v>5780</v>
      </c>
      <c r="D1291" s="23">
        <f t="shared" ref="D1291:D1304" si="471">+C1291+B1291</f>
        <v>19890</v>
      </c>
      <c r="E1291" s="20">
        <v>3825.0000000000036</v>
      </c>
      <c r="F1291" s="23">
        <f t="shared" ref="F1291:F1304" si="472">+B1291+C1291-E1291</f>
        <v>16064.999999999996</v>
      </c>
      <c r="G1291" s="23">
        <v>-826710</v>
      </c>
      <c r="H1291">
        <v>14.350000000000001</v>
      </c>
      <c r="K1291" s="41" t="s">
        <v>71</v>
      </c>
      <c r="L1291" s="23">
        <v>35615</v>
      </c>
      <c r="M1291" s="42">
        <v>-298350</v>
      </c>
      <c r="N1291" s="23">
        <f t="shared" ref="N1291:N1304" si="473">+M1291+L1291</f>
        <v>-262735</v>
      </c>
      <c r="O1291" s="20">
        <v>-47600</v>
      </c>
      <c r="P1291" s="23">
        <f t="shared" ref="P1291:P1304" si="474">+L1291+M1291-O1291</f>
        <v>-215135</v>
      </c>
      <c r="Q1291" s="23">
        <v>-678725</v>
      </c>
    </row>
    <row r="1292" spans="1:17" ht="15.75" x14ac:dyDescent="0.25">
      <c r="A1292" s="41" t="s">
        <v>76</v>
      </c>
      <c r="B1292" s="23">
        <v>-13770</v>
      </c>
      <c r="C1292" s="42">
        <v>87480.000000000029</v>
      </c>
      <c r="D1292" s="23">
        <f t="shared" si="471"/>
        <v>73710.000000000029</v>
      </c>
      <c r="E1292" s="20">
        <v>-9990</v>
      </c>
      <c r="F1292" s="23">
        <f t="shared" si="472"/>
        <v>83700.000000000029</v>
      </c>
      <c r="G1292" s="23">
        <v>-767880</v>
      </c>
      <c r="H1292">
        <v>6.9499999999999993</v>
      </c>
      <c r="K1292" s="41" t="s">
        <v>76</v>
      </c>
      <c r="L1292" s="23">
        <v>88020</v>
      </c>
      <c r="M1292" s="42">
        <v>-84780</v>
      </c>
      <c r="N1292" s="23">
        <f t="shared" si="473"/>
        <v>3240</v>
      </c>
      <c r="O1292" s="20">
        <v>31860</v>
      </c>
      <c r="P1292" s="23">
        <f t="shared" si="474"/>
        <v>-28620</v>
      </c>
      <c r="Q1292" s="23">
        <v>-696870</v>
      </c>
    </row>
    <row r="1293" spans="1:17" ht="15.75" x14ac:dyDescent="0.25">
      <c r="A1293" s="41" t="s">
        <v>94</v>
      </c>
      <c r="B1293" s="23">
        <v>-13375</v>
      </c>
      <c r="C1293" s="42">
        <v>173125</v>
      </c>
      <c r="D1293" s="23">
        <f t="shared" si="471"/>
        <v>159750</v>
      </c>
      <c r="E1293" s="20">
        <v>19124.999999999996</v>
      </c>
      <c r="F1293" s="23">
        <f t="shared" si="472"/>
        <v>140625</v>
      </c>
      <c r="G1293" s="23">
        <v>-797250</v>
      </c>
      <c r="H1293">
        <v>10.35</v>
      </c>
      <c r="K1293" s="41" t="s">
        <v>94</v>
      </c>
      <c r="L1293" s="23">
        <v>-262000</v>
      </c>
      <c r="M1293" s="42">
        <v>155500</v>
      </c>
      <c r="N1293" s="23">
        <f t="shared" si="473"/>
        <v>-106500</v>
      </c>
      <c r="O1293" s="20">
        <v>38249.999999999993</v>
      </c>
      <c r="P1293" s="23">
        <f t="shared" si="474"/>
        <v>-144750</v>
      </c>
      <c r="Q1293" s="23">
        <v>-790750</v>
      </c>
    </row>
    <row r="1294" spans="1:17" ht="15.75" x14ac:dyDescent="0.25">
      <c r="A1294" s="41" t="s">
        <v>127</v>
      </c>
      <c r="B1294" s="23">
        <v>169222</v>
      </c>
      <c r="C1294" s="42">
        <v>-79785</v>
      </c>
      <c r="D1294" s="23">
        <f t="shared" si="471"/>
        <v>89437</v>
      </c>
      <c r="E1294" s="20">
        <v>17550</v>
      </c>
      <c r="F1294" s="23">
        <f t="shared" si="472"/>
        <v>71887</v>
      </c>
      <c r="G1294" s="23">
        <v>-784620</v>
      </c>
      <c r="H1294">
        <v>25.8</v>
      </c>
      <c r="K1294" s="41" t="s">
        <v>127</v>
      </c>
      <c r="L1294" s="23">
        <v>83565</v>
      </c>
      <c r="M1294" s="42">
        <v>30104.999999999985</v>
      </c>
      <c r="N1294" s="23">
        <f t="shared" si="473"/>
        <v>113669.99999999999</v>
      </c>
      <c r="O1294" s="20">
        <v>25312.5</v>
      </c>
      <c r="P1294" s="23">
        <f t="shared" si="474"/>
        <v>88357.499999999985</v>
      </c>
      <c r="Q1294" s="23">
        <v>-786307.5</v>
      </c>
    </row>
    <row r="1295" spans="1:17" ht="15.75" x14ac:dyDescent="0.25">
      <c r="A1295" s="41" t="s">
        <v>54</v>
      </c>
      <c r="B1295" s="23">
        <v>-150750</v>
      </c>
      <c r="C1295" s="42">
        <v>13549.999999999971</v>
      </c>
      <c r="D1295" s="23">
        <f t="shared" si="471"/>
        <v>-137200.00000000003</v>
      </c>
      <c r="E1295" s="20">
        <v>-21200</v>
      </c>
      <c r="F1295" s="23">
        <f t="shared" si="472"/>
        <v>-116000.00000000003</v>
      </c>
      <c r="G1295" s="23">
        <v>-867000</v>
      </c>
      <c r="H1295">
        <v>26.7</v>
      </c>
      <c r="K1295" s="41" t="s">
        <v>54</v>
      </c>
      <c r="L1295" s="23">
        <v>-72600</v>
      </c>
      <c r="M1295" s="42">
        <v>250000</v>
      </c>
      <c r="N1295" s="23">
        <f t="shared" si="473"/>
        <v>177400</v>
      </c>
      <c r="O1295" s="20">
        <v>25100</v>
      </c>
      <c r="P1295" s="23">
        <f t="shared" si="474"/>
        <v>152300</v>
      </c>
      <c r="Q1295" s="23">
        <v>-822500</v>
      </c>
    </row>
    <row r="1296" spans="1:17" ht="15.75" x14ac:dyDescent="0.25">
      <c r="A1296" s="41" t="s">
        <v>82</v>
      </c>
      <c r="B1296" s="23">
        <v>-4203</v>
      </c>
      <c r="C1296" s="42">
        <v>-21802.5</v>
      </c>
      <c r="D1296" s="23">
        <f t="shared" si="471"/>
        <v>-26005.5</v>
      </c>
      <c r="E1296" s="20">
        <v>-9642.5</v>
      </c>
      <c r="F1296" s="23">
        <f t="shared" si="472"/>
        <v>-16363</v>
      </c>
      <c r="G1296" s="20">
        <v>-792727.5</v>
      </c>
      <c r="H1296">
        <v>61.1</v>
      </c>
      <c r="K1296" s="41" t="s">
        <v>82</v>
      </c>
      <c r="L1296" s="23">
        <v>248211</v>
      </c>
      <c r="M1296" s="42">
        <v>14297.5</v>
      </c>
      <c r="N1296" s="23">
        <f t="shared" si="473"/>
        <v>262508.5</v>
      </c>
      <c r="O1296" s="20">
        <v>27692.5</v>
      </c>
      <c r="P1296" s="23">
        <f t="shared" si="474"/>
        <v>234816</v>
      </c>
      <c r="Q1296" s="20">
        <v>-503785</v>
      </c>
    </row>
    <row r="1297" spans="1:17" ht="15.75" x14ac:dyDescent="0.25">
      <c r="A1297" s="41" t="s">
        <v>74</v>
      </c>
      <c r="B1297" s="23">
        <v>9750</v>
      </c>
      <c r="C1297" s="42">
        <v>-3787.5000000000291</v>
      </c>
      <c r="D1297" s="23">
        <f t="shared" si="471"/>
        <v>5962.4999999999709</v>
      </c>
      <c r="E1297" s="20">
        <v>-27825</v>
      </c>
      <c r="F1297" s="23">
        <f t="shared" si="472"/>
        <v>33787.499999999971</v>
      </c>
      <c r="G1297" s="23">
        <v>-790987.5</v>
      </c>
      <c r="H1297">
        <v>46.15</v>
      </c>
      <c r="K1297" s="41" t="s">
        <v>74</v>
      </c>
      <c r="L1297" s="23">
        <v>91950</v>
      </c>
      <c r="M1297" s="42">
        <v>-13125</v>
      </c>
      <c r="N1297" s="23">
        <f t="shared" si="473"/>
        <v>78825</v>
      </c>
      <c r="O1297" s="20">
        <v>-8137.5</v>
      </c>
      <c r="P1297" s="23">
        <f t="shared" si="474"/>
        <v>86962.5</v>
      </c>
      <c r="Q1297" s="23">
        <v>-798450</v>
      </c>
    </row>
    <row r="1298" spans="1:17" ht="15.75" x14ac:dyDescent="0.25">
      <c r="A1298" s="41" t="s">
        <v>128</v>
      </c>
      <c r="B1298" s="23">
        <v>-52910</v>
      </c>
      <c r="C1298" s="42">
        <v>84370</v>
      </c>
      <c r="D1298" s="23">
        <f t="shared" si="471"/>
        <v>31460</v>
      </c>
      <c r="E1298" s="20">
        <v>24180</v>
      </c>
      <c r="F1298" s="23">
        <f t="shared" si="472"/>
        <v>7280</v>
      </c>
      <c r="G1298" s="23">
        <v>-795600</v>
      </c>
      <c r="H1298">
        <v>15.600000000000001</v>
      </c>
      <c r="K1298" s="41" t="s">
        <v>128</v>
      </c>
      <c r="L1298" s="23">
        <v>-218140</v>
      </c>
      <c r="M1298" s="42">
        <v>69680</v>
      </c>
      <c r="N1298" s="23">
        <f t="shared" si="473"/>
        <v>-148460</v>
      </c>
      <c r="O1298" s="20">
        <v>22490</v>
      </c>
      <c r="P1298" s="23">
        <f t="shared" si="474"/>
        <v>-170950</v>
      </c>
      <c r="Q1298" s="23">
        <v>-834730</v>
      </c>
    </row>
    <row r="1299" spans="1:17" ht="15.75" x14ac:dyDescent="0.25">
      <c r="A1299" s="41" t="s">
        <v>15</v>
      </c>
      <c r="B1299" s="23">
        <v>-20125</v>
      </c>
      <c r="C1299" s="43">
        <v>40500.000000000015</v>
      </c>
      <c r="D1299" s="23">
        <f t="shared" si="471"/>
        <v>20375.000000000015</v>
      </c>
      <c r="E1299" s="20">
        <v>-47750</v>
      </c>
      <c r="F1299" s="23">
        <f t="shared" si="472"/>
        <v>68125.000000000015</v>
      </c>
      <c r="G1299" s="23">
        <v>-779250</v>
      </c>
      <c r="H1299">
        <v>18.600000000000001</v>
      </c>
      <c r="K1299" s="41" t="s">
        <v>15</v>
      </c>
      <c r="L1299" s="23">
        <v>-107625</v>
      </c>
      <c r="M1299" s="43">
        <v>173250</v>
      </c>
      <c r="N1299" s="23">
        <f t="shared" si="473"/>
        <v>65625</v>
      </c>
      <c r="O1299" s="20">
        <v>-34750</v>
      </c>
      <c r="P1299" s="23">
        <f t="shared" si="474"/>
        <v>100375</v>
      </c>
      <c r="Q1299" s="23">
        <v>-759000</v>
      </c>
    </row>
    <row r="1300" spans="1:17" ht="15.75" x14ac:dyDescent="0.25">
      <c r="A1300" s="41" t="s">
        <v>75</v>
      </c>
      <c r="B1300" s="23">
        <v>-91200</v>
      </c>
      <c r="C1300" s="42">
        <v>198400</v>
      </c>
      <c r="D1300" s="23">
        <f t="shared" si="471"/>
        <v>107200</v>
      </c>
      <c r="E1300" s="20">
        <v>109000</v>
      </c>
      <c r="F1300" s="23">
        <f t="shared" si="472"/>
        <v>-1800</v>
      </c>
      <c r="G1300" s="23">
        <v>-781900</v>
      </c>
      <c r="H1300">
        <v>14.049999999999999</v>
      </c>
      <c r="K1300" s="41" t="s">
        <v>75</v>
      </c>
      <c r="L1300" s="23">
        <v>-72400</v>
      </c>
      <c r="M1300" s="42">
        <v>116700</v>
      </c>
      <c r="N1300" s="23">
        <f t="shared" si="473"/>
        <v>44300</v>
      </c>
      <c r="O1300" s="20">
        <v>119300.00000000001</v>
      </c>
      <c r="P1300" s="23">
        <f t="shared" si="474"/>
        <v>-75000.000000000015</v>
      </c>
      <c r="Q1300" s="23">
        <v>-673700</v>
      </c>
    </row>
    <row r="1301" spans="1:17" ht="15.75" x14ac:dyDescent="0.25">
      <c r="A1301" s="41" t="s">
        <v>62</v>
      </c>
      <c r="B1301" s="23">
        <v>-39877</v>
      </c>
      <c r="C1301" s="42">
        <v>125302.5</v>
      </c>
      <c r="D1301" s="23">
        <f t="shared" si="471"/>
        <v>85425.5</v>
      </c>
      <c r="E1301" s="20">
        <v>49837.5</v>
      </c>
      <c r="F1301" s="23">
        <f t="shared" si="472"/>
        <v>35588</v>
      </c>
      <c r="G1301" s="23">
        <v>-751342.5</v>
      </c>
      <c r="H1301">
        <v>177.95</v>
      </c>
      <c r="K1301" s="41" t="s">
        <v>62</v>
      </c>
      <c r="L1301" s="23">
        <v>-44000</v>
      </c>
      <c r="M1301" s="42">
        <v>131475</v>
      </c>
      <c r="N1301" s="23">
        <f t="shared" si="473"/>
        <v>87475</v>
      </c>
      <c r="O1301" s="20">
        <v>11932.5</v>
      </c>
      <c r="P1301" s="23">
        <f t="shared" si="474"/>
        <v>75542.5</v>
      </c>
      <c r="Q1301" s="23">
        <v>-691627.5</v>
      </c>
    </row>
    <row r="1302" spans="1:17" ht="15.75" x14ac:dyDescent="0.25">
      <c r="A1302" s="41" t="s">
        <v>61</v>
      </c>
      <c r="B1302" s="23">
        <v>-19690</v>
      </c>
      <c r="C1302" s="42">
        <v>218020</v>
      </c>
      <c r="D1302" s="23">
        <f t="shared" si="471"/>
        <v>198330</v>
      </c>
      <c r="E1302" s="20">
        <v>25300</v>
      </c>
      <c r="F1302" s="23">
        <f t="shared" si="472"/>
        <v>173030</v>
      </c>
      <c r="G1302" s="23">
        <v>-738815</v>
      </c>
      <c r="H1302">
        <v>33.549999999999997</v>
      </c>
      <c r="K1302" s="41" t="s">
        <v>61</v>
      </c>
      <c r="L1302" s="23">
        <v>170555</v>
      </c>
      <c r="M1302" s="42">
        <v>60390</v>
      </c>
      <c r="N1302" s="23">
        <f t="shared" si="473"/>
        <v>230945</v>
      </c>
      <c r="O1302" s="20">
        <v>35695</v>
      </c>
      <c r="P1302" s="23">
        <f t="shared" si="474"/>
        <v>195250</v>
      </c>
      <c r="Q1302" s="23">
        <v>-975150</v>
      </c>
    </row>
    <row r="1303" spans="1:17" ht="15.75" x14ac:dyDescent="0.25">
      <c r="A1303" s="41" t="s">
        <v>96</v>
      </c>
      <c r="B1303" s="23">
        <v>-11550</v>
      </c>
      <c r="C1303" s="42">
        <v>36531.250000000029</v>
      </c>
      <c r="D1303" s="23">
        <f t="shared" si="471"/>
        <v>24981.250000000029</v>
      </c>
      <c r="E1303" s="20">
        <v>-6037.4999999999964</v>
      </c>
      <c r="F1303" s="23">
        <f t="shared" si="472"/>
        <v>31018.750000000025</v>
      </c>
      <c r="G1303" s="23">
        <v>-749875</v>
      </c>
      <c r="H1303">
        <v>23.15</v>
      </c>
      <c r="K1303" s="41" t="s">
        <v>96</v>
      </c>
      <c r="L1303" s="23">
        <v>15706</v>
      </c>
      <c r="M1303" s="42">
        <v>4287.5</v>
      </c>
      <c r="N1303" s="23">
        <f t="shared" si="473"/>
        <v>19993.5</v>
      </c>
      <c r="O1303" s="20">
        <v>21787.5</v>
      </c>
      <c r="P1303" s="23">
        <f t="shared" si="474"/>
        <v>-1794</v>
      </c>
      <c r="Q1303" s="23">
        <v>-871281.25</v>
      </c>
    </row>
    <row r="1304" spans="1:17" ht="15.75" x14ac:dyDescent="0.25">
      <c r="A1304" s="41" t="s">
        <v>131</v>
      </c>
      <c r="B1304" s="23">
        <v>-49500</v>
      </c>
      <c r="C1304" s="42">
        <v>184500</v>
      </c>
      <c r="D1304" s="23">
        <f t="shared" si="471"/>
        <v>135000</v>
      </c>
      <c r="E1304" s="20">
        <v>-1125</v>
      </c>
      <c r="F1304" s="23">
        <f t="shared" si="472"/>
        <v>136125</v>
      </c>
      <c r="G1304" s="23">
        <v>-624500</v>
      </c>
      <c r="H1304">
        <v>44.9</v>
      </c>
      <c r="K1304" s="41" t="s">
        <v>131</v>
      </c>
      <c r="L1304" s="23">
        <v>-2000</v>
      </c>
      <c r="M1304" s="42">
        <v>95625</v>
      </c>
      <c r="N1304" s="23">
        <f t="shared" si="473"/>
        <v>93625</v>
      </c>
      <c r="O1304" s="20">
        <v>122000</v>
      </c>
      <c r="P1304" s="23">
        <f t="shared" si="474"/>
        <v>-28375</v>
      </c>
      <c r="Q1304" s="23">
        <v>-858125</v>
      </c>
    </row>
    <row r="1305" spans="1:17" ht="15.75" x14ac:dyDescent="0.25">
      <c r="A1305" s="21" t="s">
        <v>107</v>
      </c>
      <c r="B1305" s="22">
        <f t="shared" ref="B1305:G1305" si="475">SUM(B1291:B1304)</f>
        <v>-273868</v>
      </c>
      <c r="C1305" s="18">
        <f t="shared" si="475"/>
        <v>1062183.75</v>
      </c>
      <c r="D1305" s="23">
        <f t="shared" si="475"/>
        <v>788315.75</v>
      </c>
      <c r="E1305" s="18">
        <f t="shared" si="475"/>
        <v>125247.5</v>
      </c>
      <c r="F1305" s="23">
        <f t="shared" si="475"/>
        <v>663068.25</v>
      </c>
      <c r="G1305" s="17">
        <f t="shared" si="475"/>
        <v>-10848457.5</v>
      </c>
      <c r="K1305" s="21" t="s">
        <v>107</v>
      </c>
      <c r="L1305" s="22">
        <f t="shared" ref="L1305:Q1305" si="476">SUM(L1291:L1304)</f>
        <v>-45143</v>
      </c>
      <c r="M1305" s="18">
        <f t="shared" si="476"/>
        <v>705055</v>
      </c>
      <c r="N1305" s="23">
        <f t="shared" si="476"/>
        <v>659912</v>
      </c>
      <c r="O1305" s="18">
        <f t="shared" si="476"/>
        <v>390932.5</v>
      </c>
      <c r="P1305" s="23">
        <f t="shared" si="476"/>
        <v>268979.5</v>
      </c>
      <c r="Q1305" s="17">
        <f t="shared" si="476"/>
        <v>-10741001.25</v>
      </c>
    </row>
    <row r="1306" spans="1:17" ht="15.75" x14ac:dyDescent="0.25">
      <c r="K1306" s="45" t="s">
        <v>132</v>
      </c>
      <c r="L1306">
        <v>11715</v>
      </c>
    </row>
    <row r="1308" spans="1:17" ht="15.75" x14ac:dyDescent="0.25">
      <c r="A1308" s="106">
        <v>45191</v>
      </c>
      <c r="B1308" s="106"/>
      <c r="C1308" s="106"/>
      <c r="D1308" s="106"/>
      <c r="E1308" s="106"/>
      <c r="F1308" s="106"/>
      <c r="G1308" s="106"/>
      <c r="K1308" s="106">
        <v>45194</v>
      </c>
      <c r="L1308" s="106"/>
      <c r="M1308" s="106"/>
      <c r="N1308" s="106"/>
      <c r="O1308" s="106"/>
      <c r="P1308" s="106"/>
      <c r="Q1308" s="106"/>
    </row>
    <row r="1309" spans="1:17" ht="15.75" x14ac:dyDescent="0.25">
      <c r="A1309" s="22" t="s">
        <v>34</v>
      </c>
      <c r="B1309" s="22" t="s">
        <v>104</v>
      </c>
      <c r="C1309" s="22" t="s">
        <v>105</v>
      </c>
      <c r="D1309" s="22" t="s">
        <v>112</v>
      </c>
      <c r="E1309" s="22" t="s">
        <v>106</v>
      </c>
      <c r="F1309" s="21" t="s">
        <v>108</v>
      </c>
      <c r="G1309" s="21" t="s">
        <v>28</v>
      </c>
      <c r="K1309" s="22" t="s">
        <v>34</v>
      </c>
      <c r="L1309" s="22" t="s">
        <v>104</v>
      </c>
      <c r="M1309" s="22" t="s">
        <v>105</v>
      </c>
      <c r="N1309" s="22" t="s">
        <v>112</v>
      </c>
      <c r="O1309" s="22" t="s">
        <v>106</v>
      </c>
      <c r="P1309" s="21" t="s">
        <v>108</v>
      </c>
      <c r="Q1309" s="21" t="s">
        <v>28</v>
      </c>
    </row>
    <row r="1310" spans="1:17" ht="15.75" x14ac:dyDescent="0.25">
      <c r="A1310" s="41" t="s">
        <v>71</v>
      </c>
      <c r="B1310" s="23">
        <v>-66810</v>
      </c>
      <c r="C1310" s="42">
        <v>273615</v>
      </c>
      <c r="D1310" s="23">
        <f t="shared" ref="D1310:D1325" si="477">+C1310+B1310</f>
        <v>206805</v>
      </c>
      <c r="E1310" s="20">
        <v>-5270</v>
      </c>
      <c r="F1310" s="23">
        <f t="shared" ref="F1310:F1325" si="478">+B1310+C1310-E1310</f>
        <v>212075</v>
      </c>
      <c r="G1310" s="23">
        <v>-753015</v>
      </c>
      <c r="J1310">
        <v>9.1000000000000014</v>
      </c>
      <c r="K1310" s="41" t="s">
        <v>71</v>
      </c>
      <c r="L1310" s="23">
        <v>-3485</v>
      </c>
      <c r="M1310" s="42">
        <v>211225</v>
      </c>
      <c r="N1310" s="23">
        <f t="shared" ref="N1310:N1325" si="479">+M1310+L1310</f>
        <v>207740</v>
      </c>
      <c r="O1310" s="20">
        <v>0</v>
      </c>
      <c r="P1310" s="23">
        <f t="shared" ref="P1310:P1325" si="480">+L1310+M1310-O1310</f>
        <v>207740</v>
      </c>
      <c r="Q1310" s="23">
        <v>-495975</v>
      </c>
    </row>
    <row r="1311" spans="1:17" ht="15.75" x14ac:dyDescent="0.25">
      <c r="A1311" s="41" t="s">
        <v>76</v>
      </c>
      <c r="B1311" s="23">
        <v>-12420</v>
      </c>
      <c r="C1311" s="42">
        <v>307260</v>
      </c>
      <c r="D1311" s="23">
        <f t="shared" si="477"/>
        <v>294840</v>
      </c>
      <c r="E1311" s="20">
        <v>60210</v>
      </c>
      <c r="F1311" s="23">
        <f t="shared" si="478"/>
        <v>234630</v>
      </c>
      <c r="G1311" s="23">
        <v>-460620</v>
      </c>
      <c r="J1311">
        <v>3.55</v>
      </c>
      <c r="K1311" s="41" t="s">
        <v>76</v>
      </c>
      <c r="L1311" s="23">
        <v>-146070</v>
      </c>
      <c r="M1311" s="42">
        <v>189540</v>
      </c>
      <c r="N1311" s="23">
        <f t="shared" si="479"/>
        <v>43470</v>
      </c>
      <c r="O1311" s="20">
        <v>0</v>
      </c>
      <c r="P1311" s="23">
        <f t="shared" si="480"/>
        <v>43470</v>
      </c>
      <c r="Q1311" s="23">
        <v>-300780</v>
      </c>
    </row>
    <row r="1312" spans="1:17" ht="15.75" x14ac:dyDescent="0.25">
      <c r="A1312" s="41" t="s">
        <v>94</v>
      </c>
      <c r="B1312" s="23">
        <v>-137625</v>
      </c>
      <c r="C1312" s="42">
        <v>322000</v>
      </c>
      <c r="D1312" s="23">
        <f t="shared" si="477"/>
        <v>184375</v>
      </c>
      <c r="E1312" s="20">
        <v>18500</v>
      </c>
      <c r="F1312" s="23">
        <f t="shared" si="478"/>
        <v>165875</v>
      </c>
      <c r="G1312" s="23">
        <v>-727750</v>
      </c>
      <c r="J1312">
        <v>7.3</v>
      </c>
      <c r="K1312" s="41" t="s">
        <v>94</v>
      </c>
      <c r="L1312" s="23">
        <v>-72125</v>
      </c>
      <c r="M1312" s="42">
        <v>-28000.000000000007</v>
      </c>
      <c r="N1312" s="23">
        <f t="shared" si="479"/>
        <v>-100125</v>
      </c>
      <c r="O1312" s="20">
        <v>0</v>
      </c>
      <c r="P1312" s="23">
        <f t="shared" si="480"/>
        <v>-100125</v>
      </c>
      <c r="Q1312" s="23">
        <v>-743000</v>
      </c>
    </row>
    <row r="1313" spans="1:17" ht="15.75" x14ac:dyDescent="0.25">
      <c r="A1313" s="41" t="s">
        <v>127</v>
      </c>
      <c r="B1313" s="23">
        <v>7627</v>
      </c>
      <c r="C1313" s="42">
        <v>235710</v>
      </c>
      <c r="D1313" s="23">
        <f t="shared" si="477"/>
        <v>243337</v>
      </c>
      <c r="E1313" s="20">
        <v>-14242.5</v>
      </c>
      <c r="F1313" s="23">
        <f t="shared" si="478"/>
        <v>257579.5</v>
      </c>
      <c r="G1313" s="23">
        <v>-763020</v>
      </c>
      <c r="J1313">
        <v>16.399999999999999</v>
      </c>
      <c r="K1313" s="41" t="s">
        <v>127</v>
      </c>
      <c r="L1313" s="23">
        <v>-7357</v>
      </c>
      <c r="M1313" s="42">
        <v>303817.5</v>
      </c>
      <c r="N1313" s="23">
        <f t="shared" si="479"/>
        <v>296460.5</v>
      </c>
      <c r="O1313" s="20">
        <v>0</v>
      </c>
      <c r="P1313" s="23">
        <f t="shared" si="480"/>
        <v>296460.5</v>
      </c>
      <c r="Q1313" s="23">
        <v>-664470</v>
      </c>
    </row>
    <row r="1314" spans="1:17" ht="15.75" x14ac:dyDescent="0.25">
      <c r="A1314" s="41" t="s">
        <v>54</v>
      </c>
      <c r="B1314" s="23">
        <v>58550</v>
      </c>
      <c r="C1314" s="42">
        <v>25900</v>
      </c>
      <c r="D1314" s="23">
        <f t="shared" si="477"/>
        <v>84450</v>
      </c>
      <c r="E1314" s="20">
        <v>83600</v>
      </c>
      <c r="F1314" s="23">
        <f t="shared" si="478"/>
        <v>850</v>
      </c>
      <c r="G1314" s="23">
        <v>-631600</v>
      </c>
      <c r="J1314">
        <v>15</v>
      </c>
      <c r="K1314" s="41" t="s">
        <v>54</v>
      </c>
      <c r="L1314" s="23">
        <v>-69400</v>
      </c>
      <c r="M1314" s="42">
        <v>232400</v>
      </c>
      <c r="N1314" s="23">
        <f t="shared" si="479"/>
        <v>163000</v>
      </c>
      <c r="O1314" s="20">
        <v>0</v>
      </c>
      <c r="P1314" s="23">
        <f t="shared" si="480"/>
        <v>163000</v>
      </c>
      <c r="Q1314" s="23">
        <v>-401400</v>
      </c>
    </row>
    <row r="1315" spans="1:17" ht="15.75" x14ac:dyDescent="0.25">
      <c r="A1315" s="41" t="s">
        <v>82</v>
      </c>
      <c r="B1315" s="23">
        <v>3300</v>
      </c>
      <c r="C1315" s="42">
        <v>161690</v>
      </c>
      <c r="D1315" s="23">
        <f t="shared" si="477"/>
        <v>164990</v>
      </c>
      <c r="E1315" s="20">
        <v>53485</v>
      </c>
      <c r="F1315" s="23">
        <f t="shared" si="478"/>
        <v>111505</v>
      </c>
      <c r="G1315" s="20">
        <v>-244387.5</v>
      </c>
      <c r="J1315">
        <v>33.950000000000003</v>
      </c>
      <c r="K1315" s="41" t="s">
        <v>82</v>
      </c>
      <c r="L1315" s="23">
        <v>72223</v>
      </c>
      <c r="M1315" s="42">
        <v>-387742.5</v>
      </c>
      <c r="N1315" s="23">
        <f t="shared" si="479"/>
        <v>-315519.5</v>
      </c>
      <c r="O1315" s="20">
        <v>0</v>
      </c>
      <c r="P1315" s="23">
        <f t="shared" si="480"/>
        <v>-315519.5</v>
      </c>
      <c r="Q1315" s="20">
        <v>0</v>
      </c>
    </row>
    <row r="1316" spans="1:17" ht="15.75" x14ac:dyDescent="0.25">
      <c r="A1316" s="41" t="s">
        <v>74</v>
      </c>
      <c r="B1316" s="23">
        <v>-11512</v>
      </c>
      <c r="C1316" s="42">
        <v>369825</v>
      </c>
      <c r="D1316" s="23">
        <f t="shared" si="477"/>
        <v>358313</v>
      </c>
      <c r="E1316" s="20">
        <v>16462.5</v>
      </c>
      <c r="F1316" s="23">
        <f t="shared" si="478"/>
        <v>341850.5</v>
      </c>
      <c r="G1316" s="23">
        <v>-863587.5</v>
      </c>
      <c r="J1316">
        <v>28.4</v>
      </c>
      <c r="K1316" s="41" t="s">
        <v>74</v>
      </c>
      <c r="L1316" s="23">
        <v>-128175</v>
      </c>
      <c r="M1316" s="42">
        <v>370650</v>
      </c>
      <c r="N1316" s="23">
        <f t="shared" si="479"/>
        <v>242475</v>
      </c>
      <c r="O1316" s="20">
        <v>0</v>
      </c>
      <c r="P1316" s="23">
        <f t="shared" si="480"/>
        <v>242475</v>
      </c>
      <c r="Q1316" s="23">
        <v>-813675</v>
      </c>
    </row>
    <row r="1317" spans="1:17" ht="15.75" x14ac:dyDescent="0.25">
      <c r="A1317" s="41" t="s">
        <v>128</v>
      </c>
      <c r="B1317" s="23">
        <v>127400</v>
      </c>
      <c r="C1317" s="42">
        <v>-154050</v>
      </c>
      <c r="D1317" s="23">
        <f t="shared" si="477"/>
        <v>-26650</v>
      </c>
      <c r="E1317" s="20">
        <v>32045</v>
      </c>
      <c r="F1317" s="23">
        <f t="shared" si="478"/>
        <v>-58695</v>
      </c>
      <c r="G1317" s="23">
        <v>-588705</v>
      </c>
      <c r="J1317">
        <v>11.45</v>
      </c>
      <c r="K1317" s="41" t="s">
        <v>128</v>
      </c>
      <c r="L1317" s="23">
        <v>-166270</v>
      </c>
      <c r="M1317" s="42">
        <v>208650</v>
      </c>
      <c r="N1317" s="23">
        <f t="shared" si="479"/>
        <v>42380</v>
      </c>
      <c r="O1317" s="20">
        <v>0</v>
      </c>
      <c r="P1317" s="23">
        <f t="shared" si="480"/>
        <v>42380</v>
      </c>
      <c r="Q1317" s="23">
        <v>-569335</v>
      </c>
    </row>
    <row r="1318" spans="1:17" ht="15.75" x14ac:dyDescent="0.25">
      <c r="A1318" s="41" t="s">
        <v>15</v>
      </c>
      <c r="B1318" s="23">
        <v>-63937</v>
      </c>
      <c r="C1318" s="43">
        <v>144000.00000000003</v>
      </c>
      <c r="D1318" s="23">
        <f t="shared" si="477"/>
        <v>80063.000000000029</v>
      </c>
      <c r="E1318" s="20">
        <v>9000</v>
      </c>
      <c r="F1318" s="23">
        <f t="shared" si="478"/>
        <v>71063.000000000029</v>
      </c>
      <c r="G1318" s="23">
        <v>-1026500</v>
      </c>
      <c r="J1318">
        <v>11.100000000000001</v>
      </c>
      <c r="K1318" s="41" t="s">
        <v>15</v>
      </c>
      <c r="L1318" s="23">
        <v>173687</v>
      </c>
      <c r="M1318" s="43">
        <v>-234750</v>
      </c>
      <c r="N1318" s="23">
        <f t="shared" si="479"/>
        <v>-61063</v>
      </c>
      <c r="O1318" s="20">
        <v>0</v>
      </c>
      <c r="P1318" s="23">
        <f t="shared" si="480"/>
        <v>-61063</v>
      </c>
      <c r="Q1318" s="23">
        <v>-529500</v>
      </c>
    </row>
    <row r="1319" spans="1:17" ht="15.75" x14ac:dyDescent="0.25">
      <c r="A1319" s="41" t="s">
        <v>75</v>
      </c>
      <c r="B1319" s="23">
        <v>-21800</v>
      </c>
      <c r="C1319" s="42">
        <v>428000</v>
      </c>
      <c r="D1319" s="23">
        <f t="shared" si="477"/>
        <v>406200</v>
      </c>
      <c r="E1319" s="20">
        <v>69900</v>
      </c>
      <c r="F1319" s="23">
        <f t="shared" si="478"/>
        <v>336300</v>
      </c>
      <c r="G1319" s="23">
        <v>-633000</v>
      </c>
      <c r="J1319">
        <v>9.9499999999999993</v>
      </c>
      <c r="K1319" s="41" t="s">
        <v>75</v>
      </c>
      <c r="L1319" s="23">
        <v>-361500</v>
      </c>
      <c r="M1319" s="42">
        <v>253000</v>
      </c>
      <c r="N1319" s="23">
        <f t="shared" si="479"/>
        <v>-108500</v>
      </c>
      <c r="O1319" s="20">
        <v>0</v>
      </c>
      <c r="P1319" s="23">
        <f t="shared" si="480"/>
        <v>-108500</v>
      </c>
      <c r="Q1319" s="23">
        <v>-654700</v>
      </c>
    </row>
    <row r="1320" spans="1:17" ht="15.75" x14ac:dyDescent="0.25">
      <c r="A1320" s="41" t="s">
        <v>62</v>
      </c>
      <c r="B1320" s="23">
        <v>167535</v>
      </c>
      <c r="C1320" s="42">
        <v>-269242.5</v>
      </c>
      <c r="D1320" s="23">
        <f t="shared" si="477"/>
        <v>-101707.5</v>
      </c>
      <c r="E1320" s="20">
        <v>-15022.5</v>
      </c>
      <c r="F1320" s="23">
        <f t="shared" si="478"/>
        <v>-86685</v>
      </c>
      <c r="G1320" s="23">
        <v>-378450</v>
      </c>
      <c r="J1320">
        <v>115.55</v>
      </c>
      <c r="K1320" s="41" t="s">
        <v>62</v>
      </c>
      <c r="L1320" s="23">
        <v>13282</v>
      </c>
      <c r="M1320" s="42">
        <v>202807.5</v>
      </c>
      <c r="N1320" s="23">
        <f t="shared" si="479"/>
        <v>216089.5</v>
      </c>
      <c r="O1320" s="20">
        <v>0</v>
      </c>
      <c r="P1320" s="23">
        <f t="shared" si="480"/>
        <v>216089.5</v>
      </c>
      <c r="Q1320" s="23">
        <v>-369615</v>
      </c>
    </row>
    <row r="1321" spans="1:17" ht="15.75" x14ac:dyDescent="0.25">
      <c r="A1321" s="41" t="s">
        <v>61</v>
      </c>
      <c r="B1321" s="23">
        <v>-284295</v>
      </c>
      <c r="C1321" s="42">
        <v>103730.00000000001</v>
      </c>
      <c r="D1321" s="23">
        <f t="shared" si="477"/>
        <v>-180565</v>
      </c>
      <c r="E1321" s="20">
        <v>31680</v>
      </c>
      <c r="F1321" s="23">
        <f t="shared" si="478"/>
        <v>-212245</v>
      </c>
      <c r="G1321" s="23">
        <v>-983950</v>
      </c>
      <c r="J1321">
        <v>19.399999999999999</v>
      </c>
      <c r="K1321" s="41" t="s">
        <v>61</v>
      </c>
      <c r="L1321" s="23">
        <v>-359205</v>
      </c>
      <c r="M1321" s="42">
        <v>362175</v>
      </c>
      <c r="N1321" s="23">
        <f t="shared" si="479"/>
        <v>2970</v>
      </c>
      <c r="O1321" s="20">
        <v>0</v>
      </c>
      <c r="P1321" s="23">
        <f t="shared" si="480"/>
        <v>2970</v>
      </c>
      <c r="Q1321" s="23">
        <v>-540100</v>
      </c>
    </row>
    <row r="1322" spans="1:17" ht="15.75" x14ac:dyDescent="0.25">
      <c r="A1322" s="41" t="s">
        <v>96</v>
      </c>
      <c r="B1322" s="23">
        <v>16450</v>
      </c>
      <c r="C1322" s="42">
        <v>77000</v>
      </c>
      <c r="D1322" s="23">
        <f t="shared" si="477"/>
        <v>93450</v>
      </c>
      <c r="E1322" s="20">
        <v>3981.25</v>
      </c>
      <c r="F1322" s="23">
        <f t="shared" si="478"/>
        <v>89468.75</v>
      </c>
      <c r="G1322" s="23">
        <v>-866031.25</v>
      </c>
      <c r="J1322">
        <v>13.5</v>
      </c>
      <c r="K1322" s="41" t="s">
        <v>96</v>
      </c>
      <c r="L1322" s="23">
        <v>377868</v>
      </c>
      <c r="M1322" s="42">
        <v>-1027293.75</v>
      </c>
      <c r="N1322" s="23">
        <f t="shared" si="479"/>
        <v>-649425.75</v>
      </c>
      <c r="O1322" s="20">
        <v>0</v>
      </c>
      <c r="P1322" s="23">
        <f t="shared" si="480"/>
        <v>-649425.75</v>
      </c>
      <c r="Q1322" s="23">
        <v>-742000</v>
      </c>
    </row>
    <row r="1323" spans="1:17" ht="15.75" x14ac:dyDescent="0.25">
      <c r="A1323" s="41" t="s">
        <v>131</v>
      </c>
      <c r="B1323" s="23">
        <v>-177375</v>
      </c>
      <c r="C1323" s="42">
        <v>219000</v>
      </c>
      <c r="D1323" s="23">
        <f t="shared" si="477"/>
        <v>41625</v>
      </c>
      <c r="E1323" s="20">
        <v>12750</v>
      </c>
      <c r="F1323" s="23">
        <f t="shared" si="478"/>
        <v>28875</v>
      </c>
      <c r="G1323" s="23">
        <v>-947375</v>
      </c>
      <c r="J1323">
        <v>27.4</v>
      </c>
      <c r="K1323" s="41" t="s">
        <v>131</v>
      </c>
      <c r="L1323" s="23">
        <v>-67125</v>
      </c>
      <c r="M1323" s="42">
        <v>415312.5</v>
      </c>
      <c r="N1323" s="23">
        <f t="shared" si="479"/>
        <v>348187.5</v>
      </c>
      <c r="O1323" s="20">
        <v>0</v>
      </c>
      <c r="P1323" s="23">
        <f t="shared" si="480"/>
        <v>348187.5</v>
      </c>
      <c r="Q1323" s="23">
        <v>-924000</v>
      </c>
    </row>
    <row r="1324" spans="1:17" ht="15.75" x14ac:dyDescent="0.25">
      <c r="A1324" s="41" t="s">
        <v>89</v>
      </c>
      <c r="B1324" s="23">
        <v>76125</v>
      </c>
      <c r="C1324" s="42">
        <v>0</v>
      </c>
      <c r="D1324" s="23">
        <f t="shared" si="477"/>
        <v>76125</v>
      </c>
      <c r="E1324" s="20">
        <v>0</v>
      </c>
      <c r="F1324" s="23">
        <f t="shared" si="478"/>
        <v>76125</v>
      </c>
      <c r="G1324" s="23">
        <v>-826790</v>
      </c>
      <c r="J1324">
        <v>7.15</v>
      </c>
      <c r="K1324" s="41" t="s">
        <v>89</v>
      </c>
      <c r="L1324" s="23">
        <v>-62350</v>
      </c>
      <c r="M1324" s="42">
        <v>198215</v>
      </c>
      <c r="N1324" s="23">
        <f t="shared" si="479"/>
        <v>135865</v>
      </c>
      <c r="O1324" s="20">
        <v>0</v>
      </c>
      <c r="P1324" s="23">
        <f t="shared" si="480"/>
        <v>135865</v>
      </c>
      <c r="Q1324" s="23">
        <v>-633795</v>
      </c>
    </row>
    <row r="1325" spans="1:17" ht="15.75" x14ac:dyDescent="0.25">
      <c r="A1325" s="41" t="s">
        <v>42</v>
      </c>
      <c r="B1325" s="23">
        <v>-27550</v>
      </c>
      <c r="C1325" s="42">
        <v>0</v>
      </c>
      <c r="D1325" s="23">
        <f t="shared" si="477"/>
        <v>-27550</v>
      </c>
      <c r="E1325" s="20">
        <v>0</v>
      </c>
      <c r="F1325" s="23">
        <f t="shared" si="478"/>
        <v>-27550</v>
      </c>
      <c r="G1325" s="23">
        <v>-834100</v>
      </c>
      <c r="J1325">
        <v>9.9</v>
      </c>
      <c r="K1325" s="41" t="s">
        <v>42</v>
      </c>
      <c r="L1325" s="23">
        <v>-30020</v>
      </c>
      <c r="M1325" s="42">
        <v>347130</v>
      </c>
      <c r="N1325" s="23">
        <f t="shared" si="479"/>
        <v>317110</v>
      </c>
      <c r="O1325" s="20">
        <v>0</v>
      </c>
      <c r="P1325" s="23">
        <f t="shared" si="480"/>
        <v>317110</v>
      </c>
      <c r="Q1325" s="23">
        <v>-604865</v>
      </c>
    </row>
    <row r="1326" spans="1:17" ht="15.75" x14ac:dyDescent="0.25">
      <c r="A1326" s="21" t="s">
        <v>107</v>
      </c>
      <c r="B1326" s="22">
        <f t="shared" ref="B1326:G1326" si="481">SUM(B1310:B1325)</f>
        <v>-346337</v>
      </c>
      <c r="C1326" s="18">
        <f t="shared" si="481"/>
        <v>2244437.5</v>
      </c>
      <c r="D1326" s="23">
        <f t="shared" si="481"/>
        <v>1898100.5</v>
      </c>
      <c r="E1326" s="18">
        <f t="shared" si="481"/>
        <v>357078.75</v>
      </c>
      <c r="F1326" s="23">
        <f t="shared" si="481"/>
        <v>1541021.75</v>
      </c>
      <c r="G1326" s="17">
        <f t="shared" si="481"/>
        <v>-11528881.25</v>
      </c>
      <c r="K1326" s="21" t="s">
        <v>107</v>
      </c>
      <c r="L1326" s="22">
        <f t="shared" ref="L1326:Q1326" si="482">SUM(L1310:L1325)</f>
        <v>-836022</v>
      </c>
      <c r="M1326" s="18">
        <f t="shared" si="482"/>
        <v>1617136.25</v>
      </c>
      <c r="N1326" s="23">
        <f t="shared" si="482"/>
        <v>781114.25</v>
      </c>
      <c r="O1326" s="18">
        <f t="shared" si="482"/>
        <v>0</v>
      </c>
      <c r="P1326" s="23">
        <f t="shared" si="482"/>
        <v>781114.25</v>
      </c>
      <c r="Q1326" s="17">
        <f t="shared" si="482"/>
        <v>-8987210</v>
      </c>
    </row>
    <row r="1327" spans="1:17" ht="15.75" x14ac:dyDescent="0.25">
      <c r="K1327" s="45" t="s">
        <v>132</v>
      </c>
      <c r="N1327">
        <v>42290</v>
      </c>
      <c r="O1327" s="46">
        <v>0</v>
      </c>
    </row>
    <row r="1329" spans="1:7" ht="15.75" x14ac:dyDescent="0.25">
      <c r="A1329" s="106">
        <v>45195</v>
      </c>
      <c r="B1329" s="106"/>
      <c r="C1329" s="106"/>
      <c r="D1329" s="106"/>
      <c r="E1329" s="106"/>
      <c r="F1329" s="106"/>
      <c r="G1329" s="106"/>
    </row>
    <row r="1330" spans="1:7" ht="15.75" x14ac:dyDescent="0.25">
      <c r="A1330" s="22" t="s">
        <v>34</v>
      </c>
      <c r="B1330" s="22" t="s">
        <v>104</v>
      </c>
      <c r="C1330" s="22" t="s">
        <v>105</v>
      </c>
      <c r="D1330" s="22" t="s">
        <v>112</v>
      </c>
      <c r="E1330" s="22" t="s">
        <v>106</v>
      </c>
      <c r="F1330" s="21" t="s">
        <v>108</v>
      </c>
      <c r="G1330" s="21" t="s">
        <v>28</v>
      </c>
    </row>
    <row r="1331" spans="1:7" ht="15.75" x14ac:dyDescent="0.25">
      <c r="A1331" s="41" t="s">
        <v>71</v>
      </c>
      <c r="B1331" s="23">
        <v>131240</v>
      </c>
      <c r="C1331" s="42">
        <v>-61625.000000000015</v>
      </c>
      <c r="D1331" s="23">
        <f t="shared" ref="D1331:D1346" si="483">+C1331+B1331</f>
        <v>69614.999999999985</v>
      </c>
      <c r="E1331" s="20">
        <v>-3655</v>
      </c>
      <c r="F1331" s="23">
        <f t="shared" ref="F1331:F1346" si="484">+B1331+C1331-E1331</f>
        <v>73269.999999999985</v>
      </c>
      <c r="G1331" s="23">
        <v>0</v>
      </c>
    </row>
    <row r="1332" spans="1:7" ht="15.75" x14ac:dyDescent="0.25">
      <c r="A1332" s="41" t="s">
        <v>76</v>
      </c>
      <c r="B1332" s="23">
        <v>-31590</v>
      </c>
      <c r="C1332" s="42">
        <v>-119880</v>
      </c>
      <c r="D1332" s="23">
        <f t="shared" si="483"/>
        <v>-151470</v>
      </c>
      <c r="E1332" s="20">
        <v>27540</v>
      </c>
      <c r="F1332" s="23">
        <f t="shared" si="484"/>
        <v>-179010</v>
      </c>
      <c r="G1332" s="23">
        <v>0</v>
      </c>
    </row>
    <row r="1333" spans="1:7" ht="15.75" x14ac:dyDescent="0.25">
      <c r="A1333" s="41" t="s">
        <v>94</v>
      </c>
      <c r="B1333" s="23">
        <v>-86625</v>
      </c>
      <c r="C1333" s="42">
        <v>266250</v>
      </c>
      <c r="D1333" s="23">
        <f t="shared" si="483"/>
        <v>179625</v>
      </c>
      <c r="E1333" s="20">
        <v>-20500</v>
      </c>
      <c r="F1333" s="23">
        <f t="shared" si="484"/>
        <v>200125</v>
      </c>
      <c r="G1333" s="23">
        <v>0</v>
      </c>
    </row>
    <row r="1334" spans="1:7" ht="15.75" x14ac:dyDescent="0.25">
      <c r="A1334" s="41" t="s">
        <v>127</v>
      </c>
      <c r="B1334" s="23">
        <v>-236182</v>
      </c>
      <c r="C1334" s="42">
        <v>231930</v>
      </c>
      <c r="D1334" s="23">
        <f t="shared" si="483"/>
        <v>-4252</v>
      </c>
      <c r="E1334" s="20">
        <v>100170</v>
      </c>
      <c r="F1334" s="23">
        <f t="shared" si="484"/>
        <v>-104422</v>
      </c>
      <c r="G1334" s="23">
        <v>0</v>
      </c>
    </row>
    <row r="1335" spans="1:7" ht="15.75" x14ac:dyDescent="0.25">
      <c r="A1335" s="41" t="s">
        <v>54</v>
      </c>
      <c r="B1335" s="23">
        <v>-69700</v>
      </c>
      <c r="C1335" s="42">
        <v>38900</v>
      </c>
      <c r="D1335" s="23">
        <f t="shared" si="483"/>
        <v>-30800</v>
      </c>
      <c r="E1335" s="20">
        <v>35250</v>
      </c>
      <c r="F1335" s="23">
        <f t="shared" si="484"/>
        <v>-66050</v>
      </c>
      <c r="G1335" s="23">
        <v>0</v>
      </c>
    </row>
    <row r="1336" spans="1:7" ht="15.75" x14ac:dyDescent="0.25">
      <c r="A1336" s="41" t="s">
        <v>82</v>
      </c>
      <c r="B1336" s="23"/>
      <c r="C1336" s="42">
        <v>0</v>
      </c>
      <c r="D1336" s="23">
        <f t="shared" si="483"/>
        <v>0</v>
      </c>
      <c r="E1336" s="20">
        <v>0</v>
      </c>
      <c r="F1336" s="23">
        <f t="shared" si="484"/>
        <v>0</v>
      </c>
      <c r="G1336" s="20">
        <v>0</v>
      </c>
    </row>
    <row r="1337" spans="1:7" ht="15.75" x14ac:dyDescent="0.25">
      <c r="A1337" s="41" t="s">
        <v>74</v>
      </c>
      <c r="B1337" s="23">
        <v>-46200</v>
      </c>
      <c r="C1337" s="42">
        <v>-274950</v>
      </c>
      <c r="D1337" s="23">
        <f t="shared" si="483"/>
        <v>-321150</v>
      </c>
      <c r="E1337" s="20">
        <v>-149662.5</v>
      </c>
      <c r="F1337" s="23">
        <f t="shared" si="484"/>
        <v>-171487.5</v>
      </c>
      <c r="G1337" s="23">
        <v>0</v>
      </c>
    </row>
    <row r="1338" spans="1:7" ht="15.75" x14ac:dyDescent="0.25">
      <c r="A1338" s="41" t="s">
        <v>128</v>
      </c>
      <c r="B1338" s="23">
        <v>-125840</v>
      </c>
      <c r="C1338" s="42">
        <v>142025</v>
      </c>
      <c r="D1338" s="23">
        <f t="shared" si="483"/>
        <v>16185</v>
      </c>
      <c r="E1338" s="20">
        <v>65325</v>
      </c>
      <c r="F1338" s="23">
        <f t="shared" si="484"/>
        <v>-49140</v>
      </c>
      <c r="G1338" s="23">
        <v>0</v>
      </c>
    </row>
    <row r="1339" spans="1:7" ht="15.75" x14ac:dyDescent="0.25">
      <c r="A1339" s="41" t="s">
        <v>15</v>
      </c>
      <c r="B1339" s="23">
        <v>-64750</v>
      </c>
      <c r="C1339" s="43">
        <v>98500</v>
      </c>
      <c r="D1339" s="23">
        <f t="shared" si="483"/>
        <v>33750</v>
      </c>
      <c r="E1339" s="20">
        <v>-269000</v>
      </c>
      <c r="F1339" s="23">
        <f t="shared" si="484"/>
        <v>302750</v>
      </c>
      <c r="G1339" s="23">
        <v>0</v>
      </c>
    </row>
    <row r="1340" spans="1:7" ht="15.75" x14ac:dyDescent="0.25">
      <c r="A1340" s="41" t="s">
        <v>75</v>
      </c>
      <c r="B1340" s="23">
        <v>-243400</v>
      </c>
      <c r="C1340" s="42">
        <v>335800</v>
      </c>
      <c r="D1340" s="23">
        <f t="shared" si="483"/>
        <v>92400</v>
      </c>
      <c r="E1340" s="20">
        <v>15099.999999999993</v>
      </c>
      <c r="F1340" s="23">
        <f t="shared" si="484"/>
        <v>77300</v>
      </c>
      <c r="G1340" s="23">
        <v>0</v>
      </c>
    </row>
    <row r="1341" spans="1:7" ht="15.75" x14ac:dyDescent="0.25">
      <c r="A1341" s="41" t="s">
        <v>62</v>
      </c>
      <c r="B1341" s="23">
        <v>-32100</v>
      </c>
      <c r="C1341" s="42">
        <v>75225</v>
      </c>
      <c r="D1341" s="23">
        <f t="shared" si="483"/>
        <v>43125</v>
      </c>
      <c r="E1341" s="20">
        <v>516847.5</v>
      </c>
      <c r="F1341" s="23">
        <f t="shared" si="484"/>
        <v>-473722.5</v>
      </c>
      <c r="G1341" s="23">
        <v>0</v>
      </c>
    </row>
    <row r="1342" spans="1:7" ht="15.75" x14ac:dyDescent="0.25">
      <c r="A1342" s="41" t="s">
        <v>61</v>
      </c>
      <c r="B1342" s="23">
        <v>99055</v>
      </c>
      <c r="C1342" s="42">
        <v>-384175</v>
      </c>
      <c r="D1342" s="23">
        <f t="shared" si="483"/>
        <v>-285120</v>
      </c>
      <c r="E1342" s="20">
        <v>29150</v>
      </c>
      <c r="F1342" s="23">
        <f t="shared" si="484"/>
        <v>-314270</v>
      </c>
      <c r="G1342" s="23">
        <v>0</v>
      </c>
    </row>
    <row r="1343" spans="1:7" ht="15.75" x14ac:dyDescent="0.25">
      <c r="A1343" s="41" t="s">
        <v>96</v>
      </c>
      <c r="B1343" s="23">
        <v>10500</v>
      </c>
      <c r="C1343" s="42">
        <v>-123462.5</v>
      </c>
      <c r="D1343" s="23">
        <f t="shared" si="483"/>
        <v>-112962.5</v>
      </c>
      <c r="E1343" s="20">
        <v>-462525</v>
      </c>
      <c r="F1343" s="23">
        <f t="shared" si="484"/>
        <v>349562.5</v>
      </c>
      <c r="G1343" s="23">
        <v>0</v>
      </c>
    </row>
    <row r="1344" spans="1:7" ht="15.75" x14ac:dyDescent="0.25">
      <c r="A1344" s="41" t="s">
        <v>131</v>
      </c>
      <c r="B1344" s="23">
        <f>-10750-355875</f>
        <v>-366625</v>
      </c>
      <c r="C1344" s="42">
        <v>-321875</v>
      </c>
      <c r="D1344" s="23">
        <f t="shared" si="483"/>
        <v>-688500</v>
      </c>
      <c r="E1344" s="20">
        <v>18750</v>
      </c>
      <c r="F1344" s="23">
        <f t="shared" si="484"/>
        <v>-707250</v>
      </c>
      <c r="G1344" s="23">
        <v>-189625</v>
      </c>
    </row>
    <row r="1345" spans="1:7" ht="15.75" x14ac:dyDescent="0.25">
      <c r="A1345" s="41" t="s">
        <v>89</v>
      </c>
      <c r="B1345" s="23">
        <v>-657720</v>
      </c>
      <c r="C1345" s="42">
        <v>-5075.0000000000036</v>
      </c>
      <c r="D1345" s="23">
        <f t="shared" si="483"/>
        <v>-662795</v>
      </c>
      <c r="E1345" s="20">
        <v>176465</v>
      </c>
      <c r="F1345" s="23">
        <f t="shared" si="484"/>
        <v>-839260</v>
      </c>
      <c r="G1345" s="23">
        <v>0</v>
      </c>
    </row>
    <row r="1346" spans="1:7" ht="15.75" x14ac:dyDescent="0.25">
      <c r="A1346" s="41" t="s">
        <v>42</v>
      </c>
      <c r="B1346" s="23">
        <v>-45220</v>
      </c>
      <c r="C1346" s="42">
        <v>184015</v>
      </c>
      <c r="D1346" s="23">
        <f t="shared" si="483"/>
        <v>138795</v>
      </c>
      <c r="E1346" s="20">
        <v>30400</v>
      </c>
      <c r="F1346" s="23">
        <f t="shared" si="484"/>
        <v>108395</v>
      </c>
      <c r="G1346" s="23">
        <v>-296305</v>
      </c>
    </row>
    <row r="1347" spans="1:7" ht="15.75" x14ac:dyDescent="0.25">
      <c r="A1347" s="21" t="s">
        <v>107</v>
      </c>
      <c r="B1347" s="22">
        <f t="shared" ref="B1347:G1347" si="485">SUM(B1331:B1346)</f>
        <v>-1765157</v>
      </c>
      <c r="C1347" s="18">
        <f t="shared" si="485"/>
        <v>81602.5</v>
      </c>
      <c r="D1347" s="23">
        <f t="shared" si="485"/>
        <v>-1683554.5</v>
      </c>
      <c r="E1347" s="18">
        <f t="shared" si="485"/>
        <v>109655</v>
      </c>
      <c r="F1347" s="23">
        <f t="shared" si="485"/>
        <v>-1793209.5</v>
      </c>
      <c r="G1347" s="17">
        <f t="shared" si="485"/>
        <v>-485930</v>
      </c>
    </row>
    <row r="1348" spans="1:7" ht="15.75" x14ac:dyDescent="0.25">
      <c r="A1348" s="45" t="s">
        <v>132</v>
      </c>
      <c r="B1348" s="31">
        <v>-6345</v>
      </c>
      <c r="D1348">
        <v>42290</v>
      </c>
      <c r="E1348" s="46">
        <v>0</v>
      </c>
    </row>
    <row r="1351" spans="1:7" x14ac:dyDescent="0.25">
      <c r="A1351" s="110">
        <v>45200</v>
      </c>
      <c r="B1351" s="112"/>
      <c r="C1351" s="112"/>
      <c r="D1351" s="112"/>
      <c r="E1351" s="112"/>
      <c r="F1351" s="112"/>
    </row>
    <row r="1352" spans="1:7" x14ac:dyDescent="0.25">
      <c r="A1352" s="112"/>
      <c r="B1352" s="112"/>
      <c r="C1352" s="112"/>
      <c r="D1352" s="112"/>
      <c r="E1352" s="112"/>
      <c r="F1352" s="112"/>
    </row>
    <row r="1353" spans="1:7" x14ac:dyDescent="0.25">
      <c r="A1353" s="112"/>
      <c r="B1353" s="112"/>
      <c r="C1353" s="112"/>
      <c r="D1353" s="112"/>
      <c r="E1353" s="112"/>
      <c r="F1353" s="112"/>
    </row>
    <row r="1354" spans="1:7" x14ac:dyDescent="0.25">
      <c r="A1354" s="112"/>
      <c r="B1354" s="112"/>
      <c r="C1354" s="112"/>
      <c r="D1354" s="112"/>
      <c r="E1354" s="112"/>
      <c r="F1354" s="112"/>
    </row>
    <row r="1355" spans="1:7" x14ac:dyDescent="0.25">
      <c r="A1355" s="112"/>
      <c r="B1355" s="112"/>
      <c r="C1355" s="112"/>
      <c r="D1355" s="112"/>
      <c r="E1355" s="112"/>
      <c r="F1355" s="112"/>
    </row>
    <row r="1356" spans="1:7" x14ac:dyDescent="0.25">
      <c r="A1356" s="112"/>
      <c r="B1356" s="112"/>
      <c r="C1356" s="112"/>
      <c r="D1356" s="112"/>
      <c r="E1356" s="112"/>
      <c r="F1356" s="112"/>
    </row>
    <row r="1362" spans="1:26" ht="15.75" x14ac:dyDescent="0.25">
      <c r="A1362" s="106">
        <v>45211</v>
      </c>
      <c r="B1362" s="106"/>
      <c r="C1362" s="106"/>
      <c r="D1362" s="106"/>
      <c r="E1362" s="106"/>
      <c r="F1362" s="106"/>
      <c r="G1362" s="106"/>
      <c r="J1362" s="106">
        <v>45212</v>
      </c>
      <c r="K1362" s="106"/>
      <c r="L1362" s="106"/>
      <c r="M1362" s="106"/>
      <c r="N1362" s="106"/>
      <c r="O1362" s="106"/>
      <c r="P1362" s="106"/>
      <c r="S1362" s="107">
        <v>45215</v>
      </c>
      <c r="T1362" s="108"/>
      <c r="U1362" s="108"/>
      <c r="V1362" s="108"/>
      <c r="W1362" s="108"/>
      <c r="X1362" s="108"/>
      <c r="Y1362" s="109"/>
    </row>
    <row r="1363" spans="1:26" ht="15.75" x14ac:dyDescent="0.25">
      <c r="A1363" s="22" t="s">
        <v>34</v>
      </c>
      <c r="B1363" s="22" t="s">
        <v>104</v>
      </c>
      <c r="C1363" s="22" t="s">
        <v>105</v>
      </c>
      <c r="D1363" s="22" t="s">
        <v>112</v>
      </c>
      <c r="E1363" s="22" t="s">
        <v>106</v>
      </c>
      <c r="F1363" s="21" t="s">
        <v>108</v>
      </c>
      <c r="G1363" s="21" t="s">
        <v>28</v>
      </c>
      <c r="J1363" s="22" t="s">
        <v>34</v>
      </c>
      <c r="K1363" s="22" t="s">
        <v>104</v>
      </c>
      <c r="L1363" s="22" t="s">
        <v>105</v>
      </c>
      <c r="M1363" s="22" t="s">
        <v>112</v>
      </c>
      <c r="N1363" s="22" t="s">
        <v>106</v>
      </c>
      <c r="O1363" s="21" t="s">
        <v>108</v>
      </c>
      <c r="P1363" s="21" t="s">
        <v>28</v>
      </c>
      <c r="S1363" s="22" t="s">
        <v>34</v>
      </c>
      <c r="T1363" s="22" t="s">
        <v>104</v>
      </c>
      <c r="U1363" s="22" t="s">
        <v>105</v>
      </c>
      <c r="V1363" s="22" t="s">
        <v>112</v>
      </c>
      <c r="W1363" s="22" t="s">
        <v>106</v>
      </c>
      <c r="X1363" s="21" t="s">
        <v>108</v>
      </c>
      <c r="Y1363" s="21" t="s">
        <v>28</v>
      </c>
    </row>
    <row r="1364" spans="1:26" ht="15.75" x14ac:dyDescent="0.25">
      <c r="A1364" s="41" t="s">
        <v>71</v>
      </c>
      <c r="B1364" s="23">
        <v>4590</v>
      </c>
      <c r="C1364" s="42"/>
      <c r="D1364" s="23">
        <f t="shared" ref="D1364:D1375" si="486">+C1364+B1364</f>
        <v>4590</v>
      </c>
      <c r="E1364" s="20"/>
      <c r="F1364" s="23">
        <f t="shared" ref="F1364:F1375" si="487">+B1364+C1364-E1364</f>
        <v>4590</v>
      </c>
      <c r="G1364" s="23">
        <v>-125120</v>
      </c>
      <c r="H1364">
        <v>17.850000000000001</v>
      </c>
      <c r="J1364" s="41" t="s">
        <v>71</v>
      </c>
      <c r="K1364" s="23">
        <v>-11050</v>
      </c>
      <c r="L1364" s="42">
        <v>13005</v>
      </c>
      <c r="M1364" s="23">
        <f t="shared" ref="M1364:M1377" si="488">+L1364+K1364</f>
        <v>1955</v>
      </c>
      <c r="N1364" s="20">
        <v>4675</v>
      </c>
      <c r="O1364" s="23">
        <f t="shared" ref="O1364:O1377" si="489">+K1364+L1364-N1364</f>
        <v>-2720</v>
      </c>
      <c r="P1364" s="23">
        <v>-463590</v>
      </c>
      <c r="Q1364">
        <v>16.200000000000003</v>
      </c>
      <c r="S1364" s="41" t="s">
        <v>71</v>
      </c>
      <c r="T1364" s="23">
        <v>-20145</v>
      </c>
      <c r="U1364" s="42">
        <v>82110</v>
      </c>
      <c r="V1364" s="23">
        <f t="shared" ref="V1364:V1375" si="490">+U1364+T1364</f>
        <v>61965</v>
      </c>
      <c r="W1364" s="20">
        <v>-9350</v>
      </c>
      <c r="X1364" s="23">
        <f t="shared" ref="X1364:X1375" si="491">+T1364+U1364-W1364</f>
        <v>71315</v>
      </c>
      <c r="Y1364" s="23">
        <v>-476425</v>
      </c>
      <c r="Z1364">
        <v>14.75</v>
      </c>
    </row>
    <row r="1365" spans="1:26" ht="15.75" x14ac:dyDescent="0.25">
      <c r="A1365" s="41" t="s">
        <v>83</v>
      </c>
      <c r="B1365" s="23">
        <v>3510</v>
      </c>
      <c r="C1365" s="42"/>
      <c r="D1365" s="23">
        <f t="shared" si="486"/>
        <v>3510</v>
      </c>
      <c r="E1365" s="20"/>
      <c r="F1365" s="23">
        <f t="shared" si="487"/>
        <v>3510</v>
      </c>
      <c r="G1365" s="23">
        <v>-173610</v>
      </c>
      <c r="H1365">
        <v>19.399999999999999</v>
      </c>
      <c r="J1365" s="41" t="s">
        <v>83</v>
      </c>
      <c r="K1365" s="23">
        <v>29160</v>
      </c>
      <c r="L1365" s="42">
        <v>9180</v>
      </c>
      <c r="M1365" s="23">
        <f t="shared" si="488"/>
        <v>38340</v>
      </c>
      <c r="N1365" s="20">
        <v>2969.9999999999995</v>
      </c>
      <c r="O1365" s="23">
        <f t="shared" si="489"/>
        <v>35370</v>
      </c>
      <c r="P1365" s="23">
        <v>-394465</v>
      </c>
      <c r="Q1365">
        <v>17.25</v>
      </c>
      <c r="S1365" s="41" t="s">
        <v>83</v>
      </c>
      <c r="T1365" s="23">
        <v>-35910</v>
      </c>
      <c r="U1365" s="42">
        <v>100710</v>
      </c>
      <c r="V1365" s="23">
        <f t="shared" si="490"/>
        <v>64800</v>
      </c>
      <c r="W1365" s="20">
        <v>5130</v>
      </c>
      <c r="X1365" s="23">
        <f t="shared" si="491"/>
        <v>59670</v>
      </c>
      <c r="Y1365" s="23">
        <v>-507870</v>
      </c>
      <c r="Z1365">
        <v>16.450000000000003</v>
      </c>
    </row>
    <row r="1366" spans="1:26" ht="15.75" x14ac:dyDescent="0.25">
      <c r="A1366" s="41" t="s">
        <v>54</v>
      </c>
      <c r="B1366" s="23">
        <v>-10300</v>
      </c>
      <c r="C1366" s="42"/>
      <c r="D1366" s="23">
        <f t="shared" si="486"/>
        <v>-10300</v>
      </c>
      <c r="E1366" s="20"/>
      <c r="F1366" s="23">
        <f t="shared" si="487"/>
        <v>-10300</v>
      </c>
      <c r="G1366" s="23">
        <v>-164200</v>
      </c>
      <c r="H1366">
        <v>33.200000000000003</v>
      </c>
      <c r="J1366" s="41" t="s">
        <v>54</v>
      </c>
      <c r="K1366" s="23">
        <v>19850</v>
      </c>
      <c r="L1366" s="42">
        <v>31300</v>
      </c>
      <c r="M1366" s="23">
        <f t="shared" si="488"/>
        <v>51150</v>
      </c>
      <c r="N1366" s="20">
        <v>1850.0000000000009</v>
      </c>
      <c r="O1366" s="23">
        <f t="shared" si="489"/>
        <v>49300</v>
      </c>
      <c r="P1366" s="23">
        <v>-453500</v>
      </c>
      <c r="Q1366">
        <v>29.35</v>
      </c>
      <c r="S1366" s="41" t="s">
        <v>54</v>
      </c>
      <c r="T1366" s="23">
        <v>-48150</v>
      </c>
      <c r="U1366" s="42">
        <v>122950</v>
      </c>
      <c r="V1366" s="23">
        <f t="shared" si="490"/>
        <v>74800</v>
      </c>
      <c r="W1366" s="20">
        <v>6500</v>
      </c>
      <c r="X1366" s="23">
        <f t="shared" si="491"/>
        <v>68300</v>
      </c>
      <c r="Y1366" s="23">
        <v>-708500</v>
      </c>
      <c r="Z1366">
        <v>27.799999999999997</v>
      </c>
    </row>
    <row r="1367" spans="1:26" ht="15.75" x14ac:dyDescent="0.25">
      <c r="A1367" s="41" t="s">
        <v>86</v>
      </c>
      <c r="B1367" s="23">
        <v>-585</v>
      </c>
      <c r="C1367" s="42"/>
      <c r="D1367" s="23">
        <f t="shared" si="486"/>
        <v>-585</v>
      </c>
      <c r="E1367" s="20"/>
      <c r="F1367" s="23">
        <f t="shared" si="487"/>
        <v>-585</v>
      </c>
      <c r="G1367" s="23">
        <v>-136630</v>
      </c>
      <c r="H1367">
        <v>32.450000000000003</v>
      </c>
      <c r="J1367" s="41" t="s">
        <v>86</v>
      </c>
      <c r="K1367" s="23">
        <v>-18005</v>
      </c>
      <c r="L1367" s="42">
        <v>15470</v>
      </c>
      <c r="M1367" s="23">
        <f t="shared" si="488"/>
        <v>-2535</v>
      </c>
      <c r="N1367" s="20">
        <v>-1819.9999999999998</v>
      </c>
      <c r="O1367" s="23">
        <f t="shared" si="489"/>
        <v>-715.00000000000023</v>
      </c>
      <c r="P1367" s="23">
        <v>-438100</v>
      </c>
      <c r="Q1367">
        <v>32.049999999999997</v>
      </c>
      <c r="S1367" s="41" t="s">
        <v>86</v>
      </c>
      <c r="T1367" s="23">
        <v>167050</v>
      </c>
      <c r="U1367" s="42">
        <v>-413270</v>
      </c>
      <c r="V1367" s="23">
        <f t="shared" si="490"/>
        <v>-246220</v>
      </c>
      <c r="W1367" s="20">
        <v>22490</v>
      </c>
      <c r="X1367" s="23">
        <f t="shared" si="491"/>
        <v>-268710</v>
      </c>
      <c r="Y1367" s="23">
        <v>-648050</v>
      </c>
      <c r="Z1367">
        <v>30.85</v>
      </c>
    </row>
    <row r="1368" spans="1:26" ht="15.75" x14ac:dyDescent="0.25">
      <c r="A1368" s="41" t="s">
        <v>40</v>
      </c>
      <c r="B1368" s="23">
        <v>-8662</v>
      </c>
      <c r="C1368" s="42"/>
      <c r="D1368" s="23">
        <f t="shared" si="486"/>
        <v>-8662</v>
      </c>
      <c r="E1368" s="20"/>
      <c r="F1368" s="23">
        <f t="shared" si="487"/>
        <v>-8662</v>
      </c>
      <c r="G1368" s="23">
        <v>-168300</v>
      </c>
      <c r="H1368">
        <v>21.1</v>
      </c>
      <c r="J1368" s="41" t="s">
        <v>40</v>
      </c>
      <c r="K1368" s="23">
        <v>36781</v>
      </c>
      <c r="L1368" s="42">
        <v>30937.5</v>
      </c>
      <c r="M1368" s="23">
        <f t="shared" si="488"/>
        <v>67718.5</v>
      </c>
      <c r="N1368" s="20">
        <v>4675</v>
      </c>
      <c r="O1368" s="23">
        <f t="shared" si="489"/>
        <v>63043.5</v>
      </c>
      <c r="P1368" s="20">
        <v>-482625</v>
      </c>
      <c r="Q1368">
        <v>19.399999999999999</v>
      </c>
      <c r="S1368" s="41" t="s">
        <v>40</v>
      </c>
      <c r="T1368" s="23">
        <v>52181</v>
      </c>
      <c r="U1368" s="42">
        <v>150</v>
      </c>
      <c r="V1368" s="23">
        <f t="shared" si="490"/>
        <v>52331</v>
      </c>
      <c r="W1368" s="20">
        <v>12512.5</v>
      </c>
      <c r="X1368" s="23">
        <f t="shared" si="491"/>
        <v>39818.5</v>
      </c>
      <c r="Y1368" s="20">
        <v>-589600</v>
      </c>
      <c r="Z1368">
        <v>17.05</v>
      </c>
    </row>
    <row r="1369" spans="1:26" ht="15.75" x14ac:dyDescent="0.25">
      <c r="A1369" s="41" t="s">
        <v>97</v>
      </c>
      <c r="B1369" s="23">
        <v>-1375</v>
      </c>
      <c r="C1369" s="42"/>
      <c r="D1369" s="23">
        <f t="shared" si="486"/>
        <v>-1375</v>
      </c>
      <c r="E1369" s="20"/>
      <c r="F1369" s="23">
        <f t="shared" si="487"/>
        <v>-1375</v>
      </c>
      <c r="G1369" s="20">
        <v>-129750</v>
      </c>
      <c r="H1369">
        <v>31.8</v>
      </c>
      <c r="J1369" s="41" t="s">
        <v>97</v>
      </c>
      <c r="K1369" s="23">
        <v>-6812</v>
      </c>
      <c r="L1369" s="42">
        <v>6000</v>
      </c>
      <c r="M1369" s="23">
        <f t="shared" si="488"/>
        <v>-812</v>
      </c>
      <c r="N1369" s="20">
        <v>-750</v>
      </c>
      <c r="O1369" s="23">
        <f t="shared" si="489"/>
        <v>-62</v>
      </c>
      <c r="P1369" s="23">
        <v>-480750</v>
      </c>
      <c r="Q1369">
        <v>29.599999999999998</v>
      </c>
      <c r="S1369" s="41" t="s">
        <v>97</v>
      </c>
      <c r="T1369" s="23">
        <v>-6062</v>
      </c>
      <c r="U1369" s="42">
        <v>59750</v>
      </c>
      <c r="V1369" s="23">
        <f t="shared" si="490"/>
        <v>53688</v>
      </c>
      <c r="W1369" s="20">
        <v>-1000</v>
      </c>
      <c r="X1369" s="23">
        <f t="shared" si="491"/>
        <v>54688</v>
      </c>
      <c r="Y1369" s="23">
        <v>-567500</v>
      </c>
      <c r="Z1369">
        <v>27.3</v>
      </c>
    </row>
    <row r="1370" spans="1:26" ht="15.75" x14ac:dyDescent="0.25">
      <c r="A1370" s="41" t="s">
        <v>15</v>
      </c>
      <c r="B1370" s="23">
        <v>-7187</v>
      </c>
      <c r="C1370" s="42"/>
      <c r="D1370" s="23">
        <f t="shared" si="486"/>
        <v>-7187</v>
      </c>
      <c r="E1370" s="20"/>
      <c r="F1370" s="23">
        <f t="shared" si="487"/>
        <v>-7187</v>
      </c>
      <c r="G1370" s="23">
        <v>-119500</v>
      </c>
      <c r="H1370">
        <v>27.5</v>
      </c>
      <c r="J1370" s="41" t="s">
        <v>15</v>
      </c>
      <c r="K1370" s="23">
        <v>-14500</v>
      </c>
      <c r="L1370" s="42">
        <v>6500</v>
      </c>
      <c r="M1370" s="23">
        <f t="shared" si="488"/>
        <v>-8000</v>
      </c>
      <c r="N1370" s="20">
        <v>-6750</v>
      </c>
      <c r="O1370" s="23">
        <f t="shared" si="489"/>
        <v>-1250</v>
      </c>
      <c r="P1370" s="23">
        <v>-431250</v>
      </c>
      <c r="Q1370">
        <v>25.299999999999997</v>
      </c>
      <c r="S1370" s="41" t="s">
        <v>15</v>
      </c>
      <c r="T1370" s="23">
        <v>7875</v>
      </c>
      <c r="U1370" s="42">
        <v>54125</v>
      </c>
      <c r="V1370" s="23">
        <f t="shared" si="490"/>
        <v>62000</v>
      </c>
      <c r="W1370" s="20">
        <v>-4750</v>
      </c>
      <c r="X1370" s="23">
        <f t="shared" si="491"/>
        <v>66750</v>
      </c>
      <c r="Y1370" s="23">
        <v>-519500</v>
      </c>
      <c r="Z1370">
        <v>23.200000000000003</v>
      </c>
    </row>
    <row r="1371" spans="1:26" ht="15.75" x14ac:dyDescent="0.25">
      <c r="A1371" s="41" t="s">
        <v>62</v>
      </c>
      <c r="B1371" s="23">
        <v>15315</v>
      </c>
      <c r="C1371" s="42"/>
      <c r="D1371" s="23">
        <f t="shared" si="486"/>
        <v>15315</v>
      </c>
      <c r="E1371" s="20"/>
      <c r="F1371" s="23">
        <f t="shared" si="487"/>
        <v>15315</v>
      </c>
      <c r="G1371" s="23">
        <v>-104100</v>
      </c>
      <c r="H1371">
        <v>209.5</v>
      </c>
      <c r="J1371" s="41" t="s">
        <v>62</v>
      </c>
      <c r="K1371" s="23">
        <v>9900</v>
      </c>
      <c r="L1371" s="43">
        <v>-13650</v>
      </c>
      <c r="M1371" s="23">
        <f t="shared" si="488"/>
        <v>-3750</v>
      </c>
      <c r="N1371" s="20">
        <v>7830</v>
      </c>
      <c r="O1371" s="23">
        <f t="shared" si="489"/>
        <v>-11580</v>
      </c>
      <c r="P1371" s="23">
        <v>-431220</v>
      </c>
      <c r="Q1371">
        <v>202.95</v>
      </c>
      <c r="S1371" s="41" t="s">
        <v>62</v>
      </c>
      <c r="T1371" s="23">
        <v>210</v>
      </c>
      <c r="U1371" s="43">
        <v>99420</v>
      </c>
      <c r="V1371" s="23">
        <f t="shared" si="490"/>
        <v>99630</v>
      </c>
      <c r="W1371" s="20">
        <v>-16275</v>
      </c>
      <c r="X1371" s="23">
        <f t="shared" si="491"/>
        <v>115905</v>
      </c>
      <c r="Y1371" s="23">
        <v>-426075</v>
      </c>
      <c r="Z1371">
        <v>180.05</v>
      </c>
    </row>
    <row r="1372" spans="1:26" ht="15.75" x14ac:dyDescent="0.25">
      <c r="A1372" s="41" t="s">
        <v>44</v>
      </c>
      <c r="B1372" s="23">
        <v>-7580</v>
      </c>
      <c r="C1372" s="43"/>
      <c r="D1372" s="23">
        <f t="shared" si="486"/>
        <v>-7580</v>
      </c>
      <c r="E1372" s="20"/>
      <c r="F1372" s="23">
        <f t="shared" si="487"/>
        <v>-7580</v>
      </c>
      <c r="G1372" s="23">
        <v>-147000</v>
      </c>
      <c r="H1372">
        <v>95.2</v>
      </c>
      <c r="J1372" s="41" t="s">
        <v>44</v>
      </c>
      <c r="K1372" s="23">
        <v>-10800</v>
      </c>
      <c r="L1372" s="42">
        <v>15480</v>
      </c>
      <c r="M1372" s="23">
        <f t="shared" si="488"/>
        <v>4680</v>
      </c>
      <c r="N1372" s="20">
        <v>-440</v>
      </c>
      <c r="O1372" s="23">
        <f t="shared" si="489"/>
        <v>5120</v>
      </c>
      <c r="P1372" s="23">
        <v>-62640</v>
      </c>
      <c r="Q1372">
        <v>89.4</v>
      </c>
      <c r="S1372" s="41" t="s">
        <v>44</v>
      </c>
      <c r="T1372" s="23">
        <v>400</v>
      </c>
      <c r="U1372" s="42">
        <v>5400</v>
      </c>
      <c r="V1372" s="23">
        <f t="shared" si="490"/>
        <v>5800</v>
      </c>
      <c r="W1372" s="20">
        <v>1360</v>
      </c>
      <c r="X1372" s="23">
        <f t="shared" si="491"/>
        <v>4440</v>
      </c>
      <c r="Y1372" s="23">
        <v>-75360</v>
      </c>
      <c r="Z1372">
        <v>87</v>
      </c>
    </row>
    <row r="1373" spans="1:26" ht="15.75" x14ac:dyDescent="0.25">
      <c r="A1373" s="41" t="s">
        <v>133</v>
      </c>
      <c r="B1373" s="23">
        <v>4160</v>
      </c>
      <c r="C1373" s="42"/>
      <c r="D1373" s="23">
        <f t="shared" si="486"/>
        <v>4160</v>
      </c>
      <c r="E1373" s="20"/>
      <c r="F1373" s="23">
        <f t="shared" si="487"/>
        <v>4160</v>
      </c>
      <c r="G1373" s="23">
        <v>-135400</v>
      </c>
      <c r="H1373">
        <v>68.849999999999994</v>
      </c>
      <c r="J1373" s="41" t="s">
        <v>133</v>
      </c>
      <c r="K1373" s="23">
        <v>6440</v>
      </c>
      <c r="L1373" s="42">
        <v>-9239.9999999999964</v>
      </c>
      <c r="M1373" s="23">
        <f t="shared" si="488"/>
        <v>-2799.9999999999964</v>
      </c>
      <c r="N1373" s="20">
        <v>5080</v>
      </c>
      <c r="O1373" s="23">
        <f t="shared" si="489"/>
        <v>-7879.9999999999964</v>
      </c>
      <c r="P1373" s="23">
        <v>0</v>
      </c>
      <c r="Q1373">
        <v>66.099999999999994</v>
      </c>
      <c r="S1373" s="41" t="s">
        <v>74</v>
      </c>
      <c r="T1373" s="23">
        <v>-2700</v>
      </c>
      <c r="U1373" s="42">
        <v>55050</v>
      </c>
      <c r="V1373" s="23">
        <f t="shared" si="490"/>
        <v>52350</v>
      </c>
      <c r="W1373" s="20">
        <v>-35400</v>
      </c>
      <c r="X1373" s="23">
        <f t="shared" si="491"/>
        <v>87750</v>
      </c>
      <c r="Y1373" s="23">
        <v>-539700</v>
      </c>
      <c r="Z1373">
        <v>42</v>
      </c>
    </row>
    <row r="1374" spans="1:26" ht="15.75" x14ac:dyDescent="0.25">
      <c r="A1374" s="41" t="s">
        <v>53</v>
      </c>
      <c r="B1374" s="23">
        <v>500</v>
      </c>
      <c r="C1374" s="42"/>
      <c r="D1374" s="23">
        <f t="shared" si="486"/>
        <v>500</v>
      </c>
      <c r="E1374" s="20"/>
      <c r="F1374" s="23">
        <f t="shared" si="487"/>
        <v>500</v>
      </c>
      <c r="G1374" s="23">
        <v>-111000</v>
      </c>
      <c r="H1374">
        <v>12.2</v>
      </c>
      <c r="J1374" s="41" t="s">
        <v>53</v>
      </c>
      <c r="K1374" s="23">
        <v>-900</v>
      </c>
      <c r="L1374" s="42">
        <v>8000</v>
      </c>
      <c r="M1374" s="23">
        <f t="shared" si="488"/>
        <v>7100</v>
      </c>
      <c r="N1374" s="20">
        <v>3000</v>
      </c>
      <c r="O1374" s="23">
        <f t="shared" si="489"/>
        <v>4100</v>
      </c>
      <c r="P1374" s="23">
        <v>0</v>
      </c>
      <c r="Q1374">
        <v>10.75</v>
      </c>
      <c r="S1374" s="41" t="s">
        <v>134</v>
      </c>
      <c r="T1374" s="23">
        <v>-25000</v>
      </c>
      <c r="U1374" s="42">
        <v>168500</v>
      </c>
      <c r="V1374" s="23">
        <f t="shared" si="490"/>
        <v>143500</v>
      </c>
      <c r="W1374" s="20">
        <v>-9750</v>
      </c>
      <c r="X1374" s="23">
        <f t="shared" si="491"/>
        <v>153250</v>
      </c>
      <c r="Y1374" s="23">
        <v>-513000</v>
      </c>
      <c r="Z1374">
        <v>5.65</v>
      </c>
    </row>
    <row r="1375" spans="1:26" ht="15.75" x14ac:dyDescent="0.25">
      <c r="A1375" s="41" t="s">
        <v>74</v>
      </c>
      <c r="B1375" s="23">
        <v>-2026</v>
      </c>
      <c r="C1375" s="42"/>
      <c r="D1375" s="23">
        <f t="shared" si="486"/>
        <v>-2026</v>
      </c>
      <c r="E1375" s="20"/>
      <c r="F1375" s="23">
        <f t="shared" si="487"/>
        <v>-2026</v>
      </c>
      <c r="G1375" s="23">
        <v>-133200</v>
      </c>
      <c r="H1375">
        <v>48.45</v>
      </c>
      <c r="J1375" s="41" t="s">
        <v>74</v>
      </c>
      <c r="K1375" s="23">
        <v>-11287</v>
      </c>
      <c r="L1375" s="42">
        <v>14099.999999999996</v>
      </c>
      <c r="M1375" s="23">
        <f t="shared" si="488"/>
        <v>2812.9999999999964</v>
      </c>
      <c r="N1375" s="20">
        <v>450</v>
      </c>
      <c r="O1375" s="23">
        <f t="shared" si="489"/>
        <v>2362.9999999999964</v>
      </c>
      <c r="P1375" s="23">
        <v>-439500</v>
      </c>
      <c r="Q1375">
        <v>43.75</v>
      </c>
      <c r="S1375" s="41" t="s">
        <v>128</v>
      </c>
      <c r="T1375" s="23">
        <v>3250</v>
      </c>
      <c r="U1375" s="42">
        <v>-49595</v>
      </c>
      <c r="V1375" s="23">
        <f t="shared" si="490"/>
        <v>-46345</v>
      </c>
      <c r="W1375" s="20">
        <v>-12870</v>
      </c>
      <c r="X1375" s="23">
        <f t="shared" si="491"/>
        <v>-33475</v>
      </c>
      <c r="Y1375" s="23">
        <v>-482300</v>
      </c>
      <c r="Z1375">
        <v>19.100000000000001</v>
      </c>
    </row>
    <row r="1376" spans="1:26" ht="15.75" x14ac:dyDescent="0.25">
      <c r="A1376" s="21" t="s">
        <v>107</v>
      </c>
      <c r="B1376" s="22">
        <f t="shared" ref="B1376:G1376" si="492">SUM(B1364:B1375)</f>
        <v>-9640</v>
      </c>
      <c r="C1376" s="18">
        <f t="shared" si="492"/>
        <v>0</v>
      </c>
      <c r="D1376" s="23">
        <f t="shared" si="492"/>
        <v>-9640</v>
      </c>
      <c r="E1376" s="18">
        <f t="shared" si="492"/>
        <v>0</v>
      </c>
      <c r="F1376" s="23">
        <f t="shared" si="492"/>
        <v>-9640</v>
      </c>
      <c r="G1376" s="17">
        <f t="shared" si="492"/>
        <v>-1647810</v>
      </c>
      <c r="J1376" s="41" t="s">
        <v>134</v>
      </c>
      <c r="K1376" s="23">
        <v>-86250</v>
      </c>
      <c r="L1376" s="42">
        <v>0</v>
      </c>
      <c r="M1376" s="23">
        <f t="shared" si="488"/>
        <v>-86250</v>
      </c>
      <c r="N1376" s="20"/>
      <c r="O1376" s="23">
        <f t="shared" si="489"/>
        <v>-86250</v>
      </c>
      <c r="P1376" s="23">
        <v>-481250</v>
      </c>
      <c r="Q1376">
        <v>7.1999999999999993</v>
      </c>
      <c r="S1376" s="21" t="s">
        <v>107</v>
      </c>
      <c r="T1376" s="22">
        <f t="shared" ref="T1376:Y1376" si="493">SUM(T1364:T1375)</f>
        <v>92999</v>
      </c>
      <c r="U1376" s="18">
        <f t="shared" si="493"/>
        <v>285300</v>
      </c>
      <c r="V1376" s="23">
        <f t="shared" si="493"/>
        <v>378299</v>
      </c>
      <c r="W1376" s="18">
        <f t="shared" si="493"/>
        <v>-41402.5</v>
      </c>
      <c r="X1376" s="23">
        <f t="shared" si="493"/>
        <v>419701.5</v>
      </c>
      <c r="Y1376" s="17">
        <f t="shared" si="493"/>
        <v>-6053880</v>
      </c>
    </row>
    <row r="1377" spans="1:26" ht="15.75" x14ac:dyDescent="0.25">
      <c r="J1377" s="41" t="s">
        <v>128</v>
      </c>
      <c r="K1377" s="23">
        <v>2860</v>
      </c>
      <c r="L1377" s="42">
        <v>0</v>
      </c>
      <c r="M1377" s="23">
        <f t="shared" si="488"/>
        <v>2860</v>
      </c>
      <c r="N1377" s="20"/>
      <c r="O1377" s="23">
        <f t="shared" si="489"/>
        <v>2860</v>
      </c>
      <c r="P1377" s="23">
        <v>-431925</v>
      </c>
      <c r="Q1377">
        <v>20.65</v>
      </c>
    </row>
    <row r="1378" spans="1:26" ht="15.75" x14ac:dyDescent="0.25">
      <c r="J1378" s="21" t="s">
        <v>107</v>
      </c>
      <c r="K1378" s="22">
        <f t="shared" ref="K1378:P1378" si="494">SUM(K1364:K1377)</f>
        <v>-54613</v>
      </c>
      <c r="L1378" s="18">
        <f t="shared" si="494"/>
        <v>127082.5</v>
      </c>
      <c r="M1378" s="23">
        <f t="shared" si="494"/>
        <v>72469.5</v>
      </c>
      <c r="N1378" s="18">
        <f t="shared" si="494"/>
        <v>20770</v>
      </c>
      <c r="O1378" s="23">
        <f t="shared" si="494"/>
        <v>51699.5</v>
      </c>
      <c r="P1378" s="17">
        <f t="shared" si="494"/>
        <v>-4990815</v>
      </c>
    </row>
    <row r="1382" spans="1:26" ht="15.75" x14ac:dyDescent="0.25">
      <c r="A1382" s="107">
        <v>45216</v>
      </c>
      <c r="B1382" s="108"/>
      <c r="C1382" s="108"/>
      <c r="D1382" s="108"/>
      <c r="E1382" s="108"/>
      <c r="F1382" s="108"/>
      <c r="G1382" s="109"/>
      <c r="J1382" s="107">
        <v>45217</v>
      </c>
      <c r="K1382" s="108"/>
      <c r="L1382" s="108"/>
      <c r="M1382" s="108"/>
      <c r="N1382" s="108"/>
      <c r="O1382" s="108"/>
      <c r="P1382" s="109"/>
      <c r="S1382" s="107">
        <v>45218</v>
      </c>
      <c r="T1382" s="108"/>
      <c r="U1382" s="108"/>
      <c r="V1382" s="108"/>
      <c r="W1382" s="108"/>
      <c r="X1382" s="108"/>
      <c r="Y1382" s="109"/>
    </row>
    <row r="1383" spans="1:26" ht="15.75" x14ac:dyDescent="0.25">
      <c r="A1383" s="22" t="s">
        <v>34</v>
      </c>
      <c r="B1383" s="22" t="s">
        <v>104</v>
      </c>
      <c r="C1383" s="22" t="s">
        <v>105</v>
      </c>
      <c r="D1383" s="22" t="s">
        <v>112</v>
      </c>
      <c r="E1383" s="22" t="s">
        <v>106</v>
      </c>
      <c r="F1383" s="21" t="s">
        <v>108</v>
      </c>
      <c r="G1383" s="21" t="s">
        <v>28</v>
      </c>
      <c r="J1383" s="22" t="s">
        <v>34</v>
      </c>
      <c r="K1383" s="22" t="s">
        <v>104</v>
      </c>
      <c r="L1383" s="22" t="s">
        <v>105</v>
      </c>
      <c r="M1383" s="22" t="s">
        <v>112</v>
      </c>
      <c r="N1383" s="22" t="s">
        <v>106</v>
      </c>
      <c r="O1383" s="21" t="s">
        <v>108</v>
      </c>
      <c r="P1383" s="21" t="s">
        <v>28</v>
      </c>
      <c r="S1383" s="22" t="s">
        <v>34</v>
      </c>
      <c r="T1383" s="22" t="s">
        <v>104</v>
      </c>
      <c r="U1383" s="22" t="s">
        <v>105</v>
      </c>
      <c r="V1383" s="22" t="s">
        <v>112</v>
      </c>
      <c r="W1383" s="22" t="s">
        <v>106</v>
      </c>
      <c r="X1383" s="21" t="s">
        <v>108</v>
      </c>
      <c r="Y1383" s="21" t="s">
        <v>28</v>
      </c>
    </row>
    <row r="1384" spans="1:26" ht="15.75" x14ac:dyDescent="0.25">
      <c r="A1384" s="41" t="s">
        <v>71</v>
      </c>
      <c r="B1384" s="23">
        <v>-104465</v>
      </c>
      <c r="C1384" s="42">
        <v>-11305</v>
      </c>
      <c r="D1384" s="23">
        <f t="shared" ref="D1384:D1395" si="495">+C1384+B1384</f>
        <v>-115770</v>
      </c>
      <c r="E1384" s="20">
        <v>-8755</v>
      </c>
      <c r="F1384" s="23">
        <f t="shared" ref="F1384:F1395" si="496">+B1384+C1384-E1384</f>
        <v>-107015</v>
      </c>
      <c r="G1384" s="23">
        <v>-740350</v>
      </c>
      <c r="H1384">
        <v>13.600000000000001</v>
      </c>
      <c r="J1384" s="41" t="s">
        <v>71</v>
      </c>
      <c r="K1384" s="23">
        <v>42840</v>
      </c>
      <c r="L1384" s="42">
        <v>-73525.000000000058</v>
      </c>
      <c r="M1384" s="23">
        <f t="shared" ref="M1384:M1394" si="497">+L1384+K1384</f>
        <v>-30685.000000000058</v>
      </c>
      <c r="N1384" s="20">
        <v>-12240</v>
      </c>
      <c r="O1384" s="23">
        <f t="shared" ref="O1384:O1394" si="498">+K1384+L1384-N1384</f>
        <v>-18445.000000000058</v>
      </c>
      <c r="P1384" s="23">
        <v>-572050</v>
      </c>
      <c r="Q1384">
        <v>12.25</v>
      </c>
      <c r="S1384" s="41" t="s">
        <v>71</v>
      </c>
      <c r="T1384" s="23">
        <v>-76245</v>
      </c>
      <c r="U1384" s="42">
        <v>135745</v>
      </c>
      <c r="V1384" s="23">
        <f t="shared" ref="V1384:V1396" si="499">+U1384+T1384</f>
        <v>59500</v>
      </c>
      <c r="W1384" s="20">
        <v>-47175</v>
      </c>
      <c r="X1384" s="23">
        <f t="shared" ref="X1384:X1397" si="500">+T1384+U1384-W1384</f>
        <v>106675</v>
      </c>
      <c r="Y1384" s="23">
        <v>-690795</v>
      </c>
      <c r="Z1384">
        <v>9.75</v>
      </c>
    </row>
    <row r="1385" spans="1:26" ht="15.75" x14ac:dyDescent="0.25">
      <c r="A1385" s="41" t="s">
        <v>83</v>
      </c>
      <c r="B1385" s="23">
        <v>1620</v>
      </c>
      <c r="C1385" s="42">
        <v>63720</v>
      </c>
      <c r="D1385" s="23">
        <f t="shared" si="495"/>
        <v>65340</v>
      </c>
      <c r="E1385" s="20">
        <v>8100</v>
      </c>
      <c r="F1385" s="23">
        <f t="shared" si="496"/>
        <v>57240</v>
      </c>
      <c r="G1385" s="23">
        <v>-753975</v>
      </c>
      <c r="H1385">
        <v>15.350000000000001</v>
      </c>
      <c r="J1385" s="41" t="s">
        <v>83</v>
      </c>
      <c r="K1385" s="23">
        <v>2025</v>
      </c>
      <c r="L1385" s="42">
        <v>57105</v>
      </c>
      <c r="M1385" s="23">
        <f t="shared" si="497"/>
        <v>59130</v>
      </c>
      <c r="N1385" s="20">
        <v>-27270</v>
      </c>
      <c r="O1385" s="23">
        <f t="shared" si="498"/>
        <v>86400</v>
      </c>
      <c r="P1385" s="23">
        <v>-647055</v>
      </c>
      <c r="Q1385">
        <v>13.6</v>
      </c>
      <c r="S1385" s="41" t="s">
        <v>83</v>
      </c>
      <c r="T1385" s="23">
        <v>-9450</v>
      </c>
      <c r="U1385" s="42">
        <v>180495</v>
      </c>
      <c r="V1385" s="23">
        <f t="shared" si="499"/>
        <v>171045</v>
      </c>
      <c r="W1385" s="20">
        <v>11340</v>
      </c>
      <c r="X1385" s="23">
        <f t="shared" si="500"/>
        <v>159705</v>
      </c>
      <c r="Y1385" s="23">
        <v>-747495</v>
      </c>
      <c r="Z1385">
        <v>11.45</v>
      </c>
    </row>
    <row r="1386" spans="1:26" ht="15.75" x14ac:dyDescent="0.25">
      <c r="A1386" s="41" t="s">
        <v>54</v>
      </c>
      <c r="B1386" s="23">
        <v>-11100</v>
      </c>
      <c r="C1386" s="42">
        <v>152000</v>
      </c>
      <c r="D1386" s="23">
        <f t="shared" si="495"/>
        <v>140900</v>
      </c>
      <c r="E1386" s="20">
        <v>-20500</v>
      </c>
      <c r="F1386" s="23">
        <f t="shared" si="496"/>
        <v>161400</v>
      </c>
      <c r="G1386" s="23">
        <v>-769000</v>
      </c>
      <c r="H1386">
        <v>24.1</v>
      </c>
      <c r="J1386" s="41" t="s">
        <v>54</v>
      </c>
      <c r="K1386" s="23">
        <v>-34450</v>
      </c>
      <c r="L1386" s="42">
        <v>86500</v>
      </c>
      <c r="M1386" s="23">
        <f t="shared" si="497"/>
        <v>52050</v>
      </c>
      <c r="N1386" s="20">
        <v>18750</v>
      </c>
      <c r="O1386" s="23">
        <f t="shared" si="498"/>
        <v>33300</v>
      </c>
      <c r="P1386" s="23">
        <v>-588000</v>
      </c>
      <c r="Q1386">
        <v>22.55</v>
      </c>
      <c r="S1386" s="41" t="s">
        <v>54</v>
      </c>
      <c r="T1386" s="23">
        <v>1200</v>
      </c>
      <c r="U1386" s="42">
        <v>-21250</v>
      </c>
      <c r="V1386" s="23">
        <f t="shared" si="499"/>
        <v>-20050</v>
      </c>
      <c r="W1386" s="20">
        <v>-48000</v>
      </c>
      <c r="X1386" s="23">
        <f t="shared" si="500"/>
        <v>27950</v>
      </c>
      <c r="Y1386" s="23">
        <v>-726400</v>
      </c>
      <c r="Z1386">
        <v>16.75</v>
      </c>
    </row>
    <row r="1387" spans="1:26" ht="15.75" x14ac:dyDescent="0.25">
      <c r="A1387" s="41" t="s">
        <v>86</v>
      </c>
      <c r="B1387" s="23">
        <v>41288</v>
      </c>
      <c r="C1387" s="42">
        <v>-54470</v>
      </c>
      <c r="D1387" s="23">
        <f t="shared" si="495"/>
        <v>-13182</v>
      </c>
      <c r="E1387" s="20">
        <v>-22685</v>
      </c>
      <c r="F1387" s="23">
        <f t="shared" si="496"/>
        <v>9503</v>
      </c>
      <c r="G1387" s="23">
        <v>-85150</v>
      </c>
      <c r="H1387">
        <v>17.600000000000001</v>
      </c>
      <c r="J1387" s="41" t="s">
        <v>86</v>
      </c>
      <c r="K1387" s="23">
        <v>-57304</v>
      </c>
      <c r="L1387" s="42">
        <v>203645</v>
      </c>
      <c r="M1387" s="23">
        <f t="shared" si="497"/>
        <v>146341</v>
      </c>
      <c r="N1387" s="20">
        <v>-46475</v>
      </c>
      <c r="O1387" s="23">
        <f t="shared" si="498"/>
        <v>192816</v>
      </c>
      <c r="P1387" s="23">
        <v>-111800</v>
      </c>
      <c r="Q1387">
        <v>25</v>
      </c>
      <c r="S1387" s="41" t="s">
        <v>86</v>
      </c>
      <c r="T1387" s="23">
        <v>260</v>
      </c>
      <c r="U1387" s="42">
        <v>13650</v>
      </c>
      <c r="V1387" s="23">
        <f t="shared" si="499"/>
        <v>13910</v>
      </c>
      <c r="W1387" s="20">
        <v>-1170</v>
      </c>
      <c r="X1387" s="23">
        <f t="shared" si="500"/>
        <v>15080</v>
      </c>
      <c r="Y1387" s="23">
        <v>-63050</v>
      </c>
      <c r="Z1387">
        <v>24</v>
      </c>
    </row>
    <row r="1388" spans="1:26" ht="15.75" x14ac:dyDescent="0.25">
      <c r="A1388" s="41" t="s">
        <v>40</v>
      </c>
      <c r="B1388" s="23">
        <v>-5087</v>
      </c>
      <c r="C1388" s="42">
        <v>151937.5</v>
      </c>
      <c r="D1388" s="23">
        <f t="shared" si="495"/>
        <v>146850.5</v>
      </c>
      <c r="E1388" s="20">
        <v>24475</v>
      </c>
      <c r="F1388" s="23">
        <f t="shared" si="496"/>
        <v>122375.5</v>
      </c>
      <c r="G1388" s="20">
        <v>-604793.75</v>
      </c>
      <c r="H1388">
        <v>15.95</v>
      </c>
      <c r="J1388" s="41" t="s">
        <v>40</v>
      </c>
      <c r="K1388" s="23">
        <v>40081</v>
      </c>
      <c r="L1388" s="42">
        <v>-12237.499999999996</v>
      </c>
      <c r="M1388" s="23">
        <f t="shared" si="497"/>
        <v>27843.500000000004</v>
      </c>
      <c r="N1388" s="20">
        <v>6393.7500000000018</v>
      </c>
      <c r="O1388" s="23">
        <f t="shared" si="498"/>
        <v>21449.75</v>
      </c>
      <c r="P1388" s="20">
        <v>-445775</v>
      </c>
      <c r="Q1388">
        <v>13.55</v>
      </c>
      <c r="S1388" s="41" t="s">
        <v>40</v>
      </c>
      <c r="T1388" s="23">
        <v>210031</v>
      </c>
      <c r="U1388" s="42">
        <v>-580937.5</v>
      </c>
      <c r="V1388" s="23">
        <f t="shared" si="499"/>
        <v>-370906.5</v>
      </c>
      <c r="W1388" s="20">
        <v>-36024.999999999993</v>
      </c>
      <c r="X1388" s="23">
        <f t="shared" si="500"/>
        <v>-334881.5</v>
      </c>
      <c r="Y1388" s="20">
        <v>-669625</v>
      </c>
      <c r="Z1388">
        <v>13.850000000000001</v>
      </c>
    </row>
    <row r="1389" spans="1:26" ht="15.75" x14ac:dyDescent="0.25">
      <c r="A1389" s="41" t="s">
        <v>97</v>
      </c>
      <c r="B1389" s="23">
        <v>-30125</v>
      </c>
      <c r="C1389" s="42">
        <v>59000</v>
      </c>
      <c r="D1389" s="23">
        <f t="shared" si="495"/>
        <v>28875</v>
      </c>
      <c r="E1389" s="20">
        <v>4250</v>
      </c>
      <c r="F1389" s="23">
        <f t="shared" si="496"/>
        <v>24625</v>
      </c>
      <c r="G1389" s="23">
        <v>-668000</v>
      </c>
      <c r="H1389">
        <v>25.25</v>
      </c>
      <c r="J1389" s="41" t="s">
        <v>97</v>
      </c>
      <c r="K1389" s="23">
        <v>25312</v>
      </c>
      <c r="L1389" s="42">
        <v>-56750</v>
      </c>
      <c r="M1389" s="23">
        <f t="shared" si="497"/>
        <v>-31438</v>
      </c>
      <c r="N1389" s="20">
        <v>-8375</v>
      </c>
      <c r="O1389" s="23">
        <f t="shared" si="498"/>
        <v>-23063</v>
      </c>
      <c r="P1389" s="23">
        <v>-782500</v>
      </c>
      <c r="Q1389">
        <v>23.9</v>
      </c>
      <c r="S1389" s="41" t="s">
        <v>97</v>
      </c>
      <c r="T1389" s="23">
        <v>-100875</v>
      </c>
      <c r="U1389" s="42">
        <v>45750</v>
      </c>
      <c r="V1389" s="23">
        <f t="shared" si="499"/>
        <v>-55125</v>
      </c>
      <c r="W1389" s="20">
        <v>-5500</v>
      </c>
      <c r="X1389" s="23">
        <f t="shared" si="500"/>
        <v>-49625</v>
      </c>
      <c r="Y1389" s="23">
        <v>-775625</v>
      </c>
      <c r="Z1389">
        <v>17.350000000000001</v>
      </c>
    </row>
    <row r="1390" spans="1:26" ht="15.75" x14ac:dyDescent="0.25">
      <c r="A1390" s="41" t="s">
        <v>15</v>
      </c>
      <c r="B1390" s="23">
        <v>1000</v>
      </c>
      <c r="C1390" s="42">
        <v>102250</v>
      </c>
      <c r="D1390" s="23">
        <f t="shared" si="495"/>
        <v>103250</v>
      </c>
      <c r="E1390" s="20">
        <v>10187.5</v>
      </c>
      <c r="F1390" s="23">
        <f t="shared" si="496"/>
        <v>93062.5</v>
      </c>
      <c r="G1390" s="23">
        <v>-605500</v>
      </c>
      <c r="H1390">
        <v>21.65</v>
      </c>
      <c r="J1390" s="41" t="s">
        <v>15</v>
      </c>
      <c r="K1390" s="23">
        <v>40312</v>
      </c>
      <c r="L1390" s="42">
        <v>-30437.5</v>
      </c>
      <c r="M1390" s="23">
        <f t="shared" si="497"/>
        <v>9874.5</v>
      </c>
      <c r="N1390" s="20">
        <v>937.5</v>
      </c>
      <c r="O1390" s="23">
        <f t="shared" si="498"/>
        <v>8937</v>
      </c>
      <c r="P1390" s="23">
        <v>-492000</v>
      </c>
      <c r="Q1390">
        <v>18.95</v>
      </c>
      <c r="S1390" s="41" t="s">
        <v>15</v>
      </c>
      <c r="T1390" s="23">
        <v>-135187</v>
      </c>
      <c r="U1390" s="42">
        <v>135875</v>
      </c>
      <c r="V1390" s="23">
        <f t="shared" si="499"/>
        <v>688</v>
      </c>
      <c r="W1390" s="20">
        <v>-25750</v>
      </c>
      <c r="X1390" s="23">
        <f t="shared" si="500"/>
        <v>26438</v>
      </c>
      <c r="Y1390" s="23">
        <v>-804000</v>
      </c>
      <c r="Z1390">
        <v>17.75</v>
      </c>
    </row>
    <row r="1391" spans="1:26" ht="15.75" x14ac:dyDescent="0.25">
      <c r="A1391" s="41" t="s">
        <v>62</v>
      </c>
      <c r="B1391" s="23">
        <v>-4657</v>
      </c>
      <c r="C1391" s="43">
        <v>92182.5</v>
      </c>
      <c r="D1391" s="23">
        <f t="shared" si="495"/>
        <v>87525.5</v>
      </c>
      <c r="E1391" s="20">
        <v>20947.5</v>
      </c>
      <c r="F1391" s="23">
        <f t="shared" si="496"/>
        <v>66578</v>
      </c>
      <c r="G1391" s="23">
        <v>-576900</v>
      </c>
      <c r="H1391">
        <v>170.4</v>
      </c>
      <c r="J1391" s="41" t="s">
        <v>62</v>
      </c>
      <c r="K1391" s="23">
        <v>-38602</v>
      </c>
      <c r="L1391" s="43">
        <v>144645</v>
      </c>
      <c r="M1391" s="23">
        <f t="shared" si="497"/>
        <v>106043</v>
      </c>
      <c r="N1391" s="20">
        <v>6060</v>
      </c>
      <c r="O1391" s="23">
        <f t="shared" si="498"/>
        <v>99983</v>
      </c>
      <c r="P1391" s="23">
        <v>-561675</v>
      </c>
      <c r="Q1391">
        <v>143.5</v>
      </c>
      <c r="S1391" s="41" t="s">
        <v>62</v>
      </c>
      <c r="T1391" s="23">
        <v>77685</v>
      </c>
      <c r="U1391" s="42">
        <v>158940</v>
      </c>
      <c r="V1391" s="23">
        <f t="shared" si="499"/>
        <v>236625</v>
      </c>
      <c r="W1391" s="20">
        <v>56355</v>
      </c>
      <c r="X1391" s="23">
        <f t="shared" si="500"/>
        <v>180270</v>
      </c>
      <c r="Y1391" s="23">
        <v>-275100</v>
      </c>
      <c r="Z1391">
        <v>101.25</v>
      </c>
    </row>
    <row r="1392" spans="1:26" ht="15.75" x14ac:dyDescent="0.25">
      <c r="A1392" s="41" t="s">
        <v>44</v>
      </c>
      <c r="B1392" s="23">
        <v>-5360</v>
      </c>
      <c r="C1392" s="42">
        <v>17760</v>
      </c>
      <c r="D1392" s="23">
        <f t="shared" si="495"/>
        <v>12400</v>
      </c>
      <c r="E1392" s="20">
        <v>2080</v>
      </c>
      <c r="F1392" s="23">
        <f t="shared" si="496"/>
        <v>10320</v>
      </c>
      <c r="G1392" s="23">
        <v>0</v>
      </c>
      <c r="H1392">
        <v>73.349999999999994</v>
      </c>
      <c r="J1392" s="41" t="s">
        <v>74</v>
      </c>
      <c r="K1392" s="23">
        <v>85837</v>
      </c>
      <c r="L1392" s="42">
        <v>-227175</v>
      </c>
      <c r="M1392" s="23">
        <f t="shared" si="497"/>
        <v>-141338</v>
      </c>
      <c r="N1392" s="20">
        <v>-36225</v>
      </c>
      <c r="O1392" s="23">
        <f t="shared" si="498"/>
        <v>-105113</v>
      </c>
      <c r="P1392" s="23">
        <v>-517800</v>
      </c>
      <c r="Q1392">
        <v>37.849999999999994</v>
      </c>
      <c r="S1392" s="41" t="s">
        <v>74</v>
      </c>
      <c r="T1392" s="23">
        <v>-35250</v>
      </c>
      <c r="U1392" s="42">
        <v>176475</v>
      </c>
      <c r="V1392" s="23">
        <f t="shared" si="499"/>
        <v>141225</v>
      </c>
      <c r="W1392" s="20">
        <v>-15450</v>
      </c>
      <c r="X1392" s="23">
        <f t="shared" si="500"/>
        <v>156675</v>
      </c>
      <c r="Y1392" s="23">
        <v>-865050</v>
      </c>
      <c r="Z1392">
        <v>25.450000000000003</v>
      </c>
    </row>
    <row r="1393" spans="1:26" ht="15.75" x14ac:dyDescent="0.25">
      <c r="A1393" s="41" t="s">
        <v>74</v>
      </c>
      <c r="B1393" s="23">
        <v>-52312</v>
      </c>
      <c r="C1393" s="42">
        <v>-71137.5</v>
      </c>
      <c r="D1393" s="23">
        <f t="shared" si="495"/>
        <v>-123449.5</v>
      </c>
      <c r="E1393" s="20">
        <v>-22987.5</v>
      </c>
      <c r="F1393" s="23">
        <f t="shared" si="496"/>
        <v>-100462</v>
      </c>
      <c r="G1393" s="23">
        <v>-534150</v>
      </c>
      <c r="H1393">
        <v>39.6</v>
      </c>
      <c r="J1393" s="41" t="s">
        <v>134</v>
      </c>
      <c r="K1393" s="23">
        <v>-1750</v>
      </c>
      <c r="L1393" s="42">
        <v>28500</v>
      </c>
      <c r="M1393" s="23">
        <f t="shared" si="497"/>
        <v>26750</v>
      </c>
      <c r="N1393" s="20">
        <v>-1500</v>
      </c>
      <c r="O1393" s="23">
        <f t="shared" si="498"/>
        <v>28250</v>
      </c>
      <c r="P1393" s="23">
        <v>-475000</v>
      </c>
      <c r="Q1393">
        <v>4.2</v>
      </c>
      <c r="S1393" s="41" t="s">
        <v>134</v>
      </c>
      <c r="T1393" s="23">
        <v>-20500</v>
      </c>
      <c r="U1393" s="43">
        <v>121000</v>
      </c>
      <c r="V1393" s="23">
        <f t="shared" si="499"/>
        <v>100500</v>
      </c>
      <c r="W1393" s="20">
        <v>3000</v>
      </c>
      <c r="X1393" s="23">
        <f t="shared" si="500"/>
        <v>97500</v>
      </c>
      <c r="Y1393" s="23">
        <v>-848000</v>
      </c>
      <c r="Z1393">
        <v>3.45</v>
      </c>
    </row>
    <row r="1394" spans="1:26" ht="15.75" x14ac:dyDescent="0.25">
      <c r="A1394" s="41" t="s">
        <v>134</v>
      </c>
      <c r="B1394" s="23">
        <v>-19250</v>
      </c>
      <c r="C1394" s="42">
        <v>131250</v>
      </c>
      <c r="D1394" s="23">
        <f t="shared" si="495"/>
        <v>112000</v>
      </c>
      <c r="E1394" s="20">
        <v>4000</v>
      </c>
      <c r="F1394" s="23">
        <f t="shared" si="496"/>
        <v>108000</v>
      </c>
      <c r="G1394" s="23">
        <v>-582500</v>
      </c>
      <c r="H1394">
        <v>4.8499999999999996</v>
      </c>
      <c r="J1394" s="41" t="s">
        <v>128</v>
      </c>
      <c r="K1394" s="23">
        <v>6305</v>
      </c>
      <c r="L1394" s="42">
        <v>-72475</v>
      </c>
      <c r="M1394" s="23">
        <f t="shared" si="497"/>
        <v>-66170</v>
      </c>
      <c r="N1394" s="20">
        <v>-25674.999999999996</v>
      </c>
      <c r="O1394" s="23">
        <f t="shared" si="498"/>
        <v>-40495</v>
      </c>
      <c r="P1394" s="23">
        <v>-604110</v>
      </c>
      <c r="Q1394">
        <v>15.45</v>
      </c>
      <c r="S1394" s="41" t="s">
        <v>128</v>
      </c>
      <c r="T1394" s="23">
        <v>-93080</v>
      </c>
      <c r="U1394" s="42">
        <v>2470</v>
      </c>
      <c r="V1394" s="23">
        <f t="shared" si="499"/>
        <v>-90610</v>
      </c>
      <c r="W1394" s="20">
        <v>-17875</v>
      </c>
      <c r="X1394" s="23">
        <f t="shared" si="500"/>
        <v>-72735</v>
      </c>
      <c r="Y1394" s="23">
        <v>-643500</v>
      </c>
      <c r="Z1394">
        <v>13.1</v>
      </c>
    </row>
    <row r="1395" spans="1:26" ht="15.75" x14ac:dyDescent="0.25">
      <c r="A1395" s="41" t="s">
        <v>128</v>
      </c>
      <c r="B1395" s="23">
        <v>-260</v>
      </c>
      <c r="C1395" s="42">
        <v>73060</v>
      </c>
      <c r="D1395" s="23">
        <f t="shared" si="495"/>
        <v>72800</v>
      </c>
      <c r="E1395" s="20">
        <v>13910</v>
      </c>
      <c r="F1395" s="23">
        <f t="shared" si="496"/>
        <v>58890</v>
      </c>
      <c r="G1395" s="23">
        <v>-707850</v>
      </c>
      <c r="H1395">
        <v>17.549999999999997</v>
      </c>
      <c r="J1395" s="21" t="s">
        <v>107</v>
      </c>
      <c r="K1395" s="22">
        <f t="shared" ref="K1395:P1395" si="501">SUM(K1384:K1394)</f>
        <v>110606</v>
      </c>
      <c r="L1395" s="18">
        <f t="shared" si="501"/>
        <v>47794.999999999942</v>
      </c>
      <c r="M1395" s="23">
        <f t="shared" si="501"/>
        <v>158400.99999999994</v>
      </c>
      <c r="N1395" s="18">
        <f t="shared" si="501"/>
        <v>-125618.75</v>
      </c>
      <c r="O1395" s="23">
        <f t="shared" si="501"/>
        <v>284019.74999999994</v>
      </c>
      <c r="P1395" s="17">
        <f t="shared" si="501"/>
        <v>-5797765</v>
      </c>
      <c r="S1395" s="41" t="s">
        <v>65</v>
      </c>
      <c r="T1395" s="23">
        <v>-56062</v>
      </c>
      <c r="U1395" s="42">
        <v>0</v>
      </c>
      <c r="V1395" s="23">
        <f t="shared" si="499"/>
        <v>-56062</v>
      </c>
      <c r="W1395" s="20"/>
      <c r="X1395" s="23">
        <f t="shared" si="500"/>
        <v>-56062</v>
      </c>
      <c r="Y1395" s="23">
        <v>-697320</v>
      </c>
      <c r="Z1395">
        <v>24.25</v>
      </c>
    </row>
    <row r="1396" spans="1:26" ht="15.75" x14ac:dyDescent="0.25">
      <c r="A1396" s="21" t="s">
        <v>107</v>
      </c>
      <c r="B1396" s="22">
        <f t="shared" ref="B1396:G1396" si="502">SUM(B1384:B1395)</f>
        <v>-188708</v>
      </c>
      <c r="C1396" s="18">
        <f t="shared" si="502"/>
        <v>706247.5</v>
      </c>
      <c r="D1396" s="23">
        <f t="shared" si="502"/>
        <v>517539.5</v>
      </c>
      <c r="E1396" s="18">
        <f t="shared" si="502"/>
        <v>13022.5</v>
      </c>
      <c r="F1396" s="23">
        <f t="shared" si="502"/>
        <v>504517</v>
      </c>
      <c r="G1396" s="17">
        <f t="shared" si="502"/>
        <v>-6628168.75</v>
      </c>
      <c r="S1396" s="41" t="s">
        <v>75</v>
      </c>
      <c r="T1396" s="23">
        <v>14000</v>
      </c>
      <c r="U1396" s="42">
        <v>0</v>
      </c>
      <c r="V1396" s="23">
        <f t="shared" si="499"/>
        <v>14000</v>
      </c>
      <c r="W1396" s="20"/>
      <c r="X1396" s="23">
        <f t="shared" si="500"/>
        <v>14000</v>
      </c>
      <c r="Y1396" s="23">
        <v>-831000</v>
      </c>
      <c r="Z1396">
        <v>10.8</v>
      </c>
    </row>
    <row r="1397" spans="1:26" ht="15.75" x14ac:dyDescent="0.25">
      <c r="S1397" s="21" t="s">
        <v>107</v>
      </c>
      <c r="T1397" s="22">
        <f t="shared" ref="T1397" si="503">SUM(T1384:T1396)</f>
        <v>-223473</v>
      </c>
      <c r="U1397" s="18">
        <f t="shared" ref="U1397" si="504">SUM(U1384:U1396)</f>
        <v>368212.5</v>
      </c>
      <c r="V1397" s="23">
        <f t="shared" ref="V1397" si="505">SUM(V1384:V1396)</f>
        <v>144739.5</v>
      </c>
      <c r="W1397" s="18">
        <f t="shared" ref="W1397" si="506">SUM(W1384:W1396)</f>
        <v>-126250</v>
      </c>
      <c r="X1397" s="23">
        <f t="shared" si="500"/>
        <v>270989.5</v>
      </c>
      <c r="Y1397" s="17">
        <f t="shared" ref="Y1397" si="507">SUM(Y1384:Y1396)</f>
        <v>-8636960</v>
      </c>
    </row>
    <row r="1399" spans="1:26" ht="15.75" x14ac:dyDescent="0.25">
      <c r="A1399" s="47" t="s">
        <v>34</v>
      </c>
      <c r="B1399" s="47" t="s">
        <v>104</v>
      </c>
      <c r="C1399" s="47" t="s">
        <v>105</v>
      </c>
      <c r="D1399" s="47" t="s">
        <v>112</v>
      </c>
      <c r="E1399" s="47" t="s">
        <v>106</v>
      </c>
      <c r="F1399" s="47" t="s">
        <v>108</v>
      </c>
      <c r="G1399" s="47" t="s">
        <v>28</v>
      </c>
      <c r="H1399" s="32"/>
      <c r="J1399" s="120">
        <v>45222</v>
      </c>
      <c r="K1399" s="121"/>
      <c r="L1399" s="121"/>
      <c r="M1399" s="121"/>
      <c r="N1399" s="121"/>
      <c r="O1399" s="121"/>
      <c r="P1399" s="121"/>
    </row>
    <row r="1400" spans="1:26" ht="15.75" x14ac:dyDescent="0.25">
      <c r="A1400" s="41" t="s">
        <v>71</v>
      </c>
      <c r="B1400" s="23">
        <v>-93500</v>
      </c>
      <c r="C1400" s="42">
        <v>158780</v>
      </c>
      <c r="D1400" s="23">
        <f t="shared" ref="D1400:D1413" si="508">+C1400+B1400</f>
        <v>65280</v>
      </c>
      <c r="E1400" s="20">
        <v>48620</v>
      </c>
      <c r="F1400" s="23">
        <f t="shared" ref="F1400:F1414" si="509">+B1400+C1400-E1400</f>
        <v>16660</v>
      </c>
      <c r="G1400" s="23">
        <v>-792540</v>
      </c>
      <c r="H1400" s="32">
        <v>8.5500000000000007</v>
      </c>
      <c r="J1400" s="21" t="s">
        <v>34</v>
      </c>
      <c r="K1400" s="21" t="s">
        <v>104</v>
      </c>
      <c r="L1400" s="21" t="s">
        <v>105</v>
      </c>
      <c r="M1400" s="21" t="s">
        <v>112</v>
      </c>
      <c r="N1400" s="21" t="s">
        <v>106</v>
      </c>
      <c r="O1400" s="21" t="s">
        <v>108</v>
      </c>
      <c r="P1400" s="21" t="s">
        <v>28</v>
      </c>
    </row>
    <row r="1401" spans="1:26" ht="15.75" x14ac:dyDescent="0.25">
      <c r="A1401" s="41" t="s">
        <v>83</v>
      </c>
      <c r="B1401" s="23">
        <v>127710</v>
      </c>
      <c r="C1401" s="42">
        <v>49680.000000000029</v>
      </c>
      <c r="D1401" s="23">
        <f t="shared" si="508"/>
        <v>177390.00000000003</v>
      </c>
      <c r="E1401" s="20">
        <v>22005</v>
      </c>
      <c r="F1401" s="23">
        <f t="shared" si="509"/>
        <v>155385.00000000003</v>
      </c>
      <c r="G1401" s="23">
        <v>-726705</v>
      </c>
      <c r="H1401" s="32">
        <v>7.85</v>
      </c>
      <c r="J1401" s="41" t="s">
        <v>71</v>
      </c>
      <c r="K1401" s="23">
        <v>426190</v>
      </c>
      <c r="L1401" s="42">
        <v>-410380</v>
      </c>
      <c r="M1401" s="23">
        <f t="shared" ref="M1401:M1411" si="510">+L1401+K1401</f>
        <v>15810</v>
      </c>
      <c r="N1401" s="20"/>
      <c r="O1401" s="23">
        <f t="shared" ref="O1401:O1412" si="511">+K1401+L1401-N1401</f>
        <v>15810</v>
      </c>
      <c r="P1401" s="23">
        <v>0</v>
      </c>
    </row>
    <row r="1402" spans="1:26" ht="15.75" x14ac:dyDescent="0.25">
      <c r="A1402" s="41" t="s">
        <v>54</v>
      </c>
      <c r="B1402" s="23">
        <v>58150</v>
      </c>
      <c r="C1402" s="42">
        <v>78450</v>
      </c>
      <c r="D1402" s="23">
        <f t="shared" si="508"/>
        <v>136600</v>
      </c>
      <c r="E1402" s="20">
        <v>-96200</v>
      </c>
      <c r="F1402" s="23">
        <f t="shared" si="509"/>
        <v>232800</v>
      </c>
      <c r="G1402" s="23">
        <v>-468000</v>
      </c>
      <c r="H1402" s="32">
        <v>12.1</v>
      </c>
      <c r="J1402" s="41" t="s">
        <v>83</v>
      </c>
      <c r="K1402" s="23">
        <v>539190</v>
      </c>
      <c r="L1402" s="42">
        <v>-631665</v>
      </c>
      <c r="M1402" s="23">
        <f t="shared" si="510"/>
        <v>-92475</v>
      </c>
      <c r="N1402" s="20"/>
      <c r="O1402" s="23">
        <f t="shared" si="511"/>
        <v>-92475</v>
      </c>
      <c r="P1402" s="23">
        <v>0</v>
      </c>
    </row>
    <row r="1403" spans="1:26" ht="15.75" x14ac:dyDescent="0.25">
      <c r="A1403" s="41" t="s">
        <v>86</v>
      </c>
      <c r="B1403" s="23">
        <v>-13234</v>
      </c>
      <c r="C1403" s="42">
        <v>6890</v>
      </c>
      <c r="D1403" s="23">
        <f t="shared" si="508"/>
        <v>-6344</v>
      </c>
      <c r="E1403" s="20">
        <v>4030</v>
      </c>
      <c r="F1403" s="23">
        <f t="shared" si="509"/>
        <v>-10374</v>
      </c>
      <c r="G1403" s="23">
        <v>0</v>
      </c>
      <c r="H1403" s="32">
        <v>16.700000000000003</v>
      </c>
      <c r="J1403" s="41" t="s">
        <v>54</v>
      </c>
      <c r="K1403" s="23">
        <v>108600</v>
      </c>
      <c r="L1403" s="42">
        <v>-117800</v>
      </c>
      <c r="M1403" s="23">
        <f t="shared" si="510"/>
        <v>-9200</v>
      </c>
      <c r="N1403" s="20"/>
      <c r="O1403" s="23">
        <f t="shared" si="511"/>
        <v>-9200</v>
      </c>
      <c r="P1403" s="23">
        <v>0</v>
      </c>
    </row>
    <row r="1404" spans="1:26" ht="15.75" x14ac:dyDescent="0.25">
      <c r="A1404" s="41" t="s">
        <v>40</v>
      </c>
      <c r="B1404" s="23">
        <v>1060400</v>
      </c>
      <c r="C1404" s="42">
        <v>-1734975</v>
      </c>
      <c r="D1404" s="23">
        <f t="shared" si="508"/>
        <v>-674575</v>
      </c>
      <c r="E1404" s="20">
        <v>1993.75</v>
      </c>
      <c r="F1404" s="23">
        <f t="shared" si="509"/>
        <v>-676568.75</v>
      </c>
      <c r="G1404" s="20">
        <v>0</v>
      </c>
      <c r="H1404" s="32">
        <v>14.950000000000001</v>
      </c>
      <c r="J1404" s="41" t="s">
        <v>97</v>
      </c>
      <c r="K1404" s="23">
        <v>685625</v>
      </c>
      <c r="L1404" s="42">
        <v>-783687.5</v>
      </c>
      <c r="M1404" s="23">
        <f t="shared" si="510"/>
        <v>-98062.5</v>
      </c>
      <c r="N1404" s="20"/>
      <c r="O1404" s="23">
        <f t="shared" si="511"/>
        <v>-98062.5</v>
      </c>
      <c r="P1404" s="23">
        <v>0</v>
      </c>
    </row>
    <row r="1405" spans="1:26" ht="15.75" x14ac:dyDescent="0.25">
      <c r="A1405" s="41" t="s">
        <v>97</v>
      </c>
      <c r="B1405" s="23">
        <v>151812</v>
      </c>
      <c r="C1405" s="42">
        <v>-150000</v>
      </c>
      <c r="D1405" s="23">
        <f t="shared" si="508"/>
        <v>1812</v>
      </c>
      <c r="E1405" s="20">
        <v>4375</v>
      </c>
      <c r="F1405" s="23">
        <f t="shared" si="509"/>
        <v>-2563</v>
      </c>
      <c r="G1405" s="23">
        <v>-627500</v>
      </c>
      <c r="H1405" s="32">
        <v>14</v>
      </c>
      <c r="J1405" s="41" t="s">
        <v>15</v>
      </c>
      <c r="K1405" s="23">
        <v>38250</v>
      </c>
      <c r="L1405" s="42">
        <v>-62500</v>
      </c>
      <c r="M1405" s="23">
        <f t="shared" si="510"/>
        <v>-24250</v>
      </c>
      <c r="N1405" s="20"/>
      <c r="O1405" s="23">
        <f t="shared" si="511"/>
        <v>-24250</v>
      </c>
      <c r="P1405" s="23">
        <v>0</v>
      </c>
    </row>
    <row r="1406" spans="1:26" ht="15.75" x14ac:dyDescent="0.25">
      <c r="A1406" s="41" t="s">
        <v>15</v>
      </c>
      <c r="B1406" s="23">
        <f>30750+50812</f>
        <v>81562</v>
      </c>
      <c r="C1406" s="42">
        <v>126999.99999999996</v>
      </c>
      <c r="D1406" s="23">
        <f t="shared" si="508"/>
        <v>208561.99999999994</v>
      </c>
      <c r="E1406" s="20">
        <v>22500</v>
      </c>
      <c r="F1406" s="23">
        <f t="shared" si="509"/>
        <v>186061.99999999994</v>
      </c>
      <c r="G1406" s="23">
        <v>-580000</v>
      </c>
      <c r="H1406" s="32">
        <v>14.1</v>
      </c>
      <c r="J1406" s="41" t="s">
        <v>74</v>
      </c>
      <c r="K1406" s="23">
        <v>662212</v>
      </c>
      <c r="L1406" s="42">
        <v>-657000</v>
      </c>
      <c r="M1406" s="23">
        <f t="shared" si="510"/>
        <v>5212</v>
      </c>
      <c r="N1406" s="20"/>
      <c r="O1406" s="23">
        <f t="shared" si="511"/>
        <v>5212</v>
      </c>
      <c r="P1406" s="23">
        <v>0</v>
      </c>
    </row>
    <row r="1407" spans="1:26" ht="15.75" x14ac:dyDescent="0.25">
      <c r="A1407" s="41" t="s">
        <v>62</v>
      </c>
      <c r="B1407" s="23">
        <v>-55815</v>
      </c>
      <c r="C1407" s="42">
        <v>60825</v>
      </c>
      <c r="D1407" s="23">
        <f t="shared" si="508"/>
        <v>5010</v>
      </c>
      <c r="E1407" s="20">
        <v>-13860.000000000004</v>
      </c>
      <c r="F1407" s="23">
        <f t="shared" si="509"/>
        <v>18870.000000000004</v>
      </c>
      <c r="G1407" s="23">
        <v>0</v>
      </c>
      <c r="H1407" s="32">
        <v>74.599999999999994</v>
      </c>
      <c r="J1407" s="41" t="s">
        <v>134</v>
      </c>
      <c r="K1407" s="23">
        <v>463000</v>
      </c>
      <c r="L1407" s="43">
        <v>-475000</v>
      </c>
      <c r="M1407" s="23">
        <f t="shared" si="510"/>
        <v>-12000</v>
      </c>
      <c r="N1407" s="20"/>
      <c r="O1407" s="23">
        <f t="shared" si="511"/>
        <v>-12000</v>
      </c>
      <c r="P1407" s="23">
        <v>0</v>
      </c>
    </row>
    <row r="1408" spans="1:26" ht="15.75" x14ac:dyDescent="0.25">
      <c r="A1408" s="41" t="s">
        <v>74</v>
      </c>
      <c r="B1408" s="23">
        <v>59625</v>
      </c>
      <c r="C1408" s="42">
        <v>180525</v>
      </c>
      <c r="D1408" s="23">
        <f t="shared" si="508"/>
        <v>240150</v>
      </c>
      <c r="E1408" s="20">
        <v>1087.5</v>
      </c>
      <c r="F1408" s="23">
        <f t="shared" si="509"/>
        <v>239062.5</v>
      </c>
      <c r="G1408" s="23">
        <v>-702750</v>
      </c>
      <c r="H1408" s="32">
        <v>19.299999999999997</v>
      </c>
      <c r="J1408" s="41" t="s">
        <v>128</v>
      </c>
      <c r="K1408" s="23">
        <v>336050</v>
      </c>
      <c r="L1408" s="42">
        <v>-428350</v>
      </c>
      <c r="M1408" s="23">
        <f t="shared" si="510"/>
        <v>-92300</v>
      </c>
      <c r="N1408" s="20"/>
      <c r="O1408" s="23">
        <f t="shared" si="511"/>
        <v>-92300</v>
      </c>
      <c r="P1408" s="23">
        <v>0</v>
      </c>
    </row>
    <row r="1409" spans="1:16" ht="15.75" x14ac:dyDescent="0.25">
      <c r="A1409" s="41" t="s">
        <v>134</v>
      </c>
      <c r="B1409" s="23">
        <f>103500-10250</f>
        <v>93250</v>
      </c>
      <c r="C1409" s="43">
        <v>91000</v>
      </c>
      <c r="D1409" s="23">
        <f t="shared" si="508"/>
        <v>184250</v>
      </c>
      <c r="E1409" s="20">
        <v>-19000</v>
      </c>
      <c r="F1409" s="23">
        <f t="shared" si="509"/>
        <v>203250</v>
      </c>
      <c r="G1409" s="23">
        <v>-540000</v>
      </c>
      <c r="H1409" s="32">
        <v>2.4</v>
      </c>
      <c r="J1409" s="41" t="s">
        <v>65</v>
      </c>
      <c r="K1409" s="23">
        <v>868432</v>
      </c>
      <c r="L1409" s="42">
        <v>-807153.75</v>
      </c>
      <c r="M1409" s="23">
        <f t="shared" si="510"/>
        <v>61278.25</v>
      </c>
      <c r="N1409" s="20"/>
      <c r="O1409" s="23">
        <f t="shared" si="511"/>
        <v>61278.25</v>
      </c>
      <c r="P1409" s="23">
        <v>0</v>
      </c>
    </row>
    <row r="1410" spans="1:16" ht="15.75" x14ac:dyDescent="0.25">
      <c r="A1410" s="41" t="s">
        <v>128</v>
      </c>
      <c r="B1410" s="23">
        <v>192530</v>
      </c>
      <c r="C1410" s="42">
        <v>41275</v>
      </c>
      <c r="D1410" s="23">
        <f t="shared" si="508"/>
        <v>233805</v>
      </c>
      <c r="E1410" s="20">
        <v>21775</v>
      </c>
      <c r="F1410" s="23">
        <f t="shared" si="509"/>
        <v>212030</v>
      </c>
      <c r="G1410" s="23">
        <v>-438100</v>
      </c>
      <c r="H1410" s="32">
        <v>9.9499999999999993</v>
      </c>
      <c r="J1410" s="41" t="s">
        <v>75</v>
      </c>
      <c r="K1410" s="23">
        <v>188400</v>
      </c>
      <c r="L1410" s="42">
        <v>-152000</v>
      </c>
      <c r="M1410" s="23">
        <f t="shared" si="510"/>
        <v>36400</v>
      </c>
      <c r="N1410" s="20"/>
      <c r="O1410" s="23">
        <f t="shared" si="511"/>
        <v>36400</v>
      </c>
      <c r="P1410" s="23">
        <v>0</v>
      </c>
    </row>
    <row r="1411" spans="1:16" ht="15.75" x14ac:dyDescent="0.25">
      <c r="A1411" s="41" t="s">
        <v>65</v>
      </c>
      <c r="B1411" s="23">
        <v>35538</v>
      </c>
      <c r="C1411" s="42">
        <v>135037.5</v>
      </c>
      <c r="D1411" s="23">
        <f t="shared" si="508"/>
        <v>170575.5</v>
      </c>
      <c r="E1411" s="20">
        <v>-45093.75</v>
      </c>
      <c r="F1411" s="23">
        <f t="shared" si="509"/>
        <v>215669.25</v>
      </c>
      <c r="G1411" s="23">
        <v>-606791.25</v>
      </c>
      <c r="H1411" s="32">
        <v>16.599999999999998</v>
      </c>
      <c r="J1411" s="41" t="s">
        <v>133</v>
      </c>
      <c r="K1411" s="23">
        <v>-233280</v>
      </c>
      <c r="L1411" s="42">
        <v>302800</v>
      </c>
      <c r="M1411" s="23">
        <f t="shared" si="510"/>
        <v>69520</v>
      </c>
      <c r="N1411" s="20"/>
      <c r="O1411" s="23">
        <f t="shared" si="511"/>
        <v>69520</v>
      </c>
      <c r="P1411" s="23">
        <v>0</v>
      </c>
    </row>
    <row r="1412" spans="1:16" ht="15.75" x14ac:dyDescent="0.25">
      <c r="A1412" s="41" t="s">
        <v>75</v>
      </c>
      <c r="B1412" s="23">
        <v>110900</v>
      </c>
      <c r="C1412" s="42">
        <v>-17000.000000000029</v>
      </c>
      <c r="D1412" s="23">
        <f t="shared" si="508"/>
        <v>93899.999999999971</v>
      </c>
      <c r="E1412" s="20">
        <v>56000</v>
      </c>
      <c r="F1412" s="23">
        <f t="shared" si="509"/>
        <v>37899.999999999971</v>
      </c>
      <c r="G1412" s="23">
        <v>-604000</v>
      </c>
      <c r="H1412" s="32">
        <v>9.35</v>
      </c>
      <c r="J1412" s="21" t="s">
        <v>107</v>
      </c>
      <c r="K1412" s="22">
        <f>SUM(K1401:K1411)+K1413</f>
        <v>3689622</v>
      </c>
      <c r="L1412" s="18">
        <f>SUM(L1401:L1411)+L1413</f>
        <v>-3858986.25</v>
      </c>
      <c r="M1412" s="23">
        <f>SUM(M1401:M1411)</f>
        <v>-140067.25</v>
      </c>
      <c r="N1412" s="18">
        <f>SUM(N1401:N1411)</f>
        <v>0</v>
      </c>
      <c r="O1412" s="23">
        <f t="shared" si="511"/>
        <v>-169364.25</v>
      </c>
      <c r="P1412" s="17">
        <f>SUM(P1401:P1411)</f>
        <v>0</v>
      </c>
    </row>
    <row r="1413" spans="1:16" ht="15.75" x14ac:dyDescent="0.25">
      <c r="A1413" s="41" t="s">
        <v>133</v>
      </c>
      <c r="B1413" s="23">
        <v>107920</v>
      </c>
      <c r="C1413" s="42">
        <v>0</v>
      </c>
      <c r="D1413" s="23">
        <f t="shared" si="508"/>
        <v>107920</v>
      </c>
      <c r="E1413" s="20">
        <v>0</v>
      </c>
      <c r="F1413" s="23">
        <f t="shared" si="509"/>
        <v>107920</v>
      </c>
      <c r="G1413" s="23">
        <v>-623600</v>
      </c>
      <c r="H1413">
        <v>39.849999999999994</v>
      </c>
      <c r="J1413" s="45" t="s">
        <v>135</v>
      </c>
      <c r="K1413" s="31">
        <v>-393047</v>
      </c>
      <c r="L1413" s="48">
        <v>363750</v>
      </c>
      <c r="M1413" s="44">
        <f>+L1413+K1413</f>
        <v>-29297</v>
      </c>
      <c r="O1413" s="44">
        <f>+N1413+M1413</f>
        <v>-29297</v>
      </c>
    </row>
    <row r="1414" spans="1:16" ht="15.75" x14ac:dyDescent="0.25">
      <c r="A1414" s="21" t="s">
        <v>107</v>
      </c>
      <c r="B1414" s="22">
        <f t="shared" ref="B1414:E1414" si="512">SUM(B1400:B1413)</f>
        <v>1916848</v>
      </c>
      <c r="C1414" s="18">
        <f t="shared" si="512"/>
        <v>-972512.5</v>
      </c>
      <c r="D1414" s="23">
        <f t="shared" si="512"/>
        <v>944335.5</v>
      </c>
      <c r="E1414" s="18">
        <f t="shared" si="512"/>
        <v>8232.5</v>
      </c>
      <c r="F1414" s="23">
        <f t="shared" si="509"/>
        <v>936103</v>
      </c>
      <c r="G1414" s="17">
        <f t="shared" ref="G1414" si="513">SUM(G1400:G1413)</f>
        <v>-6709986.25</v>
      </c>
    </row>
    <row r="1415" spans="1:16" ht="15.75" x14ac:dyDescent="0.25">
      <c r="A1415" s="45" t="s">
        <v>132</v>
      </c>
      <c r="B1415">
        <v>2755</v>
      </c>
    </row>
    <row r="1417" spans="1:16" s="49" customFormat="1" x14ac:dyDescent="0.25"/>
    <row r="1419" spans="1:16" ht="15.75" x14ac:dyDescent="0.25">
      <c r="A1419" s="107">
        <v>45246</v>
      </c>
      <c r="B1419" s="108"/>
      <c r="C1419" s="108"/>
      <c r="D1419" s="108"/>
      <c r="E1419" s="108"/>
      <c r="F1419" s="108"/>
      <c r="G1419" s="109"/>
      <c r="J1419" s="107">
        <v>45246</v>
      </c>
      <c r="K1419" s="108"/>
      <c r="L1419" s="108"/>
      <c r="M1419" s="108"/>
      <c r="N1419" s="108"/>
      <c r="O1419" s="108"/>
      <c r="P1419" s="109"/>
    </row>
    <row r="1420" spans="1:16" ht="15.75" x14ac:dyDescent="0.25">
      <c r="A1420" s="22" t="s">
        <v>34</v>
      </c>
      <c r="B1420" s="22" t="s">
        <v>104</v>
      </c>
      <c r="C1420" s="22" t="s">
        <v>105</v>
      </c>
      <c r="D1420" s="22" t="s">
        <v>112</v>
      </c>
      <c r="E1420" s="22" t="s">
        <v>106</v>
      </c>
      <c r="F1420" s="21" t="s">
        <v>108</v>
      </c>
      <c r="G1420" s="21" t="s">
        <v>28</v>
      </c>
      <c r="J1420" s="22" t="s">
        <v>34</v>
      </c>
      <c r="K1420" s="22" t="s">
        <v>104</v>
      </c>
      <c r="L1420" s="22" t="s">
        <v>105</v>
      </c>
      <c r="M1420" s="22" t="s">
        <v>112</v>
      </c>
      <c r="N1420" s="22" t="s">
        <v>106</v>
      </c>
      <c r="O1420" s="21" t="s">
        <v>108</v>
      </c>
      <c r="P1420" s="21" t="s">
        <v>28</v>
      </c>
    </row>
    <row r="1421" spans="1:16" ht="15.75" x14ac:dyDescent="0.25">
      <c r="A1421" s="41" t="s">
        <v>76</v>
      </c>
      <c r="B1421" s="23">
        <v>-17280</v>
      </c>
      <c r="C1421" s="42">
        <v>0</v>
      </c>
      <c r="D1421" s="23">
        <f t="shared" ref="D1421:D1432" si="514">+C1421+B1421</f>
        <v>-17280</v>
      </c>
      <c r="E1421" s="20">
        <v>0</v>
      </c>
      <c r="F1421" s="23">
        <f t="shared" ref="F1421:F1433" si="515">+B1421+C1421-E1421</f>
        <v>-17280</v>
      </c>
      <c r="G1421" s="23">
        <v>-197100</v>
      </c>
      <c r="J1421" s="41" t="s">
        <v>76</v>
      </c>
      <c r="K1421" s="23">
        <v>-37800</v>
      </c>
      <c r="L1421" s="42">
        <v>-165510</v>
      </c>
      <c r="M1421" s="23">
        <f t="shared" ref="M1421:M1433" si="516">+L1421+K1421</f>
        <v>-203310</v>
      </c>
      <c r="N1421" s="20">
        <v>0</v>
      </c>
      <c r="O1421" s="23">
        <f t="shared" ref="O1421:O1434" si="517">+K1421+L1421-N1421</f>
        <v>-203310</v>
      </c>
      <c r="P1421" s="23">
        <v>-433620</v>
      </c>
    </row>
    <row r="1422" spans="1:16" ht="15.75" x14ac:dyDescent="0.25">
      <c r="A1422" s="41" t="s">
        <v>17</v>
      </c>
      <c r="B1422" s="23">
        <v>-32181</v>
      </c>
      <c r="C1422" s="42">
        <v>0</v>
      </c>
      <c r="D1422" s="23">
        <f t="shared" si="514"/>
        <v>-32181</v>
      </c>
      <c r="E1422" s="20">
        <v>0</v>
      </c>
      <c r="F1422" s="23">
        <f t="shared" si="515"/>
        <v>-32181</v>
      </c>
      <c r="G1422" s="23">
        <v>-251275</v>
      </c>
      <c r="J1422" s="41" t="s">
        <v>17</v>
      </c>
      <c r="K1422" s="23">
        <v>56256</v>
      </c>
      <c r="L1422" s="42">
        <v>-28775.000000000029</v>
      </c>
      <c r="M1422" s="23">
        <f t="shared" si="516"/>
        <v>27480.999999999971</v>
      </c>
      <c r="N1422" s="20">
        <v>0</v>
      </c>
      <c r="O1422" s="23">
        <f t="shared" si="517"/>
        <v>27480.999999999971</v>
      </c>
      <c r="P1422" s="23">
        <v>-536800</v>
      </c>
    </row>
    <row r="1423" spans="1:16" ht="15.75" x14ac:dyDescent="0.25">
      <c r="A1423" s="41" t="s">
        <v>71</v>
      </c>
      <c r="B1423" s="23">
        <v>14705</v>
      </c>
      <c r="C1423" s="42">
        <v>0</v>
      </c>
      <c r="D1423" s="23">
        <f t="shared" si="514"/>
        <v>14705</v>
      </c>
      <c r="E1423" s="20">
        <v>0</v>
      </c>
      <c r="F1423" s="23">
        <f t="shared" si="515"/>
        <v>14705</v>
      </c>
      <c r="G1423" s="23">
        <v>-206975</v>
      </c>
      <c r="J1423" s="41" t="s">
        <v>71</v>
      </c>
      <c r="K1423" s="23">
        <v>-28135</v>
      </c>
      <c r="L1423" s="42">
        <v>6375</v>
      </c>
      <c r="M1423" s="23">
        <f t="shared" si="516"/>
        <v>-21760</v>
      </c>
      <c r="N1423" s="20">
        <v>0</v>
      </c>
      <c r="O1423" s="23">
        <f t="shared" si="517"/>
        <v>-21760</v>
      </c>
      <c r="P1423" s="23">
        <v>-513655</v>
      </c>
    </row>
    <row r="1424" spans="1:16" ht="15.75" x14ac:dyDescent="0.25">
      <c r="A1424" s="41" t="s">
        <v>61</v>
      </c>
      <c r="B1424" s="23">
        <v>21120</v>
      </c>
      <c r="C1424" s="42">
        <v>0</v>
      </c>
      <c r="D1424" s="23">
        <f t="shared" si="514"/>
        <v>21120</v>
      </c>
      <c r="E1424" s="20">
        <v>0</v>
      </c>
      <c r="F1424" s="23">
        <f t="shared" si="515"/>
        <v>21120</v>
      </c>
      <c r="G1424" s="23">
        <v>-288695</v>
      </c>
      <c r="J1424" s="41" t="s">
        <v>61</v>
      </c>
      <c r="K1424" s="23">
        <v>90750</v>
      </c>
      <c r="L1424" s="42">
        <v>-53790</v>
      </c>
      <c r="M1424" s="23">
        <f t="shared" si="516"/>
        <v>36960</v>
      </c>
      <c r="N1424" s="20">
        <v>0</v>
      </c>
      <c r="O1424" s="23">
        <f t="shared" si="517"/>
        <v>36960</v>
      </c>
      <c r="P1424" s="23">
        <v>-654500</v>
      </c>
    </row>
    <row r="1425" spans="1:16" ht="15.75" x14ac:dyDescent="0.25">
      <c r="A1425" s="41" t="s">
        <v>94</v>
      </c>
      <c r="B1425" s="23">
        <v>10625</v>
      </c>
      <c r="C1425" s="42">
        <v>0</v>
      </c>
      <c r="D1425" s="23">
        <f t="shared" si="514"/>
        <v>10625</v>
      </c>
      <c r="E1425" s="20">
        <v>0</v>
      </c>
      <c r="F1425" s="23">
        <f t="shared" si="515"/>
        <v>10625</v>
      </c>
      <c r="G1425" s="20">
        <v>-173250</v>
      </c>
      <c r="J1425" s="41" t="s">
        <v>94</v>
      </c>
      <c r="K1425" s="23">
        <v>-11875</v>
      </c>
      <c r="L1425" s="42">
        <v>-52250.000000000015</v>
      </c>
      <c r="M1425" s="23">
        <f t="shared" si="516"/>
        <v>-64125.000000000015</v>
      </c>
      <c r="N1425" s="20">
        <v>0</v>
      </c>
      <c r="O1425" s="23">
        <f t="shared" si="517"/>
        <v>-64125.000000000015</v>
      </c>
      <c r="P1425" s="20">
        <v>-480500</v>
      </c>
    </row>
    <row r="1426" spans="1:16" ht="15.75" x14ac:dyDescent="0.25">
      <c r="A1426" s="41" t="s">
        <v>54</v>
      </c>
      <c r="B1426" s="23">
        <v>2387</v>
      </c>
      <c r="C1426" s="42">
        <v>0</v>
      </c>
      <c r="D1426" s="23">
        <f t="shared" si="514"/>
        <v>2387</v>
      </c>
      <c r="E1426" s="20">
        <v>0</v>
      </c>
      <c r="F1426" s="23">
        <f t="shared" si="515"/>
        <v>2387</v>
      </c>
      <c r="G1426" s="23">
        <v>-196500</v>
      </c>
      <c r="J1426" s="41" t="s">
        <v>54</v>
      </c>
      <c r="K1426" s="23">
        <v>-9050</v>
      </c>
      <c r="L1426" s="42">
        <v>29400</v>
      </c>
      <c r="M1426" s="23">
        <f t="shared" si="516"/>
        <v>20350</v>
      </c>
      <c r="N1426" s="20">
        <v>0</v>
      </c>
      <c r="O1426" s="23">
        <f t="shared" si="517"/>
        <v>20350</v>
      </c>
      <c r="P1426" s="23">
        <v>-497100</v>
      </c>
    </row>
    <row r="1427" spans="1:16" ht="15.75" x14ac:dyDescent="0.25">
      <c r="A1427" s="41" t="s">
        <v>82</v>
      </c>
      <c r="B1427" s="23">
        <v>-17052</v>
      </c>
      <c r="C1427" s="42">
        <v>0</v>
      </c>
      <c r="D1427" s="23">
        <f t="shared" si="514"/>
        <v>-17052</v>
      </c>
      <c r="E1427" s="20">
        <v>0</v>
      </c>
      <c r="F1427" s="23">
        <f t="shared" si="515"/>
        <v>-17052</v>
      </c>
      <c r="G1427" s="23">
        <v>-208050</v>
      </c>
      <c r="J1427" s="41" t="s">
        <v>82</v>
      </c>
      <c r="K1427" s="23">
        <v>-20591</v>
      </c>
      <c r="L1427" s="42">
        <v>39092.5</v>
      </c>
      <c r="M1427" s="23">
        <f t="shared" si="516"/>
        <v>18501.5</v>
      </c>
      <c r="N1427" s="20">
        <v>0</v>
      </c>
      <c r="O1427" s="23">
        <f t="shared" si="517"/>
        <v>18501.5</v>
      </c>
      <c r="P1427" s="23">
        <v>-466283.75</v>
      </c>
    </row>
    <row r="1428" spans="1:16" ht="15.75" x14ac:dyDescent="0.25">
      <c r="A1428" s="41" t="s">
        <v>96</v>
      </c>
      <c r="B1428" s="23">
        <v>9493</v>
      </c>
      <c r="C1428" s="42">
        <v>0</v>
      </c>
      <c r="D1428" s="23">
        <f t="shared" si="514"/>
        <v>9493</v>
      </c>
      <c r="E1428" s="20">
        <v>0</v>
      </c>
      <c r="F1428" s="23">
        <f t="shared" si="515"/>
        <v>9493</v>
      </c>
      <c r="G1428" s="23">
        <v>-184406.25</v>
      </c>
      <c r="J1428" s="41" t="s">
        <v>96</v>
      </c>
      <c r="K1428" s="23">
        <v>59195</v>
      </c>
      <c r="L1428" s="42">
        <v>-116943.75000000001</v>
      </c>
      <c r="M1428" s="23">
        <f t="shared" si="516"/>
        <v>-57748.750000000015</v>
      </c>
      <c r="N1428" s="20">
        <v>0</v>
      </c>
      <c r="O1428" s="23">
        <f t="shared" si="517"/>
        <v>-57748.750000000015</v>
      </c>
      <c r="P1428" s="23">
        <v>-584500</v>
      </c>
    </row>
    <row r="1429" spans="1:16" ht="15.75" x14ac:dyDescent="0.25">
      <c r="A1429" s="41" t="s">
        <v>97</v>
      </c>
      <c r="B1429" s="23">
        <v>7875</v>
      </c>
      <c r="C1429" s="42">
        <v>0</v>
      </c>
      <c r="D1429" s="23">
        <f t="shared" si="514"/>
        <v>7875</v>
      </c>
      <c r="E1429" s="20">
        <v>0</v>
      </c>
      <c r="F1429" s="23">
        <f t="shared" si="515"/>
        <v>7875</v>
      </c>
      <c r="G1429" s="23">
        <v>-209250</v>
      </c>
      <c r="J1429" s="41" t="s">
        <v>97</v>
      </c>
      <c r="K1429" s="23">
        <v>-33125</v>
      </c>
      <c r="L1429" s="42">
        <v>12500</v>
      </c>
      <c r="M1429" s="23">
        <f t="shared" si="516"/>
        <v>-20625</v>
      </c>
      <c r="N1429" s="20">
        <v>0</v>
      </c>
      <c r="O1429" s="23">
        <f t="shared" si="517"/>
        <v>-20625</v>
      </c>
      <c r="P1429" s="23">
        <v>-587000</v>
      </c>
    </row>
    <row r="1430" spans="1:16" ht="15.75" x14ac:dyDescent="0.25">
      <c r="A1430" s="41" t="s">
        <v>70</v>
      </c>
      <c r="B1430" s="23">
        <v>7210</v>
      </c>
      <c r="C1430" s="43">
        <v>0</v>
      </c>
      <c r="D1430" s="23">
        <f t="shared" si="514"/>
        <v>7210</v>
      </c>
      <c r="E1430" s="20">
        <v>0</v>
      </c>
      <c r="F1430" s="23">
        <f t="shared" si="515"/>
        <v>7210</v>
      </c>
      <c r="G1430" s="23">
        <v>-178920</v>
      </c>
      <c r="J1430" s="41" t="s">
        <v>70</v>
      </c>
      <c r="K1430" s="23">
        <v>-845</v>
      </c>
      <c r="L1430" s="43">
        <v>560.00000000001455</v>
      </c>
      <c r="M1430" s="23">
        <f t="shared" si="516"/>
        <v>-284.99999999998545</v>
      </c>
      <c r="N1430" s="20">
        <v>0</v>
      </c>
      <c r="O1430" s="23">
        <f t="shared" si="517"/>
        <v>-284.99999999998545</v>
      </c>
      <c r="P1430" s="23">
        <v>-539560</v>
      </c>
    </row>
    <row r="1431" spans="1:16" ht="15.75" x14ac:dyDescent="0.25">
      <c r="A1431" s="41" t="s">
        <v>62</v>
      </c>
      <c r="B1431" s="23">
        <v>-2147</v>
      </c>
      <c r="C1431" s="42">
        <v>0</v>
      </c>
      <c r="D1431" s="23">
        <f t="shared" si="514"/>
        <v>-2147</v>
      </c>
      <c r="E1431" s="20">
        <v>0</v>
      </c>
      <c r="F1431" s="23">
        <f t="shared" si="515"/>
        <v>-2147</v>
      </c>
      <c r="G1431" s="23">
        <v>-195045</v>
      </c>
      <c r="J1431" s="41" t="s">
        <v>62</v>
      </c>
      <c r="K1431" s="23">
        <v>-114165</v>
      </c>
      <c r="L1431" s="42">
        <v>-12060</v>
      </c>
      <c r="M1431" s="23">
        <f t="shared" si="516"/>
        <v>-126225</v>
      </c>
      <c r="N1431" s="20">
        <v>0</v>
      </c>
      <c r="O1431" s="23">
        <f t="shared" si="517"/>
        <v>-126225</v>
      </c>
      <c r="P1431" s="23">
        <v>-730432.5</v>
      </c>
    </row>
    <row r="1432" spans="1:16" ht="15.75" x14ac:dyDescent="0.25">
      <c r="A1432" s="41" t="s">
        <v>74</v>
      </c>
      <c r="B1432" s="23">
        <v>10237</v>
      </c>
      <c r="C1432" s="42">
        <v>0</v>
      </c>
      <c r="D1432" s="23">
        <f t="shared" si="514"/>
        <v>10237</v>
      </c>
      <c r="E1432" s="20">
        <v>0</v>
      </c>
      <c r="F1432" s="23">
        <f t="shared" si="515"/>
        <v>10237</v>
      </c>
      <c r="G1432" s="23">
        <v>-229125</v>
      </c>
      <c r="J1432" s="41" t="s">
        <v>74</v>
      </c>
      <c r="K1432" s="23">
        <v>-15675</v>
      </c>
      <c r="L1432" s="42">
        <v>-71775</v>
      </c>
      <c r="M1432" s="23">
        <f t="shared" si="516"/>
        <v>-87450</v>
      </c>
      <c r="N1432" s="20">
        <v>0</v>
      </c>
      <c r="O1432" s="23">
        <f t="shared" si="517"/>
        <v>-87450</v>
      </c>
      <c r="P1432" s="23">
        <v>-547387.5</v>
      </c>
    </row>
    <row r="1433" spans="1:16" ht="15.75" x14ac:dyDescent="0.25">
      <c r="A1433" s="21" t="s">
        <v>107</v>
      </c>
      <c r="B1433" s="22">
        <f>SUM(B1421:B1432)</f>
        <v>14992</v>
      </c>
      <c r="C1433" s="18">
        <f>SUM(C1421:C1432)</f>
        <v>0</v>
      </c>
      <c r="D1433" s="23">
        <f>SUM(D1421:D1432)</f>
        <v>14992</v>
      </c>
      <c r="E1433" s="18">
        <f>SUM(E1421:E1432)</f>
        <v>0</v>
      </c>
      <c r="F1433" s="23">
        <f t="shared" si="515"/>
        <v>14992</v>
      </c>
      <c r="G1433" s="17">
        <f>SUM(G1421:G1432)</f>
        <v>-2518591.25</v>
      </c>
      <c r="J1433" s="41" t="s">
        <v>135</v>
      </c>
      <c r="K1433" s="23">
        <v>-5852</v>
      </c>
      <c r="L1433" s="42">
        <v>0</v>
      </c>
      <c r="M1433" s="23">
        <f t="shared" si="516"/>
        <v>-5852</v>
      </c>
      <c r="N1433" s="20">
        <v>0</v>
      </c>
      <c r="O1433" s="23">
        <f t="shared" si="517"/>
        <v>-5852</v>
      </c>
      <c r="P1433" s="23">
        <v>0</v>
      </c>
    </row>
    <row r="1434" spans="1:16" ht="15.75" x14ac:dyDescent="0.25">
      <c r="J1434" s="21" t="s">
        <v>107</v>
      </c>
      <c r="K1434" s="22">
        <f>SUM(K1421:K1433)</f>
        <v>-70912</v>
      </c>
      <c r="L1434" s="18">
        <f>SUM(L1421:L1433)</f>
        <v>-413176.25000000006</v>
      </c>
      <c r="M1434" s="23">
        <f>SUM(M1421:M1433)</f>
        <v>-484088.25000000006</v>
      </c>
      <c r="N1434" s="18">
        <f>SUM(N1421:N1433)</f>
        <v>0</v>
      </c>
      <c r="O1434" s="23">
        <f t="shared" si="517"/>
        <v>-484088.25000000006</v>
      </c>
      <c r="P1434" s="17">
        <f>SUM(P1421:P1433)</f>
        <v>-6571338.75</v>
      </c>
    </row>
    <row r="1436" spans="1:16" ht="15.75" x14ac:dyDescent="0.25">
      <c r="O1436" s="30"/>
    </row>
    <row r="1437" spans="1:16" ht="15.75" x14ac:dyDescent="0.25">
      <c r="A1437" s="107">
        <v>45250</v>
      </c>
      <c r="B1437" s="108"/>
      <c r="C1437" s="108"/>
      <c r="D1437" s="108"/>
      <c r="E1437" s="108"/>
      <c r="F1437" s="108"/>
      <c r="G1437" s="109"/>
      <c r="J1437" s="107">
        <v>45251</v>
      </c>
      <c r="K1437" s="108"/>
      <c r="L1437" s="108"/>
      <c r="M1437" s="108"/>
      <c r="N1437" s="108"/>
      <c r="O1437" s="108"/>
      <c r="P1437" s="109"/>
    </row>
    <row r="1438" spans="1:16" ht="15.75" x14ac:dyDescent="0.25">
      <c r="A1438" s="22" t="s">
        <v>34</v>
      </c>
      <c r="B1438" s="22" t="s">
        <v>104</v>
      </c>
      <c r="C1438" s="22" t="s">
        <v>105</v>
      </c>
      <c r="D1438" s="22" t="s">
        <v>112</v>
      </c>
      <c r="E1438" s="22" t="s">
        <v>106</v>
      </c>
      <c r="F1438" s="21" t="s">
        <v>108</v>
      </c>
      <c r="G1438" s="21" t="s">
        <v>28</v>
      </c>
      <c r="J1438" s="22" t="s">
        <v>34</v>
      </c>
      <c r="K1438" s="22" t="s">
        <v>104</v>
      </c>
      <c r="L1438" s="22" t="s">
        <v>105</v>
      </c>
      <c r="M1438" s="22" t="s">
        <v>112</v>
      </c>
      <c r="N1438" s="22" t="s">
        <v>106</v>
      </c>
      <c r="O1438" s="21" t="s">
        <v>108</v>
      </c>
      <c r="P1438" s="21" t="s">
        <v>28</v>
      </c>
    </row>
    <row r="1439" spans="1:16" ht="15.75" x14ac:dyDescent="0.25">
      <c r="A1439" s="41" t="s">
        <v>76</v>
      </c>
      <c r="B1439" s="23">
        <v>5940</v>
      </c>
      <c r="C1439" s="42">
        <v>110160</v>
      </c>
      <c r="D1439" s="23">
        <f t="shared" ref="D1439:D1451" si="518">+C1439+B1439</f>
        <v>116100</v>
      </c>
      <c r="E1439" s="20">
        <v>0</v>
      </c>
      <c r="F1439" s="23">
        <f t="shared" ref="F1439:F1452" si="519">+B1439+C1439-E1439</f>
        <v>116100</v>
      </c>
      <c r="G1439" s="23">
        <v>-386370</v>
      </c>
      <c r="J1439" s="41" t="s">
        <v>76</v>
      </c>
      <c r="K1439" s="23">
        <v>5400</v>
      </c>
      <c r="L1439" s="42">
        <v>116370</v>
      </c>
      <c r="M1439" s="23">
        <f t="shared" ref="M1439:M1451" si="520">+L1439+K1439</f>
        <v>121770</v>
      </c>
      <c r="N1439" s="20">
        <v>0</v>
      </c>
      <c r="O1439" s="23">
        <f t="shared" ref="O1439:O1452" si="521">+K1439+L1439-N1439</f>
        <v>121770</v>
      </c>
      <c r="P1439" s="23">
        <v>-610470</v>
      </c>
    </row>
    <row r="1440" spans="1:16" ht="15.75" x14ac:dyDescent="0.25">
      <c r="A1440" s="41" t="s">
        <v>17</v>
      </c>
      <c r="B1440" s="23">
        <v>-84950</v>
      </c>
      <c r="C1440" s="42">
        <v>80137.5</v>
      </c>
      <c r="D1440" s="23">
        <f t="shared" si="518"/>
        <v>-4812.5</v>
      </c>
      <c r="E1440" s="20">
        <v>0</v>
      </c>
      <c r="F1440" s="23">
        <f t="shared" si="519"/>
        <v>-4812.5</v>
      </c>
      <c r="G1440" s="23">
        <v>-536200</v>
      </c>
      <c r="J1440" s="41" t="s">
        <v>17</v>
      </c>
      <c r="K1440" s="23">
        <v>-32362</v>
      </c>
      <c r="L1440" s="42">
        <v>157300</v>
      </c>
      <c r="M1440" s="23">
        <f t="shared" si="520"/>
        <v>124938</v>
      </c>
      <c r="N1440" s="20">
        <v>0</v>
      </c>
      <c r="O1440" s="23">
        <f t="shared" si="521"/>
        <v>124938</v>
      </c>
      <c r="P1440" s="23">
        <v>-562125</v>
      </c>
    </row>
    <row r="1441" spans="1:16" ht="15.75" x14ac:dyDescent="0.25">
      <c r="A1441" s="41" t="s">
        <v>71</v>
      </c>
      <c r="B1441" s="23">
        <v>-11220</v>
      </c>
      <c r="C1441" s="42">
        <v>5695</v>
      </c>
      <c r="D1441" s="23">
        <f t="shared" si="518"/>
        <v>-5525</v>
      </c>
      <c r="E1441" s="20">
        <v>0</v>
      </c>
      <c r="F1441" s="23">
        <f t="shared" si="519"/>
        <v>-5525</v>
      </c>
      <c r="G1441" s="23">
        <v>-599930</v>
      </c>
      <c r="J1441" s="41" t="s">
        <v>71</v>
      </c>
      <c r="K1441" s="23">
        <v>1785</v>
      </c>
      <c r="L1441" s="42">
        <v>53635</v>
      </c>
      <c r="M1441" s="23">
        <f t="shared" si="520"/>
        <v>55420</v>
      </c>
      <c r="N1441" s="20">
        <v>0</v>
      </c>
      <c r="O1441" s="23">
        <f t="shared" si="521"/>
        <v>55420</v>
      </c>
      <c r="P1441" s="23">
        <v>-512550</v>
      </c>
    </row>
    <row r="1442" spans="1:16" ht="15.75" x14ac:dyDescent="0.25">
      <c r="A1442" s="41" t="s">
        <v>61</v>
      </c>
      <c r="B1442" s="23">
        <v>-187900</v>
      </c>
      <c r="C1442" s="42">
        <v>-40700</v>
      </c>
      <c r="D1442" s="23">
        <f t="shared" si="518"/>
        <v>-228600</v>
      </c>
      <c r="E1442" s="20">
        <v>0</v>
      </c>
      <c r="F1442" s="23">
        <f t="shared" si="519"/>
        <v>-228600</v>
      </c>
      <c r="G1442" s="23">
        <v>-765160</v>
      </c>
      <c r="J1442" s="41" t="s">
        <v>61</v>
      </c>
      <c r="K1442" s="23">
        <v>148170</v>
      </c>
      <c r="L1442" s="42">
        <v>-33439.999999999971</v>
      </c>
      <c r="M1442" s="23">
        <f t="shared" si="520"/>
        <v>114730.00000000003</v>
      </c>
      <c r="N1442" s="20">
        <v>0</v>
      </c>
      <c r="O1442" s="23">
        <f t="shared" si="521"/>
        <v>114730.00000000003</v>
      </c>
      <c r="P1442" s="23">
        <v>-844800</v>
      </c>
    </row>
    <row r="1443" spans="1:16" ht="15.75" x14ac:dyDescent="0.25">
      <c r="A1443" s="41" t="s">
        <v>94</v>
      </c>
      <c r="B1443" s="23">
        <v>14750</v>
      </c>
      <c r="C1443" s="42">
        <v>27250</v>
      </c>
      <c r="D1443" s="23">
        <f t="shared" si="518"/>
        <v>42000</v>
      </c>
      <c r="E1443" s="20">
        <v>0</v>
      </c>
      <c r="F1443" s="23">
        <f t="shared" si="519"/>
        <v>42000</v>
      </c>
      <c r="G1443" s="20">
        <v>-485500</v>
      </c>
      <c r="J1443" s="41" t="s">
        <v>94</v>
      </c>
      <c r="K1443" s="23">
        <v>7250</v>
      </c>
      <c r="L1443" s="42">
        <v>113750</v>
      </c>
      <c r="M1443" s="23">
        <f t="shared" si="520"/>
        <v>121000</v>
      </c>
      <c r="N1443" s="20">
        <v>0</v>
      </c>
      <c r="O1443" s="23">
        <f t="shared" si="521"/>
        <v>121000</v>
      </c>
      <c r="P1443" s="20">
        <v>-535000</v>
      </c>
    </row>
    <row r="1444" spans="1:16" ht="15.75" x14ac:dyDescent="0.25">
      <c r="A1444" s="41" t="s">
        <v>54</v>
      </c>
      <c r="B1444" s="23">
        <v>-9550</v>
      </c>
      <c r="C1444" s="42">
        <v>-9399.9999999999927</v>
      </c>
      <c r="D1444" s="23">
        <f t="shared" si="518"/>
        <v>-18949.999999999993</v>
      </c>
      <c r="E1444" s="20">
        <v>0</v>
      </c>
      <c r="F1444" s="23">
        <f t="shared" si="519"/>
        <v>-18949.999999999993</v>
      </c>
      <c r="G1444" s="23">
        <v>-544200</v>
      </c>
      <c r="J1444" s="41" t="s">
        <v>54</v>
      </c>
      <c r="K1444" s="23">
        <v>-37800</v>
      </c>
      <c r="L1444" s="42">
        <v>8600</v>
      </c>
      <c r="M1444" s="23">
        <f t="shared" si="520"/>
        <v>-29200</v>
      </c>
      <c r="N1444" s="20">
        <v>0</v>
      </c>
      <c r="O1444" s="23">
        <f t="shared" si="521"/>
        <v>-29200</v>
      </c>
      <c r="P1444" s="23">
        <v>-616400</v>
      </c>
    </row>
    <row r="1445" spans="1:16" ht="15.75" x14ac:dyDescent="0.25">
      <c r="A1445" s="41" t="s">
        <v>82</v>
      </c>
      <c r="B1445" s="23">
        <v>-24913</v>
      </c>
      <c r="C1445" s="42">
        <v>77852.5</v>
      </c>
      <c r="D1445" s="23">
        <f t="shared" si="518"/>
        <v>52939.5</v>
      </c>
      <c r="E1445" s="20">
        <v>0</v>
      </c>
      <c r="F1445" s="23">
        <f t="shared" si="519"/>
        <v>52939.5</v>
      </c>
      <c r="G1445" s="23">
        <v>-683026.25</v>
      </c>
      <c r="J1445" s="41" t="s">
        <v>82</v>
      </c>
      <c r="K1445" s="23">
        <v>-127015</v>
      </c>
      <c r="L1445" s="42">
        <v>-65288.75</v>
      </c>
      <c r="M1445" s="23">
        <f t="shared" si="520"/>
        <v>-192303.75</v>
      </c>
      <c r="N1445" s="20">
        <v>0</v>
      </c>
      <c r="O1445" s="23">
        <f t="shared" si="521"/>
        <v>-192303.75</v>
      </c>
      <c r="P1445" s="23">
        <v>-749882.5</v>
      </c>
    </row>
    <row r="1446" spans="1:16" ht="15.75" x14ac:dyDescent="0.25">
      <c r="A1446" s="41" t="s">
        <v>96</v>
      </c>
      <c r="B1446" s="23">
        <v>12425</v>
      </c>
      <c r="C1446" s="42">
        <v>59762.500000000015</v>
      </c>
      <c r="D1446" s="23">
        <f t="shared" si="518"/>
        <v>72187.500000000015</v>
      </c>
      <c r="E1446" s="20">
        <v>0</v>
      </c>
      <c r="F1446" s="23">
        <f t="shared" si="519"/>
        <v>72187.500000000015</v>
      </c>
      <c r="G1446" s="23">
        <v>-625931.25</v>
      </c>
      <c r="J1446" s="41" t="s">
        <v>96</v>
      </c>
      <c r="K1446" s="23">
        <v>-166512</v>
      </c>
      <c r="L1446" s="42">
        <v>18375</v>
      </c>
      <c r="M1446" s="23">
        <f t="shared" si="520"/>
        <v>-148137</v>
      </c>
      <c r="N1446" s="20">
        <v>0</v>
      </c>
      <c r="O1446" s="23">
        <f t="shared" si="521"/>
        <v>-148137</v>
      </c>
      <c r="P1446" s="23">
        <v>-687575</v>
      </c>
    </row>
    <row r="1447" spans="1:16" ht="15.75" x14ac:dyDescent="0.25">
      <c r="A1447" s="41" t="s">
        <v>97</v>
      </c>
      <c r="B1447" s="23">
        <v>-500</v>
      </c>
      <c r="C1447" s="42">
        <v>119500</v>
      </c>
      <c r="D1447" s="23">
        <f t="shared" si="518"/>
        <v>119000</v>
      </c>
      <c r="E1447" s="20">
        <v>0</v>
      </c>
      <c r="F1447" s="23">
        <f t="shared" si="519"/>
        <v>119000</v>
      </c>
      <c r="G1447" s="23">
        <v>-583500</v>
      </c>
      <c r="J1447" s="41" t="s">
        <v>97</v>
      </c>
      <c r="K1447" s="23">
        <v>-29937</v>
      </c>
      <c r="L1447" s="42">
        <v>117000</v>
      </c>
      <c r="M1447" s="23">
        <f t="shared" si="520"/>
        <v>87063</v>
      </c>
      <c r="N1447" s="20">
        <v>0</v>
      </c>
      <c r="O1447" s="23">
        <f t="shared" si="521"/>
        <v>87063</v>
      </c>
      <c r="P1447" s="23">
        <v>-537750</v>
      </c>
    </row>
    <row r="1448" spans="1:16" ht="15.75" x14ac:dyDescent="0.25">
      <c r="A1448" s="41" t="s">
        <v>70</v>
      </c>
      <c r="B1448" s="23">
        <v>-8540</v>
      </c>
      <c r="C1448" s="43">
        <v>58135</v>
      </c>
      <c r="D1448" s="23">
        <f t="shared" si="518"/>
        <v>49595</v>
      </c>
      <c r="E1448" s="20">
        <v>0</v>
      </c>
      <c r="F1448" s="23">
        <f t="shared" si="519"/>
        <v>49595</v>
      </c>
      <c r="G1448" s="23">
        <v>-631015</v>
      </c>
      <c r="J1448" s="41" t="s">
        <v>70</v>
      </c>
      <c r="K1448" s="23">
        <v>-15995</v>
      </c>
      <c r="L1448" s="43">
        <v>77280</v>
      </c>
      <c r="M1448" s="23">
        <f t="shared" si="520"/>
        <v>61285</v>
      </c>
      <c r="N1448" s="20">
        <v>0</v>
      </c>
      <c r="O1448" s="23">
        <f t="shared" si="521"/>
        <v>61285</v>
      </c>
      <c r="P1448" s="23">
        <v>-651210</v>
      </c>
    </row>
    <row r="1449" spans="1:16" ht="15.75" x14ac:dyDescent="0.25">
      <c r="A1449" s="41" t="s">
        <v>62</v>
      </c>
      <c r="B1449" s="23">
        <v>5707</v>
      </c>
      <c r="C1449" s="42">
        <v>150420</v>
      </c>
      <c r="D1449" s="23">
        <f t="shared" si="518"/>
        <v>156127</v>
      </c>
      <c r="E1449" s="20">
        <v>0</v>
      </c>
      <c r="F1449" s="23">
        <f t="shared" si="519"/>
        <v>156127</v>
      </c>
      <c r="G1449" s="23">
        <v>-621307.5</v>
      </c>
      <c r="J1449" s="41" t="s">
        <v>62</v>
      </c>
      <c r="K1449" s="23">
        <v>-17737</v>
      </c>
      <c r="L1449" s="42">
        <v>54637.5</v>
      </c>
      <c r="M1449" s="23">
        <f t="shared" si="520"/>
        <v>36900.5</v>
      </c>
      <c r="N1449" s="20">
        <v>0</v>
      </c>
      <c r="O1449" s="23">
        <f t="shared" si="521"/>
        <v>36900.5</v>
      </c>
      <c r="P1449" s="23">
        <v>-596730</v>
      </c>
    </row>
    <row r="1450" spans="1:16" ht="15.75" x14ac:dyDescent="0.25">
      <c r="A1450" s="41" t="s">
        <v>74</v>
      </c>
      <c r="B1450" s="23">
        <v>1987</v>
      </c>
      <c r="C1450" s="42">
        <v>32925</v>
      </c>
      <c r="D1450" s="23">
        <f t="shared" si="518"/>
        <v>34912</v>
      </c>
      <c r="E1450" s="20">
        <v>0</v>
      </c>
      <c r="F1450" s="23">
        <f t="shared" si="519"/>
        <v>34912</v>
      </c>
      <c r="G1450" s="23">
        <v>-584100</v>
      </c>
      <c r="J1450" s="41" t="s">
        <v>74</v>
      </c>
      <c r="K1450" s="23">
        <v>262</v>
      </c>
      <c r="L1450" s="42">
        <v>98250</v>
      </c>
      <c r="M1450" s="23">
        <f t="shared" si="520"/>
        <v>98512</v>
      </c>
      <c r="N1450" s="20">
        <v>0</v>
      </c>
      <c r="O1450" s="23">
        <f t="shared" si="521"/>
        <v>98512</v>
      </c>
      <c r="P1450" s="23">
        <v>-528300</v>
      </c>
    </row>
    <row r="1451" spans="1:16" ht="15.75" x14ac:dyDescent="0.25">
      <c r="A1451" s="41" t="s">
        <v>135</v>
      </c>
      <c r="B1451" s="23">
        <v>-21545</v>
      </c>
      <c r="C1451" s="42">
        <v>12400</v>
      </c>
      <c r="D1451" s="23">
        <f t="shared" si="518"/>
        <v>-9145</v>
      </c>
      <c r="E1451" s="20">
        <v>0</v>
      </c>
      <c r="F1451" s="23">
        <f t="shared" si="519"/>
        <v>-9145</v>
      </c>
      <c r="G1451" s="23">
        <v>0</v>
      </c>
      <c r="J1451" s="41" t="s">
        <v>135</v>
      </c>
      <c r="K1451" s="23"/>
      <c r="L1451" s="42"/>
      <c r="M1451" s="23">
        <f t="shared" si="520"/>
        <v>0</v>
      </c>
      <c r="N1451" s="20">
        <v>0</v>
      </c>
      <c r="O1451" s="23">
        <f t="shared" si="521"/>
        <v>0</v>
      </c>
      <c r="P1451" s="23"/>
    </row>
    <row r="1452" spans="1:16" ht="15.75" x14ac:dyDescent="0.25">
      <c r="A1452" s="21" t="s">
        <v>107</v>
      </c>
      <c r="B1452" s="22">
        <f>SUM(B1439:B1451)</f>
        <v>-308309</v>
      </c>
      <c r="C1452" s="18">
        <f>SUM(C1439:C1451)</f>
        <v>684137.5</v>
      </c>
      <c r="D1452" s="23">
        <f>SUM(D1439:D1451)</f>
        <v>375828.5</v>
      </c>
      <c r="E1452" s="18">
        <f>SUM(E1439:E1451)</f>
        <v>0</v>
      </c>
      <c r="F1452" s="23">
        <f t="shared" si="519"/>
        <v>375828.5</v>
      </c>
      <c r="G1452" s="17">
        <f>SUM(G1439:G1451)</f>
        <v>-7046240</v>
      </c>
      <c r="J1452" s="21" t="s">
        <v>107</v>
      </c>
      <c r="K1452" s="22">
        <f>SUM(K1439:K1451)</f>
        <v>-264491</v>
      </c>
      <c r="L1452" s="18">
        <f>SUM(L1439:L1451)</f>
        <v>716468.75</v>
      </c>
      <c r="M1452" s="23">
        <f>SUM(M1439:M1451)</f>
        <v>451977.75</v>
      </c>
      <c r="N1452" s="18">
        <f>SUM(N1439:N1451)</f>
        <v>0</v>
      </c>
      <c r="O1452" s="23">
        <f t="shared" si="521"/>
        <v>451977.75</v>
      </c>
      <c r="P1452" s="17">
        <f>SUM(P1439:P1451)</f>
        <v>-7432792.5</v>
      </c>
    </row>
    <row r="1455" spans="1:16" ht="15.75" x14ac:dyDescent="0.25">
      <c r="A1455" s="107">
        <v>45252</v>
      </c>
      <c r="B1455" s="108"/>
      <c r="C1455" s="108"/>
      <c r="D1455" s="108"/>
      <c r="E1455" s="108"/>
      <c r="F1455" s="108"/>
      <c r="G1455" s="109"/>
      <c r="J1455" s="107">
        <v>45253</v>
      </c>
      <c r="K1455" s="108"/>
      <c r="L1455" s="108"/>
      <c r="M1455" s="108"/>
      <c r="N1455" s="108"/>
      <c r="O1455" s="108"/>
      <c r="P1455" s="109"/>
    </row>
    <row r="1456" spans="1:16" ht="15.75" x14ac:dyDescent="0.25">
      <c r="A1456" s="22" t="s">
        <v>34</v>
      </c>
      <c r="B1456" s="22" t="s">
        <v>104</v>
      </c>
      <c r="C1456" s="22" t="s">
        <v>105</v>
      </c>
      <c r="D1456" s="22" t="s">
        <v>112</v>
      </c>
      <c r="E1456" s="22" t="s">
        <v>106</v>
      </c>
      <c r="F1456" s="21" t="s">
        <v>108</v>
      </c>
      <c r="G1456" s="21" t="s">
        <v>28</v>
      </c>
      <c r="J1456" s="22" t="s">
        <v>34</v>
      </c>
      <c r="K1456" s="22" t="s">
        <v>104</v>
      </c>
      <c r="L1456" s="22" t="s">
        <v>105</v>
      </c>
      <c r="M1456" s="22" t="s">
        <v>112</v>
      </c>
      <c r="N1456" s="22" t="s">
        <v>106</v>
      </c>
      <c r="O1456" s="21" t="s">
        <v>108</v>
      </c>
      <c r="P1456" s="21" t="s">
        <v>28</v>
      </c>
    </row>
    <row r="1457" spans="1:16" ht="15.75" x14ac:dyDescent="0.25">
      <c r="A1457" s="41" t="s">
        <v>76</v>
      </c>
      <c r="B1457" s="23">
        <v>-35370</v>
      </c>
      <c r="C1457" s="42">
        <v>125010</v>
      </c>
      <c r="D1457" s="23">
        <f t="shared" ref="D1457:D1469" si="522">+C1457+B1457</f>
        <v>89640</v>
      </c>
      <c r="E1457" s="20">
        <v>18900</v>
      </c>
      <c r="F1457" s="23">
        <f t="shared" ref="F1457:F1470" si="523">+B1457+C1457-E1457</f>
        <v>70740</v>
      </c>
      <c r="G1457" s="23">
        <v>-531090</v>
      </c>
      <c r="J1457" s="41" t="s">
        <v>76</v>
      </c>
      <c r="K1457" s="23">
        <v>-34290</v>
      </c>
      <c r="L1457" s="42">
        <v>99900</v>
      </c>
      <c r="M1457" s="23">
        <f t="shared" ref="M1457:M1469" si="524">+L1457+K1457</f>
        <v>65610</v>
      </c>
      <c r="N1457" s="20">
        <v>31320</v>
      </c>
      <c r="O1457" s="23">
        <f t="shared" ref="O1457:O1470" si="525">+K1457+L1457-N1457</f>
        <v>34290</v>
      </c>
      <c r="P1457" s="23">
        <v>-619110</v>
      </c>
    </row>
    <row r="1458" spans="1:16" ht="15.75" x14ac:dyDescent="0.25">
      <c r="A1458" s="41" t="s">
        <v>17</v>
      </c>
      <c r="B1458" s="23">
        <v>17412</v>
      </c>
      <c r="C1458" s="42">
        <v>85737.5</v>
      </c>
      <c r="D1458" s="23">
        <f t="shared" si="522"/>
        <v>103149.5</v>
      </c>
      <c r="E1458" s="20">
        <v>26250</v>
      </c>
      <c r="F1458" s="23">
        <f t="shared" si="523"/>
        <v>76899.5</v>
      </c>
      <c r="G1458" s="23">
        <v>-609975</v>
      </c>
      <c r="J1458" s="41" t="s">
        <v>17</v>
      </c>
      <c r="K1458" s="23">
        <v>44445</v>
      </c>
      <c r="L1458" s="42">
        <v>68225</v>
      </c>
      <c r="M1458" s="23">
        <f t="shared" si="524"/>
        <v>112670</v>
      </c>
      <c r="N1458" s="20">
        <v>23037.5</v>
      </c>
      <c r="O1458" s="23">
        <f t="shared" si="525"/>
        <v>89632.5</v>
      </c>
      <c r="P1458" s="23">
        <v>-617937.5</v>
      </c>
    </row>
    <row r="1459" spans="1:16" ht="15.75" x14ac:dyDescent="0.25">
      <c r="A1459" s="41" t="s">
        <v>71</v>
      </c>
      <c r="B1459" s="23">
        <v>2890</v>
      </c>
      <c r="C1459" s="42">
        <v>53635</v>
      </c>
      <c r="D1459" s="23">
        <f t="shared" si="522"/>
        <v>56525</v>
      </c>
      <c r="E1459" s="20">
        <v>-10965</v>
      </c>
      <c r="F1459" s="23">
        <f t="shared" si="523"/>
        <v>67490</v>
      </c>
      <c r="G1459" s="23">
        <v>-622370</v>
      </c>
      <c r="J1459" s="41" t="s">
        <v>71</v>
      </c>
      <c r="K1459" s="23">
        <v>-6630</v>
      </c>
      <c r="L1459" s="42">
        <v>108630</v>
      </c>
      <c r="M1459" s="23">
        <f t="shared" si="524"/>
        <v>102000</v>
      </c>
      <c r="N1459" s="20">
        <v>25075</v>
      </c>
      <c r="O1459" s="23">
        <f t="shared" si="525"/>
        <v>76925</v>
      </c>
      <c r="P1459" s="23">
        <v>-535415</v>
      </c>
    </row>
    <row r="1460" spans="1:16" ht="15.75" x14ac:dyDescent="0.25">
      <c r="A1460" s="41" t="s">
        <v>61</v>
      </c>
      <c r="B1460" s="23">
        <v>-73040</v>
      </c>
      <c r="C1460" s="42">
        <v>-111760</v>
      </c>
      <c r="D1460" s="23">
        <f t="shared" si="522"/>
        <v>-184800</v>
      </c>
      <c r="E1460" s="20">
        <v>1705</v>
      </c>
      <c r="F1460" s="23">
        <f t="shared" si="523"/>
        <v>-186505</v>
      </c>
      <c r="G1460" s="23">
        <v>-501930</v>
      </c>
      <c r="J1460" s="41" t="s">
        <v>61</v>
      </c>
      <c r="K1460" s="23">
        <v>13860</v>
      </c>
      <c r="L1460" s="42">
        <v>31020.000000000015</v>
      </c>
      <c r="M1460" s="23">
        <f t="shared" si="524"/>
        <v>44880.000000000015</v>
      </c>
      <c r="N1460" s="20">
        <v>22935</v>
      </c>
      <c r="O1460" s="23">
        <f t="shared" si="525"/>
        <v>21945.000000000015</v>
      </c>
      <c r="P1460" s="23">
        <v>-570680</v>
      </c>
    </row>
    <row r="1461" spans="1:16" ht="15.75" x14ac:dyDescent="0.25">
      <c r="A1461" s="41" t="s">
        <v>94</v>
      </c>
      <c r="B1461" s="23">
        <v>-11375</v>
      </c>
      <c r="C1461" s="42">
        <v>44125</v>
      </c>
      <c r="D1461" s="23">
        <f t="shared" si="522"/>
        <v>32750</v>
      </c>
      <c r="E1461" s="20">
        <v>-875</v>
      </c>
      <c r="F1461" s="23">
        <f t="shared" si="523"/>
        <v>33625</v>
      </c>
      <c r="G1461" s="20">
        <v>-574000</v>
      </c>
      <c r="J1461" s="41" t="s">
        <v>94</v>
      </c>
      <c r="K1461" s="23">
        <v>7125</v>
      </c>
      <c r="L1461" s="42">
        <v>175250</v>
      </c>
      <c r="M1461" s="23">
        <f t="shared" si="524"/>
        <v>182375</v>
      </c>
      <c r="N1461" s="20">
        <v>7750</v>
      </c>
      <c r="O1461" s="23">
        <f t="shared" si="525"/>
        <v>174625</v>
      </c>
      <c r="P1461" s="20">
        <v>-535500</v>
      </c>
    </row>
    <row r="1462" spans="1:16" ht="15.75" x14ac:dyDescent="0.25">
      <c r="A1462" s="41" t="s">
        <v>54</v>
      </c>
      <c r="B1462" s="23">
        <v>-27250</v>
      </c>
      <c r="C1462" s="42">
        <v>176350</v>
      </c>
      <c r="D1462" s="23">
        <f t="shared" si="522"/>
        <v>149100</v>
      </c>
      <c r="E1462" s="20">
        <v>23350</v>
      </c>
      <c r="F1462" s="23">
        <f t="shared" si="523"/>
        <v>125750</v>
      </c>
      <c r="G1462" s="23">
        <v>-596100</v>
      </c>
      <c r="J1462" s="41" t="s">
        <v>54</v>
      </c>
      <c r="K1462" s="23">
        <v>-34700</v>
      </c>
      <c r="L1462" s="42">
        <v>222900</v>
      </c>
      <c r="M1462" s="23">
        <f t="shared" si="524"/>
        <v>188200</v>
      </c>
      <c r="N1462" s="20">
        <v>-1550</v>
      </c>
      <c r="O1462" s="23">
        <f t="shared" si="525"/>
        <v>189750</v>
      </c>
      <c r="P1462" s="23">
        <v>-499500</v>
      </c>
    </row>
    <row r="1463" spans="1:16" ht="15.75" x14ac:dyDescent="0.25">
      <c r="A1463" s="41" t="s">
        <v>82</v>
      </c>
      <c r="B1463" s="23">
        <v>-11946</v>
      </c>
      <c r="C1463" s="42">
        <v>118108.75000000001</v>
      </c>
      <c r="D1463" s="23">
        <f t="shared" si="522"/>
        <v>106162.75000000001</v>
      </c>
      <c r="E1463" s="20">
        <v>79752.5</v>
      </c>
      <c r="F1463" s="23">
        <f t="shared" si="523"/>
        <v>26410.250000000015</v>
      </c>
      <c r="G1463" s="23">
        <v>-683810</v>
      </c>
      <c r="J1463" s="41" t="s">
        <v>82</v>
      </c>
      <c r="K1463" s="23">
        <v>-70442</v>
      </c>
      <c r="L1463" s="42">
        <v>96235</v>
      </c>
      <c r="M1463" s="23">
        <f t="shared" si="524"/>
        <v>25793</v>
      </c>
      <c r="N1463" s="20">
        <v>45267.5</v>
      </c>
      <c r="O1463" s="23">
        <f t="shared" si="525"/>
        <v>-19474.5</v>
      </c>
      <c r="P1463" s="23">
        <v>-627760</v>
      </c>
    </row>
    <row r="1464" spans="1:16" ht="15.75" x14ac:dyDescent="0.25">
      <c r="A1464" s="41" t="s">
        <v>96</v>
      </c>
      <c r="B1464" s="23">
        <v>3543</v>
      </c>
      <c r="C1464" s="42">
        <v>1793.75</v>
      </c>
      <c r="D1464" s="23">
        <f t="shared" si="522"/>
        <v>5336.75</v>
      </c>
      <c r="E1464" s="20">
        <v>-6518.75</v>
      </c>
      <c r="F1464" s="23">
        <f t="shared" si="523"/>
        <v>11855.5</v>
      </c>
      <c r="G1464" s="23">
        <v>-694925</v>
      </c>
      <c r="J1464" s="41" t="s">
        <v>96</v>
      </c>
      <c r="K1464" s="23">
        <v>-10675</v>
      </c>
      <c r="L1464" s="42">
        <v>77525</v>
      </c>
      <c r="M1464" s="23">
        <f t="shared" si="524"/>
        <v>66850</v>
      </c>
      <c r="N1464" s="20">
        <v>19600</v>
      </c>
      <c r="O1464" s="23">
        <f t="shared" si="525"/>
        <v>47250</v>
      </c>
      <c r="P1464" s="23">
        <v>-555450</v>
      </c>
    </row>
    <row r="1465" spans="1:16" ht="15.75" x14ac:dyDescent="0.25">
      <c r="A1465" s="41" t="s">
        <v>97</v>
      </c>
      <c r="B1465" s="23">
        <v>4625</v>
      </c>
      <c r="C1465" s="42">
        <v>78625</v>
      </c>
      <c r="D1465" s="23">
        <f t="shared" si="522"/>
        <v>83250</v>
      </c>
      <c r="E1465" s="20">
        <v>31125</v>
      </c>
      <c r="F1465" s="23">
        <f t="shared" si="523"/>
        <v>52125</v>
      </c>
      <c r="G1465" s="23">
        <v>-513000</v>
      </c>
      <c r="J1465" s="41" t="s">
        <v>97</v>
      </c>
      <c r="K1465" s="23">
        <v>-56375</v>
      </c>
      <c r="L1465" s="42">
        <v>98312.5</v>
      </c>
      <c r="M1465" s="23">
        <f t="shared" si="524"/>
        <v>41937.5</v>
      </c>
      <c r="N1465" s="20">
        <v>4625</v>
      </c>
      <c r="O1465" s="23">
        <f t="shared" si="525"/>
        <v>37312.5</v>
      </c>
      <c r="P1465" s="23">
        <v>-615500</v>
      </c>
    </row>
    <row r="1466" spans="1:16" ht="15.75" x14ac:dyDescent="0.25">
      <c r="A1466" s="41" t="s">
        <v>70</v>
      </c>
      <c r="B1466" s="23">
        <v>-74305</v>
      </c>
      <c r="C1466" s="43">
        <v>228900</v>
      </c>
      <c r="D1466" s="23">
        <f t="shared" si="522"/>
        <v>154595</v>
      </c>
      <c r="E1466" s="20">
        <v>5845</v>
      </c>
      <c r="F1466" s="23">
        <f t="shared" si="523"/>
        <v>148750</v>
      </c>
      <c r="G1466" s="23">
        <v>-513555</v>
      </c>
      <c r="J1466" s="41" t="s">
        <v>70</v>
      </c>
      <c r="K1466" s="23">
        <v>8225</v>
      </c>
      <c r="L1466" s="43">
        <v>167475</v>
      </c>
      <c r="M1466" s="23">
        <f t="shared" si="524"/>
        <v>175700</v>
      </c>
      <c r="N1466" s="20">
        <v>70035</v>
      </c>
      <c r="O1466" s="23">
        <f t="shared" si="525"/>
        <v>105665</v>
      </c>
      <c r="P1466" s="23">
        <v>-578270</v>
      </c>
    </row>
    <row r="1467" spans="1:16" ht="15.75" x14ac:dyDescent="0.25">
      <c r="A1467" s="41" t="s">
        <v>62</v>
      </c>
      <c r="B1467" s="23">
        <v>-22597</v>
      </c>
      <c r="C1467" s="42">
        <v>77092.5</v>
      </c>
      <c r="D1467" s="23">
        <f t="shared" si="522"/>
        <v>54495.5</v>
      </c>
      <c r="E1467" s="20">
        <v>-33907.5</v>
      </c>
      <c r="F1467" s="23">
        <f t="shared" si="523"/>
        <v>88403</v>
      </c>
      <c r="G1467" s="23">
        <v>-551160</v>
      </c>
      <c r="J1467" s="41" t="s">
        <v>62</v>
      </c>
      <c r="K1467" s="23">
        <v>224775</v>
      </c>
      <c r="L1467" s="42">
        <v>-195712.5</v>
      </c>
      <c r="M1467" s="23">
        <f t="shared" si="524"/>
        <v>29062.5</v>
      </c>
      <c r="N1467" s="20">
        <v>-40335</v>
      </c>
      <c r="O1467" s="23">
        <f t="shared" si="525"/>
        <v>69397.5</v>
      </c>
      <c r="P1467" s="23">
        <v>-496140</v>
      </c>
    </row>
    <row r="1468" spans="1:16" ht="15.75" x14ac:dyDescent="0.25">
      <c r="A1468" s="41" t="s">
        <v>74</v>
      </c>
      <c r="B1468" s="23">
        <v>65325</v>
      </c>
      <c r="C1468" s="42">
        <v>36225</v>
      </c>
      <c r="D1468" s="23">
        <f t="shared" si="522"/>
        <v>101550</v>
      </c>
      <c r="E1468" s="20">
        <v>-27225</v>
      </c>
      <c r="F1468" s="23">
        <f t="shared" si="523"/>
        <v>128775</v>
      </c>
      <c r="G1468" s="23">
        <v>-500850</v>
      </c>
      <c r="J1468" s="41" t="s">
        <v>74</v>
      </c>
      <c r="K1468" s="23">
        <v>34275</v>
      </c>
      <c r="L1468" s="42">
        <v>53175</v>
      </c>
      <c r="M1468" s="23">
        <f t="shared" si="524"/>
        <v>87450</v>
      </c>
      <c r="N1468" s="20">
        <v>12225</v>
      </c>
      <c r="O1468" s="23">
        <f t="shared" si="525"/>
        <v>75225</v>
      </c>
      <c r="P1468" s="23">
        <v>-499500</v>
      </c>
    </row>
    <row r="1469" spans="1:16" ht="15.75" x14ac:dyDescent="0.25">
      <c r="A1469" s="41" t="s">
        <v>135</v>
      </c>
      <c r="B1469" s="23"/>
      <c r="C1469" s="42"/>
      <c r="D1469" s="23">
        <f t="shared" si="522"/>
        <v>0</v>
      </c>
      <c r="E1469" s="20">
        <v>0</v>
      </c>
      <c r="F1469" s="23">
        <f t="shared" si="523"/>
        <v>0</v>
      </c>
      <c r="G1469" s="23"/>
      <c r="J1469" s="41" t="s">
        <v>135</v>
      </c>
      <c r="K1469" s="23"/>
      <c r="L1469" s="42"/>
      <c r="M1469" s="23">
        <f t="shared" si="524"/>
        <v>0</v>
      </c>
      <c r="N1469" s="20"/>
      <c r="O1469" s="23">
        <f t="shared" si="525"/>
        <v>0</v>
      </c>
      <c r="P1469" s="23"/>
    </row>
    <row r="1470" spans="1:16" ht="15.75" x14ac:dyDescent="0.25">
      <c r="A1470" s="21" t="s">
        <v>107</v>
      </c>
      <c r="B1470" s="22">
        <f>SUM(B1457:B1469)</f>
        <v>-162088</v>
      </c>
      <c r="C1470" s="18">
        <f>SUM(C1457:C1469)</f>
        <v>913842.5</v>
      </c>
      <c r="D1470" s="23">
        <f>SUM(D1457:D1469)</f>
        <v>751754.5</v>
      </c>
      <c r="E1470" s="18">
        <f>SUM(E1457:E1469)</f>
        <v>107436.25</v>
      </c>
      <c r="F1470" s="23">
        <f t="shared" si="523"/>
        <v>644318.25</v>
      </c>
      <c r="G1470" s="17">
        <f>SUM(G1457:G1469)</f>
        <v>-6892765</v>
      </c>
      <c r="J1470" s="21" t="s">
        <v>107</v>
      </c>
      <c r="K1470" s="22">
        <f>SUM(K1457:K1469)</f>
        <v>119593</v>
      </c>
      <c r="L1470" s="18">
        <f>SUM(L1457:L1469)</f>
        <v>1002935</v>
      </c>
      <c r="M1470" s="23">
        <f>SUM(M1457:M1469)</f>
        <v>1122528</v>
      </c>
      <c r="N1470" s="18">
        <f>SUM(N1457:N1469)</f>
        <v>219985</v>
      </c>
      <c r="O1470" s="23">
        <f t="shared" si="525"/>
        <v>902543</v>
      </c>
      <c r="P1470" s="17">
        <f>SUM(P1457:P1469)</f>
        <v>-6750762.5</v>
      </c>
    </row>
    <row r="1473" spans="1:16" ht="15.75" x14ac:dyDescent="0.25">
      <c r="A1473" s="107">
        <v>45254</v>
      </c>
      <c r="B1473" s="108"/>
      <c r="C1473" s="108"/>
      <c r="D1473" s="108"/>
      <c r="E1473" s="108"/>
      <c r="F1473" s="108"/>
      <c r="G1473" s="109"/>
      <c r="J1473" s="107">
        <v>45258</v>
      </c>
      <c r="K1473" s="108"/>
      <c r="L1473" s="108"/>
      <c r="M1473" s="108"/>
      <c r="N1473" s="108"/>
      <c r="O1473" s="108"/>
      <c r="P1473" s="109"/>
    </row>
    <row r="1474" spans="1:16" ht="15.75" x14ac:dyDescent="0.25">
      <c r="A1474" s="22" t="s">
        <v>34</v>
      </c>
      <c r="B1474" s="22" t="s">
        <v>104</v>
      </c>
      <c r="C1474" s="22" t="s">
        <v>105</v>
      </c>
      <c r="D1474" s="22" t="s">
        <v>112</v>
      </c>
      <c r="E1474" s="22" t="s">
        <v>106</v>
      </c>
      <c r="F1474" s="21" t="s">
        <v>108</v>
      </c>
      <c r="G1474" s="21" t="s">
        <v>28</v>
      </c>
      <c r="J1474" s="22" t="s">
        <v>34</v>
      </c>
      <c r="K1474" s="22" t="s">
        <v>104</v>
      </c>
      <c r="L1474" s="22" t="s">
        <v>105</v>
      </c>
      <c r="M1474" s="22" t="s">
        <v>112</v>
      </c>
      <c r="N1474" s="22" t="s">
        <v>106</v>
      </c>
      <c r="O1474" s="21" t="s">
        <v>108</v>
      </c>
      <c r="P1474" s="21" t="s">
        <v>28</v>
      </c>
    </row>
    <row r="1475" spans="1:16" ht="15.75" x14ac:dyDescent="0.25">
      <c r="A1475" s="41" t="s">
        <v>76</v>
      </c>
      <c r="B1475" s="23">
        <v>244080</v>
      </c>
      <c r="C1475" s="42">
        <v>-191430</v>
      </c>
      <c r="D1475" s="23">
        <f t="shared" ref="D1475:D1487" si="526">+C1475+B1475</f>
        <v>52650</v>
      </c>
      <c r="E1475" s="20">
        <v>8100</v>
      </c>
      <c r="F1475" s="23">
        <f t="shared" ref="F1475:F1488" si="527">+B1475+C1475-E1475</f>
        <v>44550</v>
      </c>
      <c r="G1475" s="23">
        <v>-192780</v>
      </c>
      <c r="J1475" s="41" t="s">
        <v>76</v>
      </c>
      <c r="K1475" s="23">
        <v>54540</v>
      </c>
      <c r="L1475" s="42">
        <v>6749.9999999999854</v>
      </c>
      <c r="M1475" s="23">
        <f t="shared" ref="M1475:M1484" si="528">+L1475+K1475</f>
        <v>61289.999999999985</v>
      </c>
      <c r="N1475" s="20">
        <v>20790</v>
      </c>
      <c r="O1475" s="23">
        <f t="shared" ref="O1475:O1485" si="529">+K1475+L1475-N1475</f>
        <v>40499.999999999985</v>
      </c>
      <c r="P1475" s="23">
        <v>0</v>
      </c>
    </row>
    <row r="1476" spans="1:16" ht="15.75" x14ac:dyDescent="0.25">
      <c r="A1476" s="41" t="s">
        <v>17</v>
      </c>
      <c r="B1476" s="23">
        <v>67887</v>
      </c>
      <c r="C1476" s="42">
        <v>-55075</v>
      </c>
      <c r="D1476" s="23">
        <f t="shared" si="526"/>
        <v>12812</v>
      </c>
      <c r="E1476" s="20">
        <v>1912.5</v>
      </c>
      <c r="F1476" s="23">
        <f t="shared" si="527"/>
        <v>10899.5</v>
      </c>
      <c r="G1476" s="23">
        <v>0</v>
      </c>
      <c r="J1476" s="41" t="s">
        <v>71</v>
      </c>
      <c r="K1476" s="23">
        <v>-10965</v>
      </c>
      <c r="L1476" s="42">
        <v>52615</v>
      </c>
      <c r="M1476" s="23">
        <f t="shared" si="528"/>
        <v>41650</v>
      </c>
      <c r="N1476" s="20">
        <v>12240.000000000002</v>
      </c>
      <c r="O1476" s="23">
        <f t="shared" si="529"/>
        <v>29410</v>
      </c>
      <c r="P1476" s="23">
        <v>0</v>
      </c>
    </row>
    <row r="1477" spans="1:16" ht="15.75" x14ac:dyDescent="0.25">
      <c r="A1477" s="41" t="s">
        <v>71</v>
      </c>
      <c r="B1477" s="23">
        <v>-1020</v>
      </c>
      <c r="C1477" s="42">
        <v>-13345</v>
      </c>
      <c r="D1477" s="23">
        <f t="shared" si="526"/>
        <v>-14365</v>
      </c>
      <c r="E1477" s="20">
        <v>-4760</v>
      </c>
      <c r="F1477" s="23">
        <f t="shared" si="527"/>
        <v>-9605</v>
      </c>
      <c r="G1477" s="23">
        <v>-238955</v>
      </c>
      <c r="J1477" s="41" t="s">
        <v>61</v>
      </c>
      <c r="K1477" s="23">
        <v>24860</v>
      </c>
      <c r="L1477" s="42">
        <v>19965</v>
      </c>
      <c r="M1477" s="23">
        <f t="shared" si="528"/>
        <v>44825</v>
      </c>
      <c r="N1477" s="20">
        <v>45485</v>
      </c>
      <c r="O1477" s="23">
        <f t="shared" si="529"/>
        <v>-660</v>
      </c>
      <c r="P1477" s="23">
        <v>0</v>
      </c>
    </row>
    <row r="1478" spans="1:16" ht="15.75" x14ac:dyDescent="0.25">
      <c r="A1478" s="41" t="s">
        <v>61</v>
      </c>
      <c r="B1478" s="23">
        <v>-30690</v>
      </c>
      <c r="C1478" s="42">
        <v>207405</v>
      </c>
      <c r="D1478" s="23">
        <f t="shared" si="526"/>
        <v>176715</v>
      </c>
      <c r="E1478" s="20">
        <v>34210.000000000007</v>
      </c>
      <c r="F1478" s="23">
        <f t="shared" si="527"/>
        <v>142505</v>
      </c>
      <c r="G1478" s="23">
        <v>-405240</v>
      </c>
      <c r="J1478" s="41" t="s">
        <v>94</v>
      </c>
      <c r="K1478" s="23">
        <v>16500</v>
      </c>
      <c r="L1478" s="42">
        <v>15375.00000000004</v>
      </c>
      <c r="M1478" s="23">
        <f t="shared" si="528"/>
        <v>31875.00000000004</v>
      </c>
      <c r="N1478" s="20">
        <v>68875</v>
      </c>
      <c r="O1478" s="23">
        <f t="shared" si="529"/>
        <v>-36999.999999999956</v>
      </c>
      <c r="P1478" s="20">
        <v>0</v>
      </c>
    </row>
    <row r="1479" spans="1:16" ht="15.75" x14ac:dyDescent="0.25">
      <c r="A1479" s="41" t="s">
        <v>94</v>
      </c>
      <c r="B1479" s="23">
        <v>-47000</v>
      </c>
      <c r="C1479" s="42">
        <v>217625</v>
      </c>
      <c r="D1479" s="23">
        <f t="shared" si="526"/>
        <v>170625</v>
      </c>
      <c r="E1479" s="20">
        <v>27375</v>
      </c>
      <c r="F1479" s="23">
        <f t="shared" si="527"/>
        <v>143250</v>
      </c>
      <c r="G1479" s="20">
        <v>-459500</v>
      </c>
      <c r="J1479" s="41" t="s">
        <v>54</v>
      </c>
      <c r="K1479" s="23">
        <v>35100</v>
      </c>
      <c r="L1479" s="42">
        <v>62150</v>
      </c>
      <c r="M1479" s="23">
        <f t="shared" si="528"/>
        <v>97250</v>
      </c>
      <c r="N1479" s="20">
        <v>-13950</v>
      </c>
      <c r="O1479" s="23">
        <f t="shared" si="529"/>
        <v>111200</v>
      </c>
      <c r="P1479" s="23">
        <v>0</v>
      </c>
    </row>
    <row r="1480" spans="1:16" ht="15.75" x14ac:dyDescent="0.25">
      <c r="A1480" s="41" t="s">
        <v>54</v>
      </c>
      <c r="B1480" s="23">
        <v>-43000</v>
      </c>
      <c r="C1480" s="42">
        <v>46100</v>
      </c>
      <c r="D1480" s="23">
        <f t="shared" si="526"/>
        <v>3100</v>
      </c>
      <c r="E1480" s="20">
        <v>75800</v>
      </c>
      <c r="F1480" s="23">
        <f t="shared" si="527"/>
        <v>-72700</v>
      </c>
      <c r="G1480" s="23">
        <v>-221750</v>
      </c>
      <c r="J1480" s="41" t="s">
        <v>82</v>
      </c>
      <c r="K1480" s="23">
        <v>-67877</v>
      </c>
      <c r="L1480" s="42">
        <v>78446.25</v>
      </c>
      <c r="M1480" s="23">
        <f t="shared" si="528"/>
        <v>10569.25</v>
      </c>
      <c r="N1480" s="20">
        <v>2042.5</v>
      </c>
      <c r="O1480" s="23">
        <f t="shared" si="529"/>
        <v>8526.75</v>
      </c>
      <c r="P1480" s="23">
        <v>0</v>
      </c>
    </row>
    <row r="1481" spans="1:16" ht="15.75" x14ac:dyDescent="0.25">
      <c r="A1481" s="41" t="s">
        <v>82</v>
      </c>
      <c r="B1481" s="23">
        <v>-68495</v>
      </c>
      <c r="C1481" s="42">
        <v>55741.25</v>
      </c>
      <c r="D1481" s="23">
        <f t="shared" si="526"/>
        <v>-12753.75</v>
      </c>
      <c r="E1481" s="20">
        <v>-27502.5</v>
      </c>
      <c r="F1481" s="23">
        <f t="shared" si="527"/>
        <v>14748.75</v>
      </c>
      <c r="G1481" s="23">
        <v>-180666.25</v>
      </c>
      <c r="J1481" s="41" t="s">
        <v>96</v>
      </c>
      <c r="K1481" s="23">
        <v>-140437</v>
      </c>
      <c r="L1481" s="42">
        <v>226100.00000000003</v>
      </c>
      <c r="M1481" s="23">
        <f t="shared" si="528"/>
        <v>85663.000000000029</v>
      </c>
      <c r="N1481" s="20">
        <v>-42350</v>
      </c>
      <c r="O1481" s="23">
        <f t="shared" si="529"/>
        <v>128013.00000000003</v>
      </c>
      <c r="P1481" s="23">
        <v>0</v>
      </c>
    </row>
    <row r="1482" spans="1:16" ht="15.75" x14ac:dyDescent="0.25">
      <c r="A1482" s="41" t="s">
        <v>96</v>
      </c>
      <c r="B1482" s="23">
        <v>55125</v>
      </c>
      <c r="C1482" s="42">
        <v>-29137.500000000058</v>
      </c>
      <c r="D1482" s="23">
        <f t="shared" si="526"/>
        <v>25987.499999999942</v>
      </c>
      <c r="E1482" s="20">
        <v>-11987.5</v>
      </c>
      <c r="F1482" s="23">
        <f t="shared" si="527"/>
        <v>37974.999999999942</v>
      </c>
      <c r="G1482" s="23">
        <v>-395675</v>
      </c>
      <c r="J1482" s="41" t="s">
        <v>97</v>
      </c>
      <c r="K1482" s="23">
        <v>-68875</v>
      </c>
      <c r="L1482" s="42">
        <v>123750</v>
      </c>
      <c r="M1482" s="23">
        <f t="shared" si="528"/>
        <v>54875</v>
      </c>
      <c r="N1482" s="20">
        <v>61875</v>
      </c>
      <c r="O1482" s="23">
        <f t="shared" si="529"/>
        <v>-7000</v>
      </c>
      <c r="P1482" s="23">
        <v>0</v>
      </c>
    </row>
    <row r="1483" spans="1:16" ht="15.75" x14ac:dyDescent="0.25">
      <c r="A1483" s="41" t="s">
        <v>97</v>
      </c>
      <c r="B1483" s="23">
        <v>-104937</v>
      </c>
      <c r="C1483" s="42">
        <v>324062.5</v>
      </c>
      <c r="D1483" s="23">
        <f t="shared" si="526"/>
        <v>219125.5</v>
      </c>
      <c r="E1483" s="20">
        <v>-10000</v>
      </c>
      <c r="F1483" s="23">
        <f t="shared" si="527"/>
        <v>229125.5</v>
      </c>
      <c r="G1483" s="23">
        <v>-314725</v>
      </c>
      <c r="J1483" s="41" t="s">
        <v>74</v>
      </c>
      <c r="K1483" s="23">
        <v>22462</v>
      </c>
      <c r="L1483" s="42">
        <v>10950.000000000058</v>
      </c>
      <c r="M1483" s="23">
        <f t="shared" si="528"/>
        <v>33412.000000000058</v>
      </c>
      <c r="N1483" s="20">
        <v>-64800</v>
      </c>
      <c r="O1483" s="23">
        <f t="shared" si="529"/>
        <v>98212.000000000058</v>
      </c>
      <c r="P1483" s="23">
        <v>0</v>
      </c>
    </row>
    <row r="1484" spans="1:16" ht="15.75" x14ac:dyDescent="0.25">
      <c r="A1484" s="41" t="s">
        <v>70</v>
      </c>
      <c r="B1484" s="23">
        <v>253050</v>
      </c>
      <c r="C1484" s="43">
        <v>-188545</v>
      </c>
      <c r="D1484" s="23">
        <f t="shared" si="526"/>
        <v>64505</v>
      </c>
      <c r="E1484" s="20">
        <v>17290</v>
      </c>
      <c r="F1484" s="23">
        <f t="shared" si="527"/>
        <v>47215</v>
      </c>
      <c r="G1484" s="23">
        <v>0</v>
      </c>
      <c r="J1484" s="41" t="s">
        <v>135</v>
      </c>
      <c r="K1484" s="23">
        <v>30547</v>
      </c>
      <c r="L1484" s="42">
        <v>-74400</v>
      </c>
      <c r="M1484" s="23">
        <f t="shared" si="528"/>
        <v>-43853</v>
      </c>
      <c r="N1484" s="20">
        <v>-9900</v>
      </c>
      <c r="O1484" s="23">
        <f t="shared" si="529"/>
        <v>-33953</v>
      </c>
      <c r="P1484" s="23"/>
    </row>
    <row r="1485" spans="1:16" ht="15.75" x14ac:dyDescent="0.25">
      <c r="A1485" s="41" t="s">
        <v>62</v>
      </c>
      <c r="B1485" s="23">
        <v>-10755</v>
      </c>
      <c r="C1485" s="42">
        <v>66427.5</v>
      </c>
      <c r="D1485" s="23">
        <f t="shared" si="526"/>
        <v>55672.5</v>
      </c>
      <c r="E1485" s="20">
        <v>-23010</v>
      </c>
      <c r="F1485" s="23">
        <f t="shared" si="527"/>
        <v>78682.5</v>
      </c>
      <c r="G1485" s="23">
        <v>0</v>
      </c>
      <c r="J1485" s="21" t="s">
        <v>107</v>
      </c>
      <c r="K1485" s="22">
        <f>SUM(K1475:K1484)</f>
        <v>-104145</v>
      </c>
      <c r="L1485" s="18">
        <f>SUM(L1475:L1484)</f>
        <v>521701.25</v>
      </c>
      <c r="M1485" s="23">
        <f>SUM(M1475:M1484)</f>
        <v>417556.25000000006</v>
      </c>
      <c r="N1485" s="18">
        <f>SUM(N1475:N1484)</f>
        <v>80307.5</v>
      </c>
      <c r="O1485" s="23">
        <f t="shared" si="529"/>
        <v>337248.75</v>
      </c>
      <c r="P1485" s="17">
        <f>SUM(P1475:P1484)</f>
        <v>0</v>
      </c>
    </row>
    <row r="1486" spans="1:16" ht="15.75" x14ac:dyDescent="0.25">
      <c r="A1486" s="41" t="s">
        <v>74</v>
      </c>
      <c r="B1486" s="23">
        <v>118650</v>
      </c>
      <c r="C1486" s="42">
        <v>-85575.000000000058</v>
      </c>
      <c r="D1486" s="23">
        <f t="shared" si="526"/>
        <v>33074.999999999942</v>
      </c>
      <c r="E1486" s="20">
        <v>7875</v>
      </c>
      <c r="F1486" s="23">
        <f t="shared" si="527"/>
        <v>25199.999999999942</v>
      </c>
      <c r="G1486" s="23">
        <v>-456750</v>
      </c>
    </row>
    <row r="1487" spans="1:16" ht="15.75" x14ac:dyDescent="0.25">
      <c r="A1487" s="41" t="s">
        <v>135</v>
      </c>
      <c r="B1487" s="23">
        <v>-2500</v>
      </c>
      <c r="C1487" s="42"/>
      <c r="D1487" s="23">
        <f t="shared" si="526"/>
        <v>-2500</v>
      </c>
      <c r="E1487" s="20"/>
      <c r="F1487" s="23">
        <f t="shared" si="527"/>
        <v>-2500</v>
      </c>
      <c r="G1487" s="23"/>
    </row>
    <row r="1488" spans="1:16" ht="15.75" x14ac:dyDescent="0.25">
      <c r="A1488" s="21" t="s">
        <v>107</v>
      </c>
      <c r="B1488" s="22">
        <f>SUM(B1475:B1487)</f>
        <v>430395</v>
      </c>
      <c r="C1488" s="18">
        <f>SUM(C1475:C1487)</f>
        <v>354253.74999999994</v>
      </c>
      <c r="D1488" s="23">
        <f>SUM(D1475:D1487)</f>
        <v>784648.75</v>
      </c>
      <c r="E1488" s="18">
        <f>SUM(E1475:E1487)</f>
        <v>95302.5</v>
      </c>
      <c r="F1488" s="23">
        <f t="shared" si="527"/>
        <v>689346.25</v>
      </c>
      <c r="G1488" s="17">
        <f>SUM(G1475:G1487)</f>
        <v>-2866041.25</v>
      </c>
    </row>
    <row r="1492" spans="1:19" ht="15.75" x14ac:dyDescent="0.25">
      <c r="A1492" s="22" t="s">
        <v>34</v>
      </c>
      <c r="B1492" s="22" t="s">
        <v>147</v>
      </c>
      <c r="C1492" s="22" t="s">
        <v>146</v>
      </c>
      <c r="D1492" s="22" t="s">
        <v>104</v>
      </c>
      <c r="E1492" s="22" t="s">
        <v>105</v>
      </c>
      <c r="F1492" s="22" t="s">
        <v>112</v>
      </c>
      <c r="G1492" s="22" t="s">
        <v>106</v>
      </c>
      <c r="H1492" s="21" t="s">
        <v>108</v>
      </c>
      <c r="I1492" s="21" t="s">
        <v>28</v>
      </c>
      <c r="K1492" s="22" t="s">
        <v>34</v>
      </c>
      <c r="L1492" s="22" t="s">
        <v>147</v>
      </c>
      <c r="M1492" s="22" t="s">
        <v>146</v>
      </c>
      <c r="N1492" s="22" t="s">
        <v>104</v>
      </c>
      <c r="O1492" s="22" t="s">
        <v>105</v>
      </c>
      <c r="P1492" s="22" t="s">
        <v>112</v>
      </c>
      <c r="Q1492" s="22" t="s">
        <v>106</v>
      </c>
      <c r="R1492" s="21" t="s">
        <v>108</v>
      </c>
      <c r="S1492" s="21" t="s">
        <v>28</v>
      </c>
    </row>
    <row r="1493" spans="1:19" ht="15.75" x14ac:dyDescent="0.25">
      <c r="A1493" s="41" t="s">
        <v>17</v>
      </c>
      <c r="B1493" s="50">
        <v>-5000</v>
      </c>
      <c r="C1493" s="50">
        <v>-175</v>
      </c>
      <c r="D1493" s="51">
        <f>+C1493+B1493</f>
        <v>-5175</v>
      </c>
      <c r="E1493" s="42"/>
      <c r="F1493" s="23">
        <f t="shared" ref="F1493:F1512" si="530">+E1493+D1493</f>
        <v>-5175</v>
      </c>
      <c r="G1493" s="20"/>
      <c r="H1493" s="23">
        <f t="shared" ref="H1493:H1513" si="531">+D1493+E1493-G1493</f>
        <v>-5175</v>
      </c>
      <c r="I1493" s="23">
        <v>319375</v>
      </c>
      <c r="K1493" s="41" t="s">
        <v>17</v>
      </c>
      <c r="L1493" s="50">
        <v>-5000</v>
      </c>
      <c r="M1493" s="50">
        <v>-175</v>
      </c>
      <c r="N1493" s="51">
        <f>+M1493+L1493</f>
        <v>-5175</v>
      </c>
      <c r="O1493" s="42"/>
      <c r="P1493" s="23">
        <f t="shared" ref="P1493:P1512" si="532">+O1493+N1493</f>
        <v>-5175</v>
      </c>
      <c r="Q1493" s="20"/>
      <c r="R1493" s="23">
        <f t="shared" ref="R1493:R1513" si="533">+N1493+O1493-Q1493</f>
        <v>-5175</v>
      </c>
      <c r="S1493" s="23">
        <v>319375</v>
      </c>
    </row>
    <row r="1494" spans="1:19" ht="15.75" x14ac:dyDescent="0.25">
      <c r="A1494" s="41" t="s">
        <v>136</v>
      </c>
      <c r="B1494" s="50">
        <v>0</v>
      </c>
      <c r="C1494" s="50">
        <v>-24000</v>
      </c>
      <c r="D1494" s="51">
        <f t="shared" ref="D1494:D1512" si="534">+C1494+B1494</f>
        <v>-24000</v>
      </c>
      <c r="E1494" s="42"/>
      <c r="F1494" s="23">
        <f t="shared" si="530"/>
        <v>-24000</v>
      </c>
      <c r="G1494" s="20"/>
      <c r="H1494" s="23">
        <f t="shared" si="531"/>
        <v>-24000</v>
      </c>
      <c r="I1494" s="23">
        <v>330000</v>
      </c>
      <c r="K1494" s="41" t="s">
        <v>136</v>
      </c>
      <c r="L1494" s="50">
        <v>0</v>
      </c>
      <c r="M1494" s="50">
        <v>-24000</v>
      </c>
      <c r="N1494" s="51">
        <f t="shared" ref="N1494:N1512" si="535">+M1494+L1494</f>
        <v>-24000</v>
      </c>
      <c r="O1494" s="42"/>
      <c r="P1494" s="23">
        <f t="shared" si="532"/>
        <v>-24000</v>
      </c>
      <c r="Q1494" s="20"/>
      <c r="R1494" s="23">
        <f t="shared" si="533"/>
        <v>-24000</v>
      </c>
      <c r="S1494" s="23">
        <v>330000</v>
      </c>
    </row>
    <row r="1495" spans="1:19" ht="15.75" x14ac:dyDescent="0.25">
      <c r="A1495" s="41" t="s">
        <v>137</v>
      </c>
      <c r="B1495" s="50">
        <v>0</v>
      </c>
      <c r="C1495" s="50">
        <v>9625</v>
      </c>
      <c r="D1495" s="51">
        <f t="shared" si="534"/>
        <v>9625</v>
      </c>
      <c r="E1495" s="42"/>
      <c r="F1495" s="23">
        <f t="shared" si="530"/>
        <v>9625</v>
      </c>
      <c r="G1495" s="20"/>
      <c r="H1495" s="23">
        <f t="shared" si="531"/>
        <v>9625</v>
      </c>
      <c r="I1495" s="23">
        <v>221250</v>
      </c>
      <c r="K1495" s="41" t="s">
        <v>137</v>
      </c>
      <c r="L1495" s="50">
        <v>0</v>
      </c>
      <c r="M1495" s="50">
        <v>9625</v>
      </c>
      <c r="N1495" s="51">
        <f t="shared" si="535"/>
        <v>9625</v>
      </c>
      <c r="O1495" s="42"/>
      <c r="P1495" s="23">
        <f t="shared" si="532"/>
        <v>9625</v>
      </c>
      <c r="Q1495" s="20"/>
      <c r="R1495" s="23">
        <f t="shared" si="533"/>
        <v>9625</v>
      </c>
      <c r="S1495" s="23">
        <v>221250</v>
      </c>
    </row>
    <row r="1496" spans="1:19" ht="15.75" x14ac:dyDescent="0.25">
      <c r="A1496" s="41" t="s">
        <v>138</v>
      </c>
      <c r="B1496" s="50">
        <v>-15000</v>
      </c>
      <c r="C1496" s="50">
        <v>8250</v>
      </c>
      <c r="D1496" s="51">
        <f t="shared" si="534"/>
        <v>-6750</v>
      </c>
      <c r="E1496" s="42"/>
      <c r="F1496" s="23">
        <f t="shared" si="530"/>
        <v>-6750</v>
      </c>
      <c r="G1496" s="20"/>
      <c r="H1496" s="23">
        <f t="shared" si="531"/>
        <v>-6750</v>
      </c>
      <c r="I1496" s="23">
        <v>350000</v>
      </c>
      <c r="K1496" s="41" t="s">
        <v>138</v>
      </c>
      <c r="L1496" s="50">
        <v>-15000</v>
      </c>
      <c r="M1496" s="50">
        <v>8250</v>
      </c>
      <c r="N1496" s="51">
        <f t="shared" si="535"/>
        <v>-6750</v>
      </c>
      <c r="O1496" s="42"/>
      <c r="P1496" s="23">
        <f t="shared" si="532"/>
        <v>-6750</v>
      </c>
      <c r="Q1496" s="20"/>
      <c r="R1496" s="23">
        <f t="shared" si="533"/>
        <v>-6750</v>
      </c>
      <c r="S1496" s="23">
        <v>350000</v>
      </c>
    </row>
    <row r="1497" spans="1:19" ht="15.75" x14ac:dyDescent="0.25">
      <c r="A1497" s="41" t="s">
        <v>130</v>
      </c>
      <c r="B1497" s="50">
        <v>-51300</v>
      </c>
      <c r="C1497" s="50">
        <v>41040</v>
      </c>
      <c r="D1497" s="51">
        <f t="shared" si="534"/>
        <v>-10260</v>
      </c>
      <c r="E1497" s="42"/>
      <c r="F1497" s="23">
        <f t="shared" si="530"/>
        <v>-10260</v>
      </c>
      <c r="G1497" s="20"/>
      <c r="H1497" s="23">
        <f t="shared" si="531"/>
        <v>-10260</v>
      </c>
      <c r="I1497" s="20">
        <v>649800</v>
      </c>
      <c r="K1497" s="41" t="s">
        <v>130</v>
      </c>
      <c r="L1497" s="50">
        <v>-51300</v>
      </c>
      <c r="M1497" s="50">
        <v>41040</v>
      </c>
      <c r="N1497" s="51">
        <f t="shared" si="535"/>
        <v>-10260</v>
      </c>
      <c r="O1497" s="42"/>
      <c r="P1497" s="23">
        <f t="shared" si="532"/>
        <v>-10260</v>
      </c>
      <c r="Q1497" s="20"/>
      <c r="R1497" s="23">
        <f t="shared" si="533"/>
        <v>-10260</v>
      </c>
      <c r="S1497" s="20">
        <v>649800</v>
      </c>
    </row>
    <row r="1498" spans="1:19" ht="15.75" x14ac:dyDescent="0.25">
      <c r="A1498" s="41" t="s">
        <v>139</v>
      </c>
      <c r="B1498" s="50">
        <v>0</v>
      </c>
      <c r="C1498" s="50">
        <v>-4200</v>
      </c>
      <c r="D1498" s="51">
        <f t="shared" si="534"/>
        <v>-4200</v>
      </c>
      <c r="E1498" s="42"/>
      <c r="F1498" s="23">
        <f t="shared" si="530"/>
        <v>-4200</v>
      </c>
      <c r="G1498" s="20"/>
      <c r="H1498" s="23">
        <f t="shared" si="531"/>
        <v>-4200</v>
      </c>
      <c r="I1498" s="23">
        <v>850500</v>
      </c>
      <c r="K1498" s="41" t="s">
        <v>139</v>
      </c>
      <c r="L1498" s="50">
        <v>0</v>
      </c>
      <c r="M1498" s="50">
        <v>-4200</v>
      </c>
      <c r="N1498" s="51">
        <f t="shared" si="535"/>
        <v>-4200</v>
      </c>
      <c r="O1498" s="42"/>
      <c r="P1498" s="23">
        <f t="shared" si="532"/>
        <v>-4200</v>
      </c>
      <c r="Q1498" s="20"/>
      <c r="R1498" s="23">
        <f t="shared" si="533"/>
        <v>-4200</v>
      </c>
      <c r="S1498" s="23">
        <v>850500</v>
      </c>
    </row>
    <row r="1499" spans="1:19" ht="15.75" x14ac:dyDescent="0.25">
      <c r="A1499" s="41" t="s">
        <v>67</v>
      </c>
      <c r="B1499" s="50">
        <v>0</v>
      </c>
      <c r="C1499" s="50">
        <v>-27000</v>
      </c>
      <c r="D1499" s="51">
        <f t="shared" si="534"/>
        <v>-27000</v>
      </c>
      <c r="E1499" s="42"/>
      <c r="F1499" s="23">
        <f t="shared" si="530"/>
        <v>-27000</v>
      </c>
      <c r="G1499" s="20"/>
      <c r="H1499" s="23">
        <f t="shared" si="531"/>
        <v>-27000</v>
      </c>
      <c r="I1499" s="23">
        <v>490000</v>
      </c>
      <c r="K1499" s="41" t="s">
        <v>67</v>
      </c>
      <c r="L1499" s="50">
        <v>0</v>
      </c>
      <c r="M1499" s="50">
        <v>-27000</v>
      </c>
      <c r="N1499" s="51">
        <f t="shared" si="535"/>
        <v>-27000</v>
      </c>
      <c r="O1499" s="42"/>
      <c r="P1499" s="23">
        <f t="shared" si="532"/>
        <v>-27000</v>
      </c>
      <c r="Q1499" s="20"/>
      <c r="R1499" s="23">
        <f t="shared" si="533"/>
        <v>-27000</v>
      </c>
      <c r="S1499" s="23">
        <v>490000</v>
      </c>
    </row>
    <row r="1500" spans="1:19" ht="15.75" x14ac:dyDescent="0.25">
      <c r="A1500" s="41" t="s">
        <v>140</v>
      </c>
      <c r="B1500" s="50">
        <v>0</v>
      </c>
      <c r="C1500" s="50">
        <v>-16520</v>
      </c>
      <c r="D1500" s="51">
        <f t="shared" si="534"/>
        <v>-16520</v>
      </c>
      <c r="E1500" s="42"/>
      <c r="F1500" s="23">
        <f t="shared" si="530"/>
        <v>-16520</v>
      </c>
      <c r="G1500" s="20"/>
      <c r="H1500" s="23">
        <f t="shared" si="531"/>
        <v>-16520</v>
      </c>
      <c r="I1500" s="23">
        <v>491400</v>
      </c>
      <c r="K1500" s="41" t="s">
        <v>140</v>
      </c>
      <c r="L1500" s="50">
        <v>0</v>
      </c>
      <c r="M1500" s="50">
        <v>-16520</v>
      </c>
      <c r="N1500" s="51">
        <f t="shared" si="535"/>
        <v>-16520</v>
      </c>
      <c r="O1500" s="42"/>
      <c r="P1500" s="23">
        <f t="shared" si="532"/>
        <v>-16520</v>
      </c>
      <c r="Q1500" s="20"/>
      <c r="R1500" s="23">
        <f t="shared" si="533"/>
        <v>-16520</v>
      </c>
      <c r="S1500" s="23">
        <v>491400</v>
      </c>
    </row>
    <row r="1501" spans="1:19" ht="15.75" x14ac:dyDescent="0.25">
      <c r="A1501" s="41" t="s">
        <v>40</v>
      </c>
      <c r="B1501" s="50">
        <v>-27500</v>
      </c>
      <c r="C1501" s="50">
        <v>-20900</v>
      </c>
      <c r="D1501" s="51">
        <f t="shared" si="534"/>
        <v>-48400</v>
      </c>
      <c r="E1501" s="42"/>
      <c r="F1501" s="23">
        <f t="shared" si="530"/>
        <v>-48400</v>
      </c>
      <c r="G1501" s="20"/>
      <c r="H1501" s="23">
        <f t="shared" si="531"/>
        <v>-48400</v>
      </c>
      <c r="I1501" s="23">
        <v>332750</v>
      </c>
      <c r="K1501" s="41" t="s">
        <v>40</v>
      </c>
      <c r="L1501" s="50">
        <v>-27500</v>
      </c>
      <c r="M1501" s="50">
        <v>-20900</v>
      </c>
      <c r="N1501" s="51">
        <f t="shared" si="535"/>
        <v>-48400</v>
      </c>
      <c r="O1501" s="42"/>
      <c r="P1501" s="23">
        <f t="shared" si="532"/>
        <v>-48400</v>
      </c>
      <c r="Q1501" s="20"/>
      <c r="R1501" s="23">
        <f t="shared" si="533"/>
        <v>-48400</v>
      </c>
      <c r="S1501" s="23">
        <v>332750</v>
      </c>
    </row>
    <row r="1502" spans="1:19" ht="15.75" x14ac:dyDescent="0.25">
      <c r="A1502" s="41" t="s">
        <v>127</v>
      </c>
      <c r="B1502" s="50">
        <v>0</v>
      </c>
      <c r="C1502" s="50">
        <v>-4590</v>
      </c>
      <c r="D1502" s="51">
        <f t="shared" si="534"/>
        <v>-4590</v>
      </c>
      <c r="E1502" s="43"/>
      <c r="F1502" s="23">
        <f t="shared" si="530"/>
        <v>-4590</v>
      </c>
      <c r="G1502" s="20"/>
      <c r="H1502" s="23">
        <f t="shared" si="531"/>
        <v>-4590</v>
      </c>
      <c r="I1502" s="23">
        <v>247050</v>
      </c>
      <c r="K1502" s="41" t="s">
        <v>127</v>
      </c>
      <c r="L1502" s="50">
        <v>0</v>
      </c>
      <c r="M1502" s="50">
        <v>-4590</v>
      </c>
      <c r="N1502" s="51">
        <f t="shared" si="535"/>
        <v>-4590</v>
      </c>
      <c r="O1502" s="43"/>
      <c r="P1502" s="23">
        <f t="shared" si="532"/>
        <v>-4590</v>
      </c>
      <c r="Q1502" s="20"/>
      <c r="R1502" s="23">
        <f t="shared" si="533"/>
        <v>-4590</v>
      </c>
      <c r="S1502" s="23">
        <v>247050</v>
      </c>
    </row>
    <row r="1503" spans="1:19" ht="15.75" x14ac:dyDescent="0.25">
      <c r="A1503" s="41" t="s">
        <v>141</v>
      </c>
      <c r="B1503" s="50">
        <v>-18000</v>
      </c>
      <c r="C1503" s="50">
        <v>-66600</v>
      </c>
      <c r="D1503" s="51">
        <f t="shared" si="534"/>
        <v>-84600</v>
      </c>
      <c r="E1503" s="42"/>
      <c r="F1503" s="23">
        <f t="shared" si="530"/>
        <v>-84600</v>
      </c>
      <c r="G1503" s="20"/>
      <c r="H1503" s="23">
        <f t="shared" si="531"/>
        <v>-84600</v>
      </c>
      <c r="I1503" s="23">
        <v>684000</v>
      </c>
      <c r="K1503" s="41" t="s">
        <v>141</v>
      </c>
      <c r="L1503" s="50">
        <v>-18000</v>
      </c>
      <c r="M1503" s="50">
        <v>-66600</v>
      </c>
      <c r="N1503" s="51">
        <f t="shared" si="535"/>
        <v>-84600</v>
      </c>
      <c r="O1503" s="42"/>
      <c r="P1503" s="23">
        <f t="shared" si="532"/>
        <v>-84600</v>
      </c>
      <c r="Q1503" s="20"/>
      <c r="R1503" s="23">
        <f t="shared" si="533"/>
        <v>-84600</v>
      </c>
      <c r="S1503" s="23">
        <v>684000</v>
      </c>
    </row>
    <row r="1504" spans="1:19" ht="15.75" x14ac:dyDescent="0.25">
      <c r="A1504" s="41" t="s">
        <v>38</v>
      </c>
      <c r="B1504" s="50"/>
      <c r="C1504" s="50">
        <v>9760</v>
      </c>
      <c r="D1504" s="51">
        <f t="shared" si="534"/>
        <v>9760</v>
      </c>
      <c r="E1504" s="42"/>
      <c r="F1504" s="23">
        <f t="shared" si="530"/>
        <v>9760</v>
      </c>
      <c r="G1504" s="20"/>
      <c r="H1504" s="23">
        <f t="shared" si="531"/>
        <v>9760</v>
      </c>
      <c r="I1504" s="23">
        <v>370000</v>
      </c>
      <c r="K1504" s="41" t="s">
        <v>38</v>
      </c>
      <c r="L1504" s="50"/>
      <c r="M1504" s="50">
        <v>9760</v>
      </c>
      <c r="N1504" s="51">
        <f t="shared" si="535"/>
        <v>9760</v>
      </c>
      <c r="O1504" s="42"/>
      <c r="P1504" s="23">
        <f t="shared" si="532"/>
        <v>9760</v>
      </c>
      <c r="Q1504" s="20"/>
      <c r="R1504" s="23">
        <f t="shared" si="533"/>
        <v>9760</v>
      </c>
      <c r="S1504" s="23">
        <v>370000</v>
      </c>
    </row>
    <row r="1505" spans="1:19" ht="15.75" x14ac:dyDescent="0.25">
      <c r="A1505" s="41" t="s">
        <v>142</v>
      </c>
      <c r="B1505" s="50"/>
      <c r="C1505" s="50">
        <v>-15950</v>
      </c>
      <c r="D1505" s="51">
        <f t="shared" si="534"/>
        <v>-15950</v>
      </c>
      <c r="E1505" s="42"/>
      <c r="F1505" s="23">
        <f t="shared" si="530"/>
        <v>-15950</v>
      </c>
      <c r="G1505" s="20"/>
      <c r="H1505" s="23">
        <f t="shared" si="531"/>
        <v>-15950</v>
      </c>
      <c r="I1505" s="23">
        <v>423500</v>
      </c>
      <c r="K1505" s="41" t="s">
        <v>142</v>
      </c>
      <c r="L1505" s="50"/>
      <c r="M1505" s="50">
        <v>-15950</v>
      </c>
      <c r="N1505" s="51">
        <f t="shared" si="535"/>
        <v>-15950</v>
      </c>
      <c r="O1505" s="42"/>
      <c r="P1505" s="23">
        <f t="shared" si="532"/>
        <v>-15950</v>
      </c>
      <c r="Q1505" s="20"/>
      <c r="R1505" s="23">
        <f t="shared" si="533"/>
        <v>-15950</v>
      </c>
      <c r="S1505" s="23">
        <v>423500</v>
      </c>
    </row>
    <row r="1506" spans="1:19" ht="15.75" x14ac:dyDescent="0.25">
      <c r="A1506" s="41" t="s">
        <v>143</v>
      </c>
      <c r="B1506" s="50"/>
      <c r="C1506" s="50">
        <v>10260</v>
      </c>
      <c r="D1506" s="51">
        <f t="shared" si="534"/>
        <v>10260</v>
      </c>
      <c r="E1506" s="42"/>
      <c r="F1506" s="23">
        <f t="shared" si="530"/>
        <v>10260</v>
      </c>
      <c r="G1506" s="20"/>
      <c r="H1506" s="23">
        <f t="shared" si="531"/>
        <v>10260</v>
      </c>
      <c r="I1506" s="23">
        <v>390600</v>
      </c>
      <c r="K1506" s="41" t="s">
        <v>143</v>
      </c>
      <c r="L1506" s="50"/>
      <c r="M1506" s="50">
        <v>10260</v>
      </c>
      <c r="N1506" s="51">
        <f t="shared" si="535"/>
        <v>10260</v>
      </c>
      <c r="O1506" s="42"/>
      <c r="P1506" s="23">
        <f t="shared" si="532"/>
        <v>10260</v>
      </c>
      <c r="Q1506" s="20"/>
      <c r="R1506" s="23">
        <f t="shared" si="533"/>
        <v>10260</v>
      </c>
      <c r="S1506" s="23">
        <v>390600</v>
      </c>
    </row>
    <row r="1507" spans="1:19" ht="15.75" x14ac:dyDescent="0.25">
      <c r="A1507" s="41" t="s">
        <v>87</v>
      </c>
      <c r="B1507" s="50"/>
      <c r="C1507" s="50">
        <v>-30375</v>
      </c>
      <c r="D1507" s="51">
        <f t="shared" si="534"/>
        <v>-30375</v>
      </c>
      <c r="E1507" s="42"/>
      <c r="F1507" s="23">
        <f t="shared" si="530"/>
        <v>-30375</v>
      </c>
      <c r="G1507" s="20"/>
      <c r="H1507" s="23">
        <f t="shared" si="531"/>
        <v>-30375</v>
      </c>
      <c r="I1507" s="23">
        <v>624375</v>
      </c>
      <c r="K1507" s="41" t="s">
        <v>87</v>
      </c>
      <c r="L1507" s="50"/>
      <c r="M1507" s="50">
        <v>-30375</v>
      </c>
      <c r="N1507" s="51">
        <f t="shared" si="535"/>
        <v>-30375</v>
      </c>
      <c r="O1507" s="42"/>
      <c r="P1507" s="23">
        <f t="shared" si="532"/>
        <v>-30375</v>
      </c>
      <c r="Q1507" s="20"/>
      <c r="R1507" s="23">
        <f t="shared" si="533"/>
        <v>-30375</v>
      </c>
      <c r="S1507" s="23">
        <v>624375</v>
      </c>
    </row>
    <row r="1508" spans="1:19" ht="15.75" x14ac:dyDescent="0.25">
      <c r="A1508" s="41" t="s">
        <v>144</v>
      </c>
      <c r="B1508" s="50"/>
      <c r="C1508" s="50">
        <v>-3535</v>
      </c>
      <c r="D1508" s="51">
        <f t="shared" si="534"/>
        <v>-3535</v>
      </c>
      <c r="E1508" s="42"/>
      <c r="F1508" s="23">
        <f t="shared" si="530"/>
        <v>-3535</v>
      </c>
      <c r="G1508" s="20"/>
      <c r="H1508" s="23">
        <f t="shared" si="531"/>
        <v>-3535</v>
      </c>
      <c r="I1508" s="23">
        <v>264600</v>
      </c>
      <c r="K1508" s="41" t="s">
        <v>144</v>
      </c>
      <c r="L1508" s="50"/>
      <c r="M1508" s="50">
        <v>-3535</v>
      </c>
      <c r="N1508" s="51">
        <f t="shared" si="535"/>
        <v>-3535</v>
      </c>
      <c r="O1508" s="42"/>
      <c r="P1508" s="23">
        <f t="shared" si="532"/>
        <v>-3535</v>
      </c>
      <c r="Q1508" s="20"/>
      <c r="R1508" s="23">
        <f t="shared" si="533"/>
        <v>-3535</v>
      </c>
      <c r="S1508" s="23">
        <v>264600</v>
      </c>
    </row>
    <row r="1509" spans="1:19" ht="15.75" x14ac:dyDescent="0.25">
      <c r="A1509" s="41" t="s">
        <v>145</v>
      </c>
      <c r="B1509" s="50"/>
      <c r="C1509" s="50">
        <v>-23800</v>
      </c>
      <c r="D1509" s="51">
        <f t="shared" si="534"/>
        <v>-23800</v>
      </c>
      <c r="E1509" s="42"/>
      <c r="F1509" s="23">
        <f t="shared" si="530"/>
        <v>-23800</v>
      </c>
      <c r="G1509" s="20"/>
      <c r="H1509" s="23">
        <f t="shared" si="531"/>
        <v>-23800</v>
      </c>
      <c r="I1509" s="23">
        <v>178150</v>
      </c>
      <c r="K1509" s="41" t="s">
        <v>145</v>
      </c>
      <c r="L1509" s="50"/>
      <c r="M1509" s="50">
        <v>-23800</v>
      </c>
      <c r="N1509" s="51">
        <f t="shared" si="535"/>
        <v>-23800</v>
      </c>
      <c r="O1509" s="42"/>
      <c r="P1509" s="23">
        <f t="shared" si="532"/>
        <v>-23800</v>
      </c>
      <c r="Q1509" s="20"/>
      <c r="R1509" s="23">
        <f t="shared" si="533"/>
        <v>-23800</v>
      </c>
      <c r="S1509" s="23">
        <v>178150</v>
      </c>
    </row>
    <row r="1510" spans="1:19" ht="15.75" x14ac:dyDescent="0.25">
      <c r="A1510" s="41" t="s">
        <v>53</v>
      </c>
      <c r="B1510" s="50"/>
      <c r="C1510" s="50">
        <v>46920</v>
      </c>
      <c r="D1510" s="51">
        <f t="shared" si="534"/>
        <v>46920</v>
      </c>
      <c r="E1510" s="42"/>
      <c r="F1510" s="23">
        <f t="shared" si="530"/>
        <v>46920</v>
      </c>
      <c r="G1510" s="20"/>
      <c r="H1510" s="23">
        <f t="shared" si="531"/>
        <v>46920</v>
      </c>
      <c r="I1510" s="23">
        <v>259899.99999999994</v>
      </c>
      <c r="K1510" s="41" t="s">
        <v>53</v>
      </c>
      <c r="L1510" s="50"/>
      <c r="M1510" s="50">
        <v>46920</v>
      </c>
      <c r="N1510" s="51">
        <f t="shared" si="535"/>
        <v>46920</v>
      </c>
      <c r="O1510" s="42"/>
      <c r="P1510" s="23">
        <f t="shared" si="532"/>
        <v>46920</v>
      </c>
      <c r="Q1510" s="20"/>
      <c r="R1510" s="23">
        <f t="shared" si="533"/>
        <v>46920</v>
      </c>
      <c r="S1510" s="23">
        <v>259899.99999999994</v>
      </c>
    </row>
    <row r="1511" spans="1:19" ht="15.75" x14ac:dyDescent="0.25">
      <c r="A1511" s="41" t="s">
        <v>45</v>
      </c>
      <c r="B1511" s="50"/>
      <c r="C1511" s="50">
        <v>-39000</v>
      </c>
      <c r="D1511" s="51">
        <f t="shared" si="534"/>
        <v>-39000</v>
      </c>
      <c r="E1511" s="42"/>
      <c r="F1511" s="23">
        <f t="shared" si="530"/>
        <v>-39000</v>
      </c>
      <c r="G1511" s="20"/>
      <c r="H1511" s="23">
        <f t="shared" si="531"/>
        <v>-39000</v>
      </c>
      <c r="I1511" s="23">
        <v>418500</v>
      </c>
      <c r="K1511" s="41" t="s">
        <v>45</v>
      </c>
      <c r="L1511" s="50"/>
      <c r="M1511" s="50">
        <v>-39000</v>
      </c>
      <c r="N1511" s="51">
        <f t="shared" si="535"/>
        <v>-39000</v>
      </c>
      <c r="O1511" s="42"/>
      <c r="P1511" s="23">
        <f t="shared" si="532"/>
        <v>-39000</v>
      </c>
      <c r="Q1511" s="20"/>
      <c r="R1511" s="23">
        <f t="shared" si="533"/>
        <v>-39000</v>
      </c>
      <c r="S1511" s="23">
        <v>418500</v>
      </c>
    </row>
    <row r="1512" spans="1:19" ht="15.75" x14ac:dyDescent="0.25">
      <c r="A1512" s="41"/>
      <c r="B1512" s="50"/>
      <c r="C1512" s="50"/>
      <c r="D1512" s="51">
        <f t="shared" si="534"/>
        <v>0</v>
      </c>
      <c r="E1512" s="42"/>
      <c r="F1512" s="23">
        <f t="shared" si="530"/>
        <v>0</v>
      </c>
      <c r="G1512" s="20"/>
      <c r="H1512" s="23">
        <f t="shared" si="531"/>
        <v>0</v>
      </c>
      <c r="I1512" s="23"/>
      <c r="K1512" s="41"/>
      <c r="L1512" s="50"/>
      <c r="M1512" s="50"/>
      <c r="N1512" s="51">
        <f t="shared" si="535"/>
        <v>0</v>
      </c>
      <c r="O1512" s="42"/>
      <c r="P1512" s="23">
        <f t="shared" si="532"/>
        <v>0</v>
      </c>
      <c r="Q1512" s="20"/>
      <c r="R1512" s="23">
        <f t="shared" si="533"/>
        <v>0</v>
      </c>
      <c r="S1512" s="23"/>
    </row>
    <row r="1513" spans="1:19" ht="15.75" x14ac:dyDescent="0.25">
      <c r="A1513" s="21" t="s">
        <v>107</v>
      </c>
      <c r="B1513" s="22">
        <f t="shared" ref="B1513:G1513" si="536">SUM(B1493:B1512)</f>
        <v>-116800</v>
      </c>
      <c r="C1513" s="22">
        <f t="shared" si="536"/>
        <v>-150790</v>
      </c>
      <c r="D1513" s="22">
        <f t="shared" si="536"/>
        <v>-267590</v>
      </c>
      <c r="E1513" s="18">
        <f t="shared" si="536"/>
        <v>0</v>
      </c>
      <c r="F1513" s="23">
        <f t="shared" si="536"/>
        <v>-267590</v>
      </c>
      <c r="G1513" s="18">
        <f t="shared" si="536"/>
        <v>0</v>
      </c>
      <c r="H1513" s="23">
        <f t="shared" si="531"/>
        <v>-267590</v>
      </c>
      <c r="I1513" s="17">
        <f>SUM(I1493:I1512)</f>
        <v>7895750</v>
      </c>
      <c r="K1513" s="21" t="s">
        <v>107</v>
      </c>
      <c r="L1513" s="22">
        <f t="shared" ref="L1513:Q1513" si="537">SUM(L1493:L1512)</f>
        <v>-116800</v>
      </c>
      <c r="M1513" s="22">
        <f t="shared" si="537"/>
        <v>-150790</v>
      </c>
      <c r="N1513" s="22">
        <f t="shared" si="537"/>
        <v>-267590</v>
      </c>
      <c r="O1513" s="18">
        <f t="shared" si="537"/>
        <v>0</v>
      </c>
      <c r="P1513" s="23">
        <f t="shared" si="537"/>
        <v>-267590</v>
      </c>
      <c r="Q1513" s="18">
        <f t="shared" si="537"/>
        <v>0</v>
      </c>
      <c r="R1513" s="23">
        <f t="shared" si="533"/>
        <v>-267590</v>
      </c>
      <c r="S1513" s="17">
        <f>SUM(S1493:S1512)</f>
        <v>7895750</v>
      </c>
    </row>
    <row r="1517" spans="1:19" x14ac:dyDescent="0.25">
      <c r="A1517" s="110">
        <v>45292</v>
      </c>
      <c r="B1517" s="112"/>
      <c r="C1517" s="112"/>
      <c r="D1517" s="112"/>
      <c r="E1517" s="112"/>
      <c r="F1517" s="112"/>
    </row>
    <row r="1518" spans="1:19" x14ac:dyDescent="0.25">
      <c r="A1518" s="112"/>
      <c r="B1518" s="112"/>
      <c r="C1518" s="112"/>
      <c r="D1518" s="112"/>
      <c r="E1518" s="112"/>
      <c r="F1518" s="112"/>
    </row>
    <row r="1519" spans="1:19" x14ac:dyDescent="0.25">
      <c r="A1519" s="112"/>
      <c r="B1519" s="112"/>
      <c r="C1519" s="112"/>
      <c r="D1519" s="112"/>
      <c r="E1519" s="112"/>
      <c r="F1519" s="112"/>
    </row>
    <row r="1520" spans="1:19" x14ac:dyDescent="0.25">
      <c r="A1520" s="112"/>
      <c r="B1520" s="112"/>
      <c r="C1520" s="112"/>
      <c r="D1520" s="112"/>
      <c r="E1520" s="112"/>
      <c r="F1520" s="112"/>
    </row>
    <row r="1521" spans="1:17" x14ac:dyDescent="0.25">
      <c r="A1521" s="112"/>
      <c r="B1521" s="112"/>
      <c r="C1521" s="112"/>
      <c r="D1521" s="112"/>
      <c r="E1521" s="112"/>
      <c r="F1521" s="112"/>
    </row>
    <row r="1522" spans="1:17" x14ac:dyDescent="0.25">
      <c r="A1522" s="112"/>
      <c r="B1522" s="112"/>
      <c r="C1522" s="112"/>
      <c r="D1522" s="112"/>
      <c r="E1522" s="112"/>
      <c r="F1522" s="112"/>
    </row>
    <row r="1527" spans="1:17" ht="15.75" x14ac:dyDescent="0.25">
      <c r="A1527" s="107">
        <v>45017</v>
      </c>
      <c r="B1527" s="108"/>
      <c r="C1527" s="108"/>
      <c r="D1527" s="108"/>
      <c r="E1527" s="108"/>
      <c r="F1527" s="108"/>
      <c r="G1527" s="109"/>
      <c r="K1527" s="107">
        <v>45047</v>
      </c>
      <c r="L1527" s="108"/>
      <c r="M1527" s="108"/>
      <c r="N1527" s="108"/>
      <c r="O1527" s="108"/>
      <c r="P1527" s="108"/>
      <c r="Q1527" s="109"/>
    </row>
    <row r="1528" spans="1:17" ht="15.75" x14ac:dyDescent="0.25">
      <c r="A1528" s="22" t="s">
        <v>34</v>
      </c>
      <c r="B1528" s="22" t="s">
        <v>104</v>
      </c>
      <c r="C1528" s="22" t="s">
        <v>105</v>
      </c>
      <c r="D1528" s="22" t="s">
        <v>112</v>
      </c>
      <c r="E1528" s="22" t="s">
        <v>106</v>
      </c>
      <c r="F1528" s="21" t="s">
        <v>108</v>
      </c>
      <c r="G1528" s="21" t="s">
        <v>28</v>
      </c>
      <c r="K1528" s="22" t="s">
        <v>34</v>
      </c>
      <c r="L1528" s="22" t="s">
        <v>104</v>
      </c>
      <c r="M1528" s="22" t="s">
        <v>105</v>
      </c>
      <c r="N1528" s="22" t="s">
        <v>112</v>
      </c>
      <c r="O1528" s="22" t="s">
        <v>106</v>
      </c>
      <c r="P1528" s="21" t="s">
        <v>108</v>
      </c>
      <c r="Q1528" s="21" t="s">
        <v>28</v>
      </c>
    </row>
    <row r="1529" spans="1:17" ht="15.75" x14ac:dyDescent="0.25">
      <c r="A1529" s="41" t="s">
        <v>17</v>
      </c>
      <c r="B1529" s="23">
        <v>0</v>
      </c>
      <c r="C1529" s="42">
        <v>3625</v>
      </c>
      <c r="D1529" s="23">
        <f t="shared" ref="D1529:D1548" si="538">+C1529+B1529</f>
        <v>3625</v>
      </c>
      <c r="E1529" s="20"/>
      <c r="F1529" s="23">
        <f t="shared" ref="F1529:F1548" si="539">+B1529+C1529-E1529</f>
        <v>3625</v>
      </c>
      <c r="G1529" s="23">
        <v>313000</v>
      </c>
      <c r="K1529" s="41" t="s">
        <v>17</v>
      </c>
      <c r="L1529" s="23">
        <v>13868</v>
      </c>
      <c r="M1529" s="42">
        <v>-21500</v>
      </c>
      <c r="N1529" s="23">
        <f t="shared" ref="N1529:N1548" si="540">+M1529+L1529</f>
        <v>-7632</v>
      </c>
      <c r="O1529" s="20">
        <v>4875</v>
      </c>
      <c r="P1529" s="23">
        <f t="shared" ref="P1529:P1548" si="541">+L1529+M1529-O1529</f>
        <v>-12507</v>
      </c>
      <c r="Q1529" s="23">
        <v>225000</v>
      </c>
    </row>
    <row r="1530" spans="1:17" ht="15.75" x14ac:dyDescent="0.25">
      <c r="A1530" s="41" t="s">
        <v>136</v>
      </c>
      <c r="B1530" s="23">
        <v>0</v>
      </c>
      <c r="C1530" s="42">
        <v>-15000</v>
      </c>
      <c r="D1530" s="23">
        <f t="shared" si="538"/>
        <v>-15000</v>
      </c>
      <c r="E1530" s="20"/>
      <c r="F1530" s="23">
        <f t="shared" si="539"/>
        <v>-15000</v>
      </c>
      <c r="G1530" s="23">
        <v>289999.99999999994</v>
      </c>
      <c r="K1530" s="41" t="s">
        <v>136</v>
      </c>
      <c r="L1530" s="23">
        <v>-7250</v>
      </c>
      <c r="M1530" s="42">
        <v>-40000</v>
      </c>
      <c r="N1530" s="23">
        <f t="shared" si="540"/>
        <v>-47250</v>
      </c>
      <c r="O1530" s="20">
        <v>-15000</v>
      </c>
      <c r="P1530" s="23">
        <f t="shared" si="541"/>
        <v>-32250</v>
      </c>
      <c r="Q1530" s="23">
        <v>319999.99999999994</v>
      </c>
    </row>
    <row r="1531" spans="1:17" ht="15.75" x14ac:dyDescent="0.25">
      <c r="A1531" s="41" t="s">
        <v>137</v>
      </c>
      <c r="B1531" s="23">
        <v>-2375</v>
      </c>
      <c r="C1531" s="42">
        <v>111875</v>
      </c>
      <c r="D1531" s="23">
        <f t="shared" si="538"/>
        <v>109500</v>
      </c>
      <c r="E1531" s="20"/>
      <c r="F1531" s="23">
        <f t="shared" si="539"/>
        <v>109500</v>
      </c>
      <c r="G1531" s="23">
        <v>179375</v>
      </c>
      <c r="K1531" s="41" t="s">
        <v>137</v>
      </c>
      <c r="L1531" s="23">
        <v>-19687</v>
      </c>
      <c r="M1531" s="42">
        <v>26874.999999999985</v>
      </c>
      <c r="N1531" s="23">
        <f t="shared" si="540"/>
        <v>7187.9999999999854</v>
      </c>
      <c r="O1531" s="20">
        <v>-7500</v>
      </c>
      <c r="P1531" s="23">
        <f t="shared" si="541"/>
        <v>14687.999999999985</v>
      </c>
      <c r="Q1531" s="23">
        <v>99375.000000000029</v>
      </c>
    </row>
    <row r="1532" spans="1:17" ht="15.75" x14ac:dyDescent="0.25">
      <c r="A1532" s="41" t="s">
        <v>138</v>
      </c>
      <c r="B1532" s="23">
        <v>9950</v>
      </c>
      <c r="C1532" s="42">
        <v>-52250</v>
      </c>
      <c r="D1532" s="23">
        <f t="shared" si="538"/>
        <v>-42300</v>
      </c>
      <c r="E1532" s="20"/>
      <c r="F1532" s="23">
        <f t="shared" si="539"/>
        <v>-42300</v>
      </c>
      <c r="G1532" s="20">
        <v>339625</v>
      </c>
      <c r="K1532" s="41" t="s">
        <v>138</v>
      </c>
      <c r="L1532" s="23">
        <v>0</v>
      </c>
      <c r="M1532" s="42">
        <v>74875</v>
      </c>
      <c r="N1532" s="23">
        <f t="shared" si="540"/>
        <v>74875</v>
      </c>
      <c r="O1532" s="20">
        <v>16375</v>
      </c>
      <c r="P1532" s="23">
        <f t="shared" si="541"/>
        <v>58500</v>
      </c>
      <c r="Q1532" s="20">
        <v>258875</v>
      </c>
    </row>
    <row r="1533" spans="1:17" ht="15.75" x14ac:dyDescent="0.25">
      <c r="A1533" s="41" t="s">
        <v>130</v>
      </c>
      <c r="B1533" s="23">
        <v>-27360</v>
      </c>
      <c r="C1533" s="42">
        <v>119700</v>
      </c>
      <c r="D1533" s="23">
        <f t="shared" si="538"/>
        <v>92340</v>
      </c>
      <c r="E1533" s="20"/>
      <c r="F1533" s="23">
        <f t="shared" si="539"/>
        <v>92340</v>
      </c>
      <c r="G1533" s="20">
        <v>666900</v>
      </c>
      <c r="K1533" s="41" t="s">
        <v>130</v>
      </c>
      <c r="L1533" s="23">
        <v>-19665</v>
      </c>
      <c r="M1533" s="42">
        <v>-79800</v>
      </c>
      <c r="N1533" s="23">
        <f t="shared" si="540"/>
        <v>-99465</v>
      </c>
      <c r="O1533" s="20">
        <v>-17100</v>
      </c>
      <c r="P1533" s="23">
        <f t="shared" si="541"/>
        <v>-82365</v>
      </c>
      <c r="Q1533" s="20">
        <v>638400</v>
      </c>
    </row>
    <row r="1534" spans="1:17" ht="15.75" x14ac:dyDescent="0.25">
      <c r="A1534" s="41" t="s">
        <v>139</v>
      </c>
      <c r="B1534" s="23">
        <v>36750</v>
      </c>
      <c r="C1534" s="42">
        <v>47249.999999999985</v>
      </c>
      <c r="D1534" s="23">
        <f t="shared" si="538"/>
        <v>83999.999999999985</v>
      </c>
      <c r="E1534" s="20"/>
      <c r="F1534" s="23">
        <f t="shared" si="539"/>
        <v>83999.999999999985</v>
      </c>
      <c r="G1534" s="20">
        <v>766500</v>
      </c>
      <c r="K1534" s="41" t="s">
        <v>139</v>
      </c>
      <c r="L1534" s="23">
        <v>-7087</v>
      </c>
      <c r="M1534" s="42">
        <v>-15750</v>
      </c>
      <c r="N1534" s="23">
        <f t="shared" si="540"/>
        <v>-22837</v>
      </c>
      <c r="O1534" s="20">
        <v>0</v>
      </c>
      <c r="P1534" s="23">
        <f t="shared" si="541"/>
        <v>-22837</v>
      </c>
      <c r="Q1534" s="20">
        <v>745500</v>
      </c>
    </row>
    <row r="1535" spans="1:17" ht="15.75" x14ac:dyDescent="0.25">
      <c r="A1535" s="41" t="s">
        <v>67</v>
      </c>
      <c r="B1535" s="23">
        <v>0</v>
      </c>
      <c r="C1535" s="42">
        <v>36000</v>
      </c>
      <c r="D1535" s="23">
        <f t="shared" si="538"/>
        <v>36000</v>
      </c>
      <c r="E1535" s="20"/>
      <c r="F1535" s="23">
        <f t="shared" si="539"/>
        <v>36000</v>
      </c>
      <c r="G1535" s="20">
        <v>413000</v>
      </c>
      <c r="K1535" s="41" t="s">
        <v>67</v>
      </c>
      <c r="L1535" s="23">
        <v>-250</v>
      </c>
      <c r="M1535" s="42">
        <v>225000</v>
      </c>
      <c r="N1535" s="23">
        <f t="shared" si="540"/>
        <v>224750</v>
      </c>
      <c r="O1535" s="20">
        <v>9000</v>
      </c>
      <c r="P1535" s="23">
        <f t="shared" si="541"/>
        <v>215750</v>
      </c>
      <c r="Q1535" s="20">
        <v>445000</v>
      </c>
    </row>
    <row r="1536" spans="1:17" ht="15.75" x14ac:dyDescent="0.25">
      <c r="A1536" s="41" t="s">
        <v>140</v>
      </c>
      <c r="B1536" s="23">
        <v>0</v>
      </c>
      <c r="C1536" s="42">
        <v>-26600</v>
      </c>
      <c r="D1536" s="23">
        <f t="shared" si="538"/>
        <v>-26600</v>
      </c>
      <c r="E1536" s="20"/>
      <c r="F1536" s="23">
        <f t="shared" si="539"/>
        <v>-26600</v>
      </c>
      <c r="G1536" s="20">
        <v>508200</v>
      </c>
      <c r="K1536" s="41" t="s">
        <v>140</v>
      </c>
      <c r="L1536" s="23">
        <v>-3150</v>
      </c>
      <c r="M1536" s="42">
        <v>-47600</v>
      </c>
      <c r="N1536" s="23">
        <f t="shared" si="540"/>
        <v>-50750</v>
      </c>
      <c r="O1536" s="20">
        <v>-9800</v>
      </c>
      <c r="P1536" s="23">
        <f t="shared" si="541"/>
        <v>-40950</v>
      </c>
      <c r="Q1536" s="20">
        <v>484190.00000000012</v>
      </c>
    </row>
    <row r="1537" spans="1:17" ht="15.75" x14ac:dyDescent="0.25">
      <c r="A1537" s="41" t="s">
        <v>40</v>
      </c>
      <c r="B1537" s="23">
        <v>0</v>
      </c>
      <c r="C1537" s="42">
        <v>38500</v>
      </c>
      <c r="D1537" s="23">
        <f t="shared" si="538"/>
        <v>38500</v>
      </c>
      <c r="E1537" s="20"/>
      <c r="F1537" s="23">
        <f t="shared" si="539"/>
        <v>38500</v>
      </c>
      <c r="G1537" s="20">
        <v>286000</v>
      </c>
      <c r="K1537" s="41" t="s">
        <v>40</v>
      </c>
      <c r="L1537" s="23">
        <v>0</v>
      </c>
      <c r="M1537" s="42">
        <v>45375</v>
      </c>
      <c r="N1537" s="23">
        <f t="shared" si="540"/>
        <v>45375</v>
      </c>
      <c r="O1537" s="20">
        <v>22000</v>
      </c>
      <c r="P1537" s="23">
        <f t="shared" si="541"/>
        <v>23375</v>
      </c>
      <c r="Q1537" s="20">
        <v>198000</v>
      </c>
    </row>
    <row r="1538" spans="1:17" ht="15.75" x14ac:dyDescent="0.25">
      <c r="A1538" s="41" t="s">
        <v>127</v>
      </c>
      <c r="B1538" s="23">
        <v>0</v>
      </c>
      <c r="C1538" s="42">
        <v>-22275</v>
      </c>
      <c r="D1538" s="23">
        <f t="shared" si="538"/>
        <v>-22275</v>
      </c>
      <c r="E1538" s="20"/>
      <c r="F1538" s="23">
        <f t="shared" si="539"/>
        <v>-22275</v>
      </c>
      <c r="G1538" s="20">
        <v>230175</v>
      </c>
      <c r="K1538" s="41" t="s">
        <v>127</v>
      </c>
      <c r="L1538" s="23">
        <v>15525</v>
      </c>
      <c r="M1538" s="42">
        <v>-55350.000000000015</v>
      </c>
      <c r="N1538" s="23">
        <f t="shared" si="540"/>
        <v>-39825.000000000015</v>
      </c>
      <c r="O1538" s="20">
        <v>-12150</v>
      </c>
      <c r="P1538" s="23">
        <f t="shared" si="541"/>
        <v>-27675.000000000015</v>
      </c>
      <c r="Q1538" s="20">
        <v>284175</v>
      </c>
    </row>
    <row r="1539" spans="1:17" ht="15.75" x14ac:dyDescent="0.25">
      <c r="A1539" s="41" t="s">
        <v>141</v>
      </c>
      <c r="B1539" s="23">
        <v>-20700</v>
      </c>
      <c r="C1539" s="42">
        <v>180000.00000000006</v>
      </c>
      <c r="D1539" s="23">
        <f t="shared" si="538"/>
        <v>159300.00000000006</v>
      </c>
      <c r="E1539" s="20"/>
      <c r="F1539" s="23">
        <f t="shared" si="539"/>
        <v>159300.00000000006</v>
      </c>
      <c r="G1539" s="20">
        <v>423000</v>
      </c>
      <c r="K1539" s="41" t="s">
        <v>141</v>
      </c>
      <c r="L1539" s="23">
        <v>0</v>
      </c>
      <c r="M1539" s="42">
        <v>-36000</v>
      </c>
      <c r="N1539" s="23">
        <f t="shared" si="540"/>
        <v>-36000</v>
      </c>
      <c r="O1539" s="20">
        <v>-13500</v>
      </c>
      <c r="P1539" s="23">
        <f t="shared" si="541"/>
        <v>-22500</v>
      </c>
      <c r="Q1539" s="20">
        <v>508500</v>
      </c>
    </row>
    <row r="1540" spans="1:17" ht="15.75" x14ac:dyDescent="0.25">
      <c r="A1540" s="41" t="s">
        <v>38</v>
      </c>
      <c r="B1540" s="23">
        <v>0</v>
      </c>
      <c r="C1540" s="42">
        <v>36200</v>
      </c>
      <c r="D1540" s="23">
        <f t="shared" si="538"/>
        <v>36200</v>
      </c>
      <c r="E1540" s="20"/>
      <c r="F1540" s="23">
        <f t="shared" si="539"/>
        <v>36200</v>
      </c>
      <c r="G1540" s="20">
        <v>290500</v>
      </c>
      <c r="K1540" s="41" t="s">
        <v>38</v>
      </c>
      <c r="L1540" s="23">
        <v>0</v>
      </c>
      <c r="M1540" s="42">
        <v>12900</v>
      </c>
      <c r="N1540" s="23">
        <f t="shared" si="540"/>
        <v>12900</v>
      </c>
      <c r="O1540" s="20">
        <v>12800</v>
      </c>
      <c r="P1540" s="23">
        <f t="shared" si="541"/>
        <v>100</v>
      </c>
      <c r="Q1540" s="20">
        <v>305900</v>
      </c>
    </row>
    <row r="1541" spans="1:17" ht="15.75" x14ac:dyDescent="0.25">
      <c r="A1541" s="41" t="s">
        <v>142</v>
      </c>
      <c r="B1541" s="23">
        <v>0</v>
      </c>
      <c r="C1541" s="42">
        <v>94050</v>
      </c>
      <c r="D1541" s="23">
        <f t="shared" si="538"/>
        <v>94050</v>
      </c>
      <c r="E1541" s="20"/>
      <c r="F1541" s="23">
        <f t="shared" si="539"/>
        <v>94050</v>
      </c>
      <c r="G1541" s="20">
        <v>240900</v>
      </c>
      <c r="K1541" s="41" t="s">
        <v>142</v>
      </c>
      <c r="L1541" s="23">
        <v>14520</v>
      </c>
      <c r="M1541" s="42">
        <v>-140250</v>
      </c>
      <c r="N1541" s="23">
        <f t="shared" si="540"/>
        <v>-125730</v>
      </c>
      <c r="O1541" s="20">
        <v>20350</v>
      </c>
      <c r="P1541" s="23">
        <f t="shared" si="541"/>
        <v>-146080</v>
      </c>
      <c r="Q1541" s="20">
        <v>400537.50000000006</v>
      </c>
    </row>
    <row r="1542" spans="1:17" ht="15.75" x14ac:dyDescent="0.25">
      <c r="A1542" s="41" t="s">
        <v>143</v>
      </c>
      <c r="B1542" s="23">
        <v>1080</v>
      </c>
      <c r="C1542" s="42">
        <v>180900</v>
      </c>
      <c r="D1542" s="23">
        <f t="shared" si="538"/>
        <v>181980</v>
      </c>
      <c r="E1542" s="20"/>
      <c r="F1542" s="23">
        <f t="shared" si="539"/>
        <v>181980</v>
      </c>
      <c r="G1542" s="20">
        <v>265500</v>
      </c>
      <c r="K1542" s="41" t="s">
        <v>143</v>
      </c>
      <c r="L1542" s="23">
        <v>0</v>
      </c>
      <c r="M1542" s="42">
        <v>-11700</v>
      </c>
      <c r="N1542" s="23">
        <f t="shared" si="540"/>
        <v>-11700</v>
      </c>
      <c r="O1542" s="20">
        <v>18900</v>
      </c>
      <c r="P1542" s="23">
        <f t="shared" si="541"/>
        <v>-30600</v>
      </c>
      <c r="Q1542" s="20">
        <v>270900</v>
      </c>
    </row>
    <row r="1543" spans="1:17" ht="15.75" x14ac:dyDescent="0.25">
      <c r="A1543" s="41" t="s">
        <v>87</v>
      </c>
      <c r="B1543" s="23">
        <v>4218</v>
      </c>
      <c r="C1543" s="42">
        <v>239625</v>
      </c>
      <c r="D1543" s="23">
        <f t="shared" si="538"/>
        <v>243843</v>
      </c>
      <c r="E1543" s="20"/>
      <c r="F1543" s="23">
        <f t="shared" si="539"/>
        <v>243843</v>
      </c>
      <c r="G1543" s="23">
        <v>509625</v>
      </c>
      <c r="K1543" s="41" t="s">
        <v>87</v>
      </c>
      <c r="L1543" s="23">
        <v>0</v>
      </c>
      <c r="M1543" s="42">
        <v>13500</v>
      </c>
      <c r="N1543" s="23">
        <f t="shared" si="540"/>
        <v>13500</v>
      </c>
      <c r="O1543" s="20">
        <v>0</v>
      </c>
      <c r="P1543" s="23">
        <f t="shared" si="541"/>
        <v>13500</v>
      </c>
      <c r="Q1543" s="23">
        <v>408375</v>
      </c>
    </row>
    <row r="1544" spans="1:17" ht="15.75" x14ac:dyDescent="0.25">
      <c r="A1544" s="41" t="s">
        <v>144</v>
      </c>
      <c r="B1544" s="23">
        <v>-2511</v>
      </c>
      <c r="C1544" s="42">
        <v>-14875</v>
      </c>
      <c r="D1544" s="23">
        <f t="shared" si="538"/>
        <v>-17386</v>
      </c>
      <c r="E1544" s="20"/>
      <c r="F1544" s="23">
        <f t="shared" si="539"/>
        <v>-17386</v>
      </c>
      <c r="G1544" s="23">
        <v>263375</v>
      </c>
      <c r="K1544" s="41" t="s">
        <v>144</v>
      </c>
      <c r="L1544" s="23">
        <v>0</v>
      </c>
      <c r="M1544" s="42">
        <v>35875.000000000015</v>
      </c>
      <c r="N1544" s="23">
        <f t="shared" si="540"/>
        <v>35875.000000000015</v>
      </c>
      <c r="O1544" s="20">
        <v>5950</v>
      </c>
      <c r="P1544" s="23">
        <f t="shared" si="541"/>
        <v>29925.000000000015</v>
      </c>
      <c r="Q1544" s="23">
        <v>104300</v>
      </c>
    </row>
    <row r="1545" spans="1:17" ht="15.75" x14ac:dyDescent="0.25">
      <c r="A1545" s="41" t="s">
        <v>145</v>
      </c>
      <c r="B1545" s="23">
        <v>0</v>
      </c>
      <c r="C1545" s="42">
        <v>-13999.999999999996</v>
      </c>
      <c r="D1545" s="23">
        <f t="shared" si="538"/>
        <v>-13999.999999999996</v>
      </c>
      <c r="E1545" s="20"/>
      <c r="F1545" s="23">
        <f t="shared" si="539"/>
        <v>-13999.999999999996</v>
      </c>
      <c r="G1545" s="23">
        <v>261450</v>
      </c>
      <c r="K1545" s="41" t="s">
        <v>145</v>
      </c>
      <c r="L1545" s="23">
        <v>-1365</v>
      </c>
      <c r="M1545" s="42">
        <v>-19950</v>
      </c>
      <c r="N1545" s="23">
        <f t="shared" si="540"/>
        <v>-21315</v>
      </c>
      <c r="O1545" s="20">
        <v>13650</v>
      </c>
      <c r="P1545" s="23">
        <f t="shared" si="541"/>
        <v>-34965</v>
      </c>
      <c r="Q1545" s="23">
        <v>308700.00000000006</v>
      </c>
    </row>
    <row r="1546" spans="1:17" ht="15.75" x14ac:dyDescent="0.25">
      <c r="A1546" s="41" t="s">
        <v>53</v>
      </c>
      <c r="B1546" s="23">
        <v>0</v>
      </c>
      <c r="C1546" s="42">
        <v>11500.000000000029</v>
      </c>
      <c r="D1546" s="23">
        <f t="shared" si="538"/>
        <v>11500.000000000029</v>
      </c>
      <c r="E1546" s="20"/>
      <c r="F1546" s="23">
        <f t="shared" si="539"/>
        <v>11500.000000000029</v>
      </c>
      <c r="G1546" s="23">
        <v>230000</v>
      </c>
      <c r="K1546" s="41" t="s">
        <v>53</v>
      </c>
      <c r="L1546" s="23">
        <v>-18745</v>
      </c>
      <c r="M1546" s="42">
        <v>-41400</v>
      </c>
      <c r="N1546" s="23">
        <f t="shared" si="540"/>
        <v>-60145</v>
      </c>
      <c r="O1546" s="20">
        <v>2300</v>
      </c>
      <c r="P1546" s="23">
        <f t="shared" si="541"/>
        <v>-62445</v>
      </c>
      <c r="Q1546" s="23">
        <v>186300</v>
      </c>
    </row>
    <row r="1547" spans="1:17" ht="15.75" x14ac:dyDescent="0.25">
      <c r="A1547" s="41" t="s">
        <v>45</v>
      </c>
      <c r="B1547" s="23">
        <v>0</v>
      </c>
      <c r="C1547" s="42">
        <v>1500</v>
      </c>
      <c r="D1547" s="23">
        <f t="shared" si="538"/>
        <v>1500</v>
      </c>
      <c r="E1547" s="20"/>
      <c r="F1547" s="23">
        <f t="shared" si="539"/>
        <v>1500</v>
      </c>
      <c r="G1547" s="23">
        <v>462000</v>
      </c>
      <c r="K1547" s="41" t="s">
        <v>45</v>
      </c>
      <c r="L1547" s="23">
        <v>0</v>
      </c>
      <c r="M1547" s="42">
        <v>22500</v>
      </c>
      <c r="N1547" s="23">
        <f t="shared" si="540"/>
        <v>22500</v>
      </c>
      <c r="O1547" s="20">
        <v>9000</v>
      </c>
      <c r="P1547" s="23">
        <f t="shared" si="541"/>
        <v>13500</v>
      </c>
      <c r="Q1547" s="23">
        <v>394500</v>
      </c>
    </row>
    <row r="1548" spans="1:17" ht="15.75" x14ac:dyDescent="0.25">
      <c r="A1548" s="41" t="s">
        <v>148</v>
      </c>
      <c r="B1548" s="23">
        <v>-145500</v>
      </c>
      <c r="C1548" s="42">
        <v>0</v>
      </c>
      <c r="D1548" s="23">
        <f t="shared" si="538"/>
        <v>-145500</v>
      </c>
      <c r="E1548" s="20"/>
      <c r="F1548" s="23">
        <f t="shared" si="539"/>
        <v>-145500</v>
      </c>
      <c r="G1548" s="23">
        <v>582500</v>
      </c>
      <c r="K1548" s="41" t="s">
        <v>148</v>
      </c>
      <c r="L1548" s="23">
        <v>0</v>
      </c>
      <c r="M1548" s="42">
        <v>-60000</v>
      </c>
      <c r="N1548" s="23">
        <f t="shared" si="540"/>
        <v>-60000</v>
      </c>
      <c r="O1548" s="20">
        <v>-12500</v>
      </c>
      <c r="P1548" s="23">
        <f t="shared" si="541"/>
        <v>-47500</v>
      </c>
      <c r="Q1548" s="23">
        <v>647500</v>
      </c>
    </row>
    <row r="1549" spans="1:17" ht="15.75" x14ac:dyDescent="0.25">
      <c r="A1549" s="21" t="s">
        <v>107</v>
      </c>
      <c r="B1549" s="22">
        <f t="shared" ref="B1549:G1549" si="542">SUM(B1529:B1548)</f>
        <v>-146448</v>
      </c>
      <c r="C1549" s="18">
        <f t="shared" si="542"/>
        <v>955725</v>
      </c>
      <c r="D1549" s="23">
        <f t="shared" si="542"/>
        <v>809277</v>
      </c>
      <c r="E1549" s="18">
        <f t="shared" si="542"/>
        <v>0</v>
      </c>
      <c r="F1549" s="23">
        <f t="shared" si="542"/>
        <v>809277</v>
      </c>
      <c r="G1549" s="17">
        <f t="shared" si="542"/>
        <v>7521625</v>
      </c>
      <c r="K1549" s="21" t="s">
        <v>107</v>
      </c>
      <c r="L1549" s="22">
        <f t="shared" ref="L1549:Q1549" si="543">SUM(L1529:L1548)</f>
        <v>-33286</v>
      </c>
      <c r="M1549" s="18">
        <f t="shared" si="543"/>
        <v>-112400</v>
      </c>
      <c r="N1549" s="23">
        <f t="shared" si="543"/>
        <v>-145686</v>
      </c>
      <c r="O1549" s="18">
        <f t="shared" si="543"/>
        <v>47650</v>
      </c>
      <c r="P1549" s="23">
        <f t="shared" si="543"/>
        <v>-193336</v>
      </c>
      <c r="Q1549" s="17">
        <f t="shared" si="543"/>
        <v>7234027.5</v>
      </c>
    </row>
    <row r="1554" spans="1:17" ht="15.75" x14ac:dyDescent="0.25">
      <c r="A1554" s="107">
        <v>45139</v>
      </c>
      <c r="B1554" s="108"/>
      <c r="C1554" s="108"/>
      <c r="D1554" s="108"/>
      <c r="E1554" s="108"/>
      <c r="F1554" s="108"/>
      <c r="G1554" s="109"/>
      <c r="K1554" s="107">
        <v>45170</v>
      </c>
      <c r="L1554" s="108"/>
      <c r="M1554" s="108"/>
      <c r="N1554" s="108"/>
      <c r="O1554" s="108"/>
      <c r="P1554" s="108"/>
      <c r="Q1554" s="109"/>
    </row>
    <row r="1555" spans="1:17" ht="15.75" x14ac:dyDescent="0.25">
      <c r="A1555" s="22" t="s">
        <v>34</v>
      </c>
      <c r="B1555" s="22" t="s">
        <v>104</v>
      </c>
      <c r="C1555" s="22" t="s">
        <v>105</v>
      </c>
      <c r="D1555" s="22" t="s">
        <v>112</v>
      </c>
      <c r="E1555" s="22" t="s">
        <v>106</v>
      </c>
      <c r="F1555" s="21" t="s">
        <v>108</v>
      </c>
      <c r="G1555" s="21" t="s">
        <v>28</v>
      </c>
      <c r="K1555" s="22" t="s">
        <v>34</v>
      </c>
      <c r="L1555" s="22" t="s">
        <v>104</v>
      </c>
      <c r="M1555" s="22" t="s">
        <v>105</v>
      </c>
      <c r="N1555" s="22" t="s">
        <v>112</v>
      </c>
      <c r="O1555" s="22" t="s">
        <v>106</v>
      </c>
      <c r="P1555" s="21" t="s">
        <v>108</v>
      </c>
      <c r="Q1555" s="21" t="s">
        <v>28</v>
      </c>
    </row>
    <row r="1556" spans="1:17" ht="15.75" x14ac:dyDescent="0.25">
      <c r="A1556" s="41" t="s">
        <v>17</v>
      </c>
      <c r="B1556" s="23">
        <v>2181</v>
      </c>
      <c r="C1556" s="42">
        <v>-46375</v>
      </c>
      <c r="D1556" s="23">
        <f t="shared" ref="D1556:D1575" si="544">+C1556+B1556</f>
        <v>-44194</v>
      </c>
      <c r="E1556" s="20">
        <v>0</v>
      </c>
      <c r="F1556" s="23">
        <f t="shared" ref="F1556:F1575" si="545">+B1556+C1556-E1556</f>
        <v>-44194</v>
      </c>
      <c r="G1556" s="23">
        <v>293581.25</v>
      </c>
      <c r="K1556" s="41" t="s">
        <v>17</v>
      </c>
      <c r="L1556" s="23">
        <v>0</v>
      </c>
      <c r="M1556" s="42">
        <v>29125</v>
      </c>
      <c r="N1556" s="23">
        <f t="shared" ref="N1556:N1575" si="546">+M1556+L1556</f>
        <v>29125</v>
      </c>
      <c r="O1556" s="20">
        <v>6000</v>
      </c>
      <c r="P1556" s="23">
        <f t="shared" ref="P1556:P1575" si="547">+L1556+M1556-O1556</f>
        <v>23125</v>
      </c>
      <c r="Q1556" s="23">
        <v>76250</v>
      </c>
    </row>
    <row r="1557" spans="1:17" ht="15.75" x14ac:dyDescent="0.25">
      <c r="A1557" s="41" t="s">
        <v>136</v>
      </c>
      <c r="B1557" s="23">
        <v>0</v>
      </c>
      <c r="C1557" s="42">
        <v>-45000</v>
      </c>
      <c r="D1557" s="23">
        <f t="shared" si="544"/>
        <v>-45000</v>
      </c>
      <c r="E1557" s="20">
        <v>0</v>
      </c>
      <c r="F1557" s="23">
        <f t="shared" si="545"/>
        <v>-45000</v>
      </c>
      <c r="G1557" s="23">
        <v>385000</v>
      </c>
      <c r="K1557" s="41" t="s">
        <v>136</v>
      </c>
      <c r="L1557" s="23">
        <v>11500</v>
      </c>
      <c r="M1557" s="42">
        <v>-20000</v>
      </c>
      <c r="N1557" s="23">
        <f t="shared" si="546"/>
        <v>-8500</v>
      </c>
      <c r="O1557" s="20">
        <v>25000</v>
      </c>
      <c r="P1557" s="23">
        <f t="shared" si="547"/>
        <v>-33500</v>
      </c>
      <c r="Q1557" s="23">
        <v>450000</v>
      </c>
    </row>
    <row r="1558" spans="1:17" ht="15.75" x14ac:dyDescent="0.25">
      <c r="A1558" s="41" t="s">
        <v>137</v>
      </c>
      <c r="B1558" s="23">
        <v>750</v>
      </c>
      <c r="C1558" s="42">
        <v>-56250</v>
      </c>
      <c r="D1558" s="23">
        <f t="shared" si="544"/>
        <v>-55500</v>
      </c>
      <c r="E1558" s="20">
        <v>0</v>
      </c>
      <c r="F1558" s="23">
        <f t="shared" si="545"/>
        <v>-55500</v>
      </c>
      <c r="G1558" s="23">
        <v>173125</v>
      </c>
      <c r="K1558" s="41" t="s">
        <v>137</v>
      </c>
      <c r="L1558" s="23">
        <v>2718</v>
      </c>
      <c r="M1558" s="42">
        <v>-14375</v>
      </c>
      <c r="N1558" s="23">
        <f t="shared" si="546"/>
        <v>-11657</v>
      </c>
      <c r="O1558" s="20">
        <v>3125.0000000000009</v>
      </c>
      <c r="P1558" s="23">
        <f t="shared" si="547"/>
        <v>-14782</v>
      </c>
      <c r="Q1558" s="23">
        <v>146875</v>
      </c>
    </row>
    <row r="1559" spans="1:17" ht="15.75" x14ac:dyDescent="0.25">
      <c r="A1559" s="41" t="s">
        <v>138</v>
      </c>
      <c r="B1559" s="23">
        <v>0</v>
      </c>
      <c r="C1559" s="42">
        <v>44250</v>
      </c>
      <c r="D1559" s="23">
        <f t="shared" si="544"/>
        <v>44250</v>
      </c>
      <c r="E1559" s="20">
        <v>0</v>
      </c>
      <c r="F1559" s="23">
        <f t="shared" si="545"/>
        <v>44250</v>
      </c>
      <c r="G1559" s="20">
        <v>192125</v>
      </c>
      <c r="K1559" s="41" t="s">
        <v>138</v>
      </c>
      <c r="L1559" s="23">
        <v>8000</v>
      </c>
      <c r="M1559" s="42">
        <v>74875</v>
      </c>
      <c r="N1559" s="23">
        <f t="shared" si="546"/>
        <v>82875</v>
      </c>
      <c r="O1559" s="20">
        <v>27125</v>
      </c>
      <c r="P1559" s="23">
        <f t="shared" si="547"/>
        <v>55750</v>
      </c>
      <c r="Q1559" s="20">
        <v>109250</v>
      </c>
    </row>
    <row r="1560" spans="1:17" ht="15.75" x14ac:dyDescent="0.25">
      <c r="A1560" s="41" t="s">
        <v>130</v>
      </c>
      <c r="B1560" s="23">
        <v>-25080</v>
      </c>
      <c r="C1560" s="42">
        <v>0</v>
      </c>
      <c r="D1560" s="23">
        <f t="shared" si="544"/>
        <v>-25080</v>
      </c>
      <c r="E1560" s="20">
        <v>0</v>
      </c>
      <c r="F1560" s="23">
        <f t="shared" si="545"/>
        <v>-25080</v>
      </c>
      <c r="G1560" s="20">
        <v>715635</v>
      </c>
      <c r="K1560" s="41" t="s">
        <v>130</v>
      </c>
      <c r="L1560" s="23">
        <v>-46170</v>
      </c>
      <c r="M1560" s="42">
        <v>-22800</v>
      </c>
      <c r="N1560" s="23">
        <f t="shared" si="546"/>
        <v>-68970</v>
      </c>
      <c r="O1560" s="20">
        <v>74100</v>
      </c>
      <c r="P1560" s="23">
        <f t="shared" si="547"/>
        <v>-143070</v>
      </c>
      <c r="Q1560" s="20">
        <v>467400</v>
      </c>
    </row>
    <row r="1561" spans="1:17" ht="15.75" x14ac:dyDescent="0.25">
      <c r="A1561" s="41" t="s">
        <v>139</v>
      </c>
      <c r="B1561" s="23">
        <v>787</v>
      </c>
      <c r="C1561" s="42">
        <v>-57750</v>
      </c>
      <c r="D1561" s="23">
        <f t="shared" si="544"/>
        <v>-56963</v>
      </c>
      <c r="E1561" s="20">
        <v>0</v>
      </c>
      <c r="F1561" s="23">
        <f t="shared" si="545"/>
        <v>-56963</v>
      </c>
      <c r="G1561" s="20">
        <v>687750.00000000012</v>
      </c>
      <c r="K1561" s="41" t="s">
        <v>139</v>
      </c>
      <c r="L1561" s="23">
        <v>-21000</v>
      </c>
      <c r="M1561" s="42">
        <v>52500</v>
      </c>
      <c r="N1561" s="23">
        <f t="shared" si="546"/>
        <v>31500</v>
      </c>
      <c r="O1561" s="20">
        <v>0</v>
      </c>
      <c r="P1561" s="23">
        <f t="shared" si="547"/>
        <v>31500</v>
      </c>
      <c r="Q1561" s="20">
        <v>682499.99999999988</v>
      </c>
    </row>
    <row r="1562" spans="1:17" ht="15.75" x14ac:dyDescent="0.25">
      <c r="A1562" s="41" t="s">
        <v>67</v>
      </c>
      <c r="B1562" s="23">
        <v>100</v>
      </c>
      <c r="C1562" s="42">
        <v>-53000</v>
      </c>
      <c r="D1562" s="23">
        <f t="shared" si="544"/>
        <v>-52900</v>
      </c>
      <c r="E1562" s="20">
        <v>0</v>
      </c>
      <c r="F1562" s="23">
        <f t="shared" si="545"/>
        <v>-52900</v>
      </c>
      <c r="G1562" s="20">
        <v>475000</v>
      </c>
      <c r="I1562" t="s">
        <v>149</v>
      </c>
      <c r="K1562" s="41" t="s">
        <v>67</v>
      </c>
      <c r="L1562" s="23">
        <v>9550</v>
      </c>
      <c r="M1562" s="42">
        <v>48000</v>
      </c>
      <c r="N1562" s="23">
        <f t="shared" si="546"/>
        <v>57550</v>
      </c>
      <c r="O1562" s="20">
        <v>-8000</v>
      </c>
      <c r="P1562" s="23">
        <f t="shared" si="547"/>
        <v>65550</v>
      </c>
      <c r="Q1562" s="20">
        <v>306000</v>
      </c>
    </row>
    <row r="1563" spans="1:17" ht="15.75" x14ac:dyDescent="0.25">
      <c r="A1563" s="41" t="s">
        <v>140</v>
      </c>
      <c r="B1563" s="23">
        <v>5110</v>
      </c>
      <c r="C1563" s="42">
        <v>-65800</v>
      </c>
      <c r="D1563" s="23">
        <f t="shared" si="544"/>
        <v>-60690</v>
      </c>
      <c r="E1563" s="20">
        <v>0</v>
      </c>
      <c r="F1563" s="23">
        <f t="shared" si="545"/>
        <v>-60690</v>
      </c>
      <c r="G1563" s="20">
        <v>451710</v>
      </c>
      <c r="K1563" s="41" t="s">
        <v>140</v>
      </c>
      <c r="L1563" s="23">
        <v>1400</v>
      </c>
      <c r="M1563" s="42">
        <v>-16800</v>
      </c>
      <c r="N1563" s="23">
        <f t="shared" si="546"/>
        <v>-15400</v>
      </c>
      <c r="O1563" s="20">
        <v>0</v>
      </c>
      <c r="P1563" s="23">
        <f t="shared" si="547"/>
        <v>-15400</v>
      </c>
      <c r="Q1563" s="20">
        <v>343000</v>
      </c>
    </row>
    <row r="1564" spans="1:17" ht="15.75" x14ac:dyDescent="0.25">
      <c r="A1564" s="41" t="s">
        <v>40</v>
      </c>
      <c r="B1564" s="23">
        <v>11137</v>
      </c>
      <c r="C1564" s="42">
        <v>-119625</v>
      </c>
      <c r="D1564" s="23">
        <f t="shared" si="544"/>
        <v>-108488</v>
      </c>
      <c r="E1564" s="20">
        <v>0</v>
      </c>
      <c r="F1564" s="23">
        <f t="shared" si="545"/>
        <v>-108488</v>
      </c>
      <c r="G1564" s="20">
        <v>203500</v>
      </c>
      <c r="K1564" s="41" t="s">
        <v>40</v>
      </c>
      <c r="L1564" s="23">
        <v>0</v>
      </c>
      <c r="M1564" s="42">
        <v>49500</v>
      </c>
      <c r="N1564" s="23">
        <f t="shared" si="546"/>
        <v>49500</v>
      </c>
      <c r="O1564" s="20">
        <v>-16500</v>
      </c>
      <c r="P1564" s="23">
        <f t="shared" si="547"/>
        <v>66000</v>
      </c>
      <c r="Q1564" s="20">
        <v>90750</v>
      </c>
    </row>
    <row r="1565" spans="1:17" ht="15.75" x14ac:dyDescent="0.25">
      <c r="A1565" s="41" t="s">
        <v>127</v>
      </c>
      <c r="B1565" s="23">
        <v>-1991</v>
      </c>
      <c r="C1565" s="42">
        <v>-46574.999999999985</v>
      </c>
      <c r="D1565" s="23">
        <f t="shared" si="544"/>
        <v>-48565.999999999985</v>
      </c>
      <c r="E1565" s="20">
        <v>0</v>
      </c>
      <c r="F1565" s="23">
        <f t="shared" si="545"/>
        <v>-48565.999999999985</v>
      </c>
      <c r="G1565" s="20">
        <v>300780.00000000006</v>
      </c>
      <c r="K1565" s="41" t="s">
        <v>127</v>
      </c>
      <c r="L1565" s="23">
        <v>-7391</v>
      </c>
      <c r="M1565" s="42">
        <v>-15525</v>
      </c>
      <c r="N1565" s="23">
        <f t="shared" si="546"/>
        <v>-22916</v>
      </c>
      <c r="O1565" s="20">
        <v>-2025</v>
      </c>
      <c r="P1565" s="23">
        <f t="shared" si="547"/>
        <v>-20891</v>
      </c>
      <c r="Q1565" s="20">
        <v>238950</v>
      </c>
    </row>
    <row r="1566" spans="1:17" ht="15.75" x14ac:dyDescent="0.25">
      <c r="A1566" s="41" t="s">
        <v>141</v>
      </c>
      <c r="B1566" s="23">
        <v>-11475</v>
      </c>
      <c r="C1566" s="42">
        <v>-134999.99999999994</v>
      </c>
      <c r="D1566" s="23">
        <f t="shared" si="544"/>
        <v>-146474.99999999994</v>
      </c>
      <c r="E1566" s="20">
        <v>0</v>
      </c>
      <c r="F1566" s="23">
        <f t="shared" si="545"/>
        <v>-146474.99999999994</v>
      </c>
      <c r="G1566" s="20">
        <v>836775</v>
      </c>
      <c r="K1566" s="41" t="s">
        <v>141</v>
      </c>
      <c r="L1566" s="23">
        <v>-34875</v>
      </c>
      <c r="M1566" s="42">
        <v>-13500.000000000015</v>
      </c>
      <c r="N1566" s="23">
        <f t="shared" si="546"/>
        <v>-48375.000000000015</v>
      </c>
      <c r="O1566" s="20">
        <v>13500</v>
      </c>
      <c r="P1566" s="23">
        <f t="shared" si="547"/>
        <v>-61875.000000000015</v>
      </c>
      <c r="Q1566" s="20">
        <v>553500</v>
      </c>
    </row>
    <row r="1567" spans="1:17" ht="15.75" x14ac:dyDescent="0.25">
      <c r="A1567" s="41" t="s">
        <v>38</v>
      </c>
      <c r="B1567" s="23">
        <v>0</v>
      </c>
      <c r="C1567" s="42">
        <v>-82300</v>
      </c>
      <c r="D1567" s="23">
        <f t="shared" si="544"/>
        <v>-82300</v>
      </c>
      <c r="E1567" s="20">
        <v>0</v>
      </c>
      <c r="F1567" s="23">
        <f t="shared" si="545"/>
        <v>-82300</v>
      </c>
      <c r="G1567" s="20">
        <v>420400</v>
      </c>
      <c r="K1567" s="41" t="s">
        <v>38</v>
      </c>
      <c r="L1567" s="23">
        <v>18980</v>
      </c>
      <c r="M1567" s="42">
        <v>62000</v>
      </c>
      <c r="N1567" s="23">
        <f t="shared" si="546"/>
        <v>80980</v>
      </c>
      <c r="O1567" s="20">
        <v>-600</v>
      </c>
      <c r="P1567" s="23">
        <f t="shared" si="547"/>
        <v>81580</v>
      </c>
      <c r="Q1567" s="20">
        <v>379600</v>
      </c>
    </row>
    <row r="1568" spans="1:17" ht="15.75" x14ac:dyDescent="0.25">
      <c r="A1568" s="41" t="s">
        <v>142</v>
      </c>
      <c r="B1568" s="23">
        <v>-14437</v>
      </c>
      <c r="C1568" s="42">
        <v>-19250.000000000004</v>
      </c>
      <c r="D1568" s="23">
        <f t="shared" si="544"/>
        <v>-33687</v>
      </c>
      <c r="E1568" s="20">
        <v>0</v>
      </c>
      <c r="F1568" s="23">
        <f t="shared" si="545"/>
        <v>-33687</v>
      </c>
      <c r="G1568" s="20">
        <v>363385</v>
      </c>
      <c r="K1568" s="41" t="s">
        <v>142</v>
      </c>
      <c r="L1568" s="23">
        <v>-4262</v>
      </c>
      <c r="M1568" s="42">
        <v>-14850</v>
      </c>
      <c r="N1568" s="23">
        <f t="shared" si="546"/>
        <v>-19112</v>
      </c>
      <c r="O1568" s="20">
        <v>-9900.0000000000036</v>
      </c>
      <c r="P1568" s="23">
        <f t="shared" si="547"/>
        <v>-9211.9999999999964</v>
      </c>
      <c r="Q1568" s="20">
        <v>184800</v>
      </c>
    </row>
    <row r="1569" spans="1:20" ht="15.75" x14ac:dyDescent="0.25">
      <c r="A1569" s="41" t="s">
        <v>143</v>
      </c>
      <c r="B1569" s="23">
        <v>3780</v>
      </c>
      <c r="C1569" s="42">
        <v>-93600</v>
      </c>
      <c r="D1569" s="23">
        <f t="shared" si="544"/>
        <v>-89820</v>
      </c>
      <c r="E1569" s="20">
        <v>0</v>
      </c>
      <c r="F1569" s="23">
        <f t="shared" si="545"/>
        <v>-89820</v>
      </c>
      <c r="G1569" s="20">
        <v>312660</v>
      </c>
      <c r="K1569" s="41" t="s">
        <v>143</v>
      </c>
      <c r="L1569" s="23">
        <v>0</v>
      </c>
      <c r="M1569" s="42">
        <v>48600</v>
      </c>
      <c r="N1569" s="23">
        <f t="shared" si="546"/>
        <v>48600</v>
      </c>
      <c r="O1569" s="20">
        <v>-900</v>
      </c>
      <c r="P1569" s="23">
        <f t="shared" si="547"/>
        <v>49500</v>
      </c>
      <c r="Q1569" s="20">
        <v>279045</v>
      </c>
    </row>
    <row r="1570" spans="1:20" ht="15.75" x14ac:dyDescent="0.25">
      <c r="A1570" s="41" t="s">
        <v>87</v>
      </c>
      <c r="B1570" s="23">
        <v>-337</v>
      </c>
      <c r="C1570" s="42">
        <v>-37125</v>
      </c>
      <c r="D1570" s="23">
        <f t="shared" si="544"/>
        <v>-37462</v>
      </c>
      <c r="E1570" s="20">
        <v>0</v>
      </c>
      <c r="F1570" s="23">
        <f t="shared" si="545"/>
        <v>-37462</v>
      </c>
      <c r="G1570" s="23">
        <v>502875</v>
      </c>
      <c r="K1570" s="41" t="s">
        <v>87</v>
      </c>
      <c r="L1570" s="23">
        <v>10800</v>
      </c>
      <c r="M1570" s="42">
        <v>27000</v>
      </c>
      <c r="N1570" s="23">
        <f t="shared" si="546"/>
        <v>37800</v>
      </c>
      <c r="O1570" s="20">
        <v>13500</v>
      </c>
      <c r="P1570" s="23">
        <f t="shared" si="547"/>
        <v>24300</v>
      </c>
      <c r="Q1570" s="23">
        <v>374625</v>
      </c>
    </row>
    <row r="1571" spans="1:20" ht="15.75" x14ac:dyDescent="0.25">
      <c r="A1571" s="41" t="s">
        <v>144</v>
      </c>
      <c r="B1571" s="23">
        <v>0</v>
      </c>
      <c r="C1571" s="42">
        <v>-51625</v>
      </c>
      <c r="D1571" s="23">
        <f t="shared" si="544"/>
        <v>-51625</v>
      </c>
      <c r="E1571" s="20">
        <v>0</v>
      </c>
      <c r="F1571" s="23">
        <f t="shared" si="545"/>
        <v>-51625</v>
      </c>
      <c r="G1571" s="23">
        <v>244475</v>
      </c>
      <c r="K1571" s="41" t="s">
        <v>144</v>
      </c>
      <c r="L1571" s="23">
        <v>0</v>
      </c>
      <c r="M1571" s="42">
        <v>22050.000000000007</v>
      </c>
      <c r="N1571" s="23">
        <f t="shared" si="546"/>
        <v>22050.000000000007</v>
      </c>
      <c r="O1571" s="20">
        <v>-1574.9999999999991</v>
      </c>
      <c r="P1571" s="23">
        <f t="shared" si="547"/>
        <v>23625.000000000007</v>
      </c>
      <c r="Q1571" s="23">
        <v>191800</v>
      </c>
    </row>
    <row r="1572" spans="1:20" ht="15.75" x14ac:dyDescent="0.25">
      <c r="A1572" s="41" t="s">
        <v>145</v>
      </c>
      <c r="B1572" s="23">
        <v>17517</v>
      </c>
      <c r="C1572" s="42">
        <v>100100</v>
      </c>
      <c r="D1572" s="23">
        <f t="shared" si="544"/>
        <v>117617</v>
      </c>
      <c r="E1572" s="20">
        <v>0</v>
      </c>
      <c r="F1572" s="23">
        <f t="shared" si="545"/>
        <v>117617</v>
      </c>
      <c r="G1572" s="23">
        <v>0</v>
      </c>
      <c r="K1572" s="41" t="s">
        <v>145</v>
      </c>
      <c r="L1572" s="23">
        <v>0</v>
      </c>
      <c r="M1572" s="42">
        <v>0</v>
      </c>
      <c r="N1572" s="23">
        <f t="shared" si="546"/>
        <v>0</v>
      </c>
      <c r="O1572" s="20">
        <v>0</v>
      </c>
      <c r="P1572" s="23">
        <f t="shared" si="547"/>
        <v>0</v>
      </c>
      <c r="Q1572" s="23">
        <v>0</v>
      </c>
    </row>
    <row r="1573" spans="1:20" ht="15.75" x14ac:dyDescent="0.25">
      <c r="A1573" s="41" t="s">
        <v>53</v>
      </c>
      <c r="B1573" s="23">
        <v>4140</v>
      </c>
      <c r="C1573" s="42">
        <v>-124200</v>
      </c>
      <c r="D1573" s="23">
        <f t="shared" si="544"/>
        <v>-120060</v>
      </c>
      <c r="E1573" s="20">
        <v>0</v>
      </c>
      <c r="F1573" s="23">
        <f t="shared" si="545"/>
        <v>-120060</v>
      </c>
      <c r="G1573" s="23">
        <v>365125.00000000006</v>
      </c>
      <c r="K1573" s="41" t="s">
        <v>53</v>
      </c>
      <c r="L1573" s="23">
        <v>-7360</v>
      </c>
      <c r="M1573" s="42">
        <v>-20700</v>
      </c>
      <c r="N1573" s="23">
        <f t="shared" si="546"/>
        <v>-28060</v>
      </c>
      <c r="O1573" s="20">
        <v>-18400.000000000004</v>
      </c>
      <c r="P1573" s="23">
        <f t="shared" si="547"/>
        <v>-9659.9999999999964</v>
      </c>
      <c r="Q1573" s="23">
        <v>331200</v>
      </c>
      <c r="T1573">
        <f>12138+9046-69545</f>
        <v>-48361</v>
      </c>
    </row>
    <row r="1574" spans="1:20" ht="15.75" x14ac:dyDescent="0.25">
      <c r="A1574" s="41" t="s">
        <v>45</v>
      </c>
      <c r="B1574" s="23">
        <v>-225</v>
      </c>
      <c r="C1574" s="42">
        <v>-82500</v>
      </c>
      <c r="D1574" s="23">
        <f t="shared" si="544"/>
        <v>-82725</v>
      </c>
      <c r="E1574" s="20">
        <v>0</v>
      </c>
      <c r="F1574" s="23">
        <f t="shared" si="545"/>
        <v>-82725</v>
      </c>
      <c r="G1574" s="23">
        <v>466425</v>
      </c>
      <c r="K1574" s="41" t="s">
        <v>45</v>
      </c>
      <c r="L1574" s="23">
        <v>9750</v>
      </c>
      <c r="M1574" s="42">
        <v>22500</v>
      </c>
      <c r="N1574" s="23">
        <f t="shared" si="546"/>
        <v>32250</v>
      </c>
      <c r="O1574" s="20">
        <v>-1500</v>
      </c>
      <c r="P1574" s="23">
        <f t="shared" si="547"/>
        <v>33750</v>
      </c>
      <c r="Q1574" s="23">
        <v>433500</v>
      </c>
    </row>
    <row r="1575" spans="1:20" ht="15.75" x14ac:dyDescent="0.25">
      <c r="A1575" s="41" t="s">
        <v>148</v>
      </c>
      <c r="B1575" s="23">
        <v>-26687</v>
      </c>
      <c r="C1575" s="42">
        <v>277499.99999999994</v>
      </c>
      <c r="D1575" s="23">
        <f t="shared" si="544"/>
        <v>250812.99999999994</v>
      </c>
      <c r="E1575" s="20">
        <v>0</v>
      </c>
      <c r="F1575" s="23">
        <f t="shared" si="545"/>
        <v>250812.99999999994</v>
      </c>
      <c r="G1575" s="23">
        <v>0</v>
      </c>
      <c r="K1575" s="41" t="s">
        <v>148</v>
      </c>
      <c r="L1575" s="23">
        <v>0</v>
      </c>
      <c r="M1575" s="42">
        <v>0</v>
      </c>
      <c r="N1575" s="23">
        <f t="shared" si="546"/>
        <v>0</v>
      </c>
      <c r="O1575" s="20">
        <v>0</v>
      </c>
      <c r="P1575" s="23">
        <f t="shared" si="547"/>
        <v>0</v>
      </c>
      <c r="Q1575" s="23">
        <v>0</v>
      </c>
    </row>
    <row r="1576" spans="1:20" ht="15.75" x14ac:dyDescent="0.25">
      <c r="A1576" s="21" t="s">
        <v>107</v>
      </c>
      <c r="B1576" s="22">
        <f t="shared" ref="B1576:G1576" si="548">SUM(B1556:B1575)</f>
        <v>-34730</v>
      </c>
      <c r="C1576" s="18">
        <f t="shared" si="548"/>
        <v>-694125</v>
      </c>
      <c r="D1576" s="23">
        <f t="shared" si="548"/>
        <v>-728855</v>
      </c>
      <c r="E1576" s="18">
        <f t="shared" si="548"/>
        <v>0</v>
      </c>
      <c r="F1576" s="23">
        <f t="shared" si="548"/>
        <v>-728855</v>
      </c>
      <c r="G1576" s="17">
        <f t="shared" si="548"/>
        <v>7390326.25</v>
      </c>
      <c r="K1576" s="21" t="s">
        <v>107</v>
      </c>
      <c r="L1576" s="22">
        <f t="shared" ref="L1576:Q1576" si="549">SUM(L1556:L1575)</f>
        <v>-48360</v>
      </c>
      <c r="M1576" s="18">
        <f t="shared" si="549"/>
        <v>297600</v>
      </c>
      <c r="N1576" s="23">
        <f t="shared" si="549"/>
        <v>249240</v>
      </c>
      <c r="O1576" s="18">
        <f t="shared" si="549"/>
        <v>102950</v>
      </c>
      <c r="P1576" s="23">
        <f t="shared" si="549"/>
        <v>146290</v>
      </c>
      <c r="Q1576" s="17">
        <f t="shared" si="549"/>
        <v>5639045</v>
      </c>
    </row>
    <row r="1579" spans="1:20" ht="15.75" x14ac:dyDescent="0.25">
      <c r="A1579" s="107">
        <v>45200</v>
      </c>
      <c r="B1579" s="108"/>
      <c r="C1579" s="108"/>
      <c r="D1579" s="108"/>
      <c r="E1579" s="108"/>
      <c r="F1579" s="108"/>
      <c r="G1579" s="109"/>
      <c r="K1579" s="107">
        <v>45231</v>
      </c>
      <c r="L1579" s="108"/>
      <c r="M1579" s="108"/>
      <c r="N1579" s="108"/>
      <c r="O1579" s="108"/>
      <c r="P1579" s="108"/>
      <c r="Q1579" s="109"/>
    </row>
    <row r="1580" spans="1:20" ht="15.75" x14ac:dyDescent="0.25">
      <c r="A1580" s="22" t="s">
        <v>34</v>
      </c>
      <c r="B1580" s="22" t="s">
        <v>104</v>
      </c>
      <c r="C1580" s="22" t="s">
        <v>105</v>
      </c>
      <c r="D1580" s="22" t="s">
        <v>112</v>
      </c>
      <c r="E1580" s="22" t="s">
        <v>106</v>
      </c>
      <c r="F1580" s="21" t="s">
        <v>108</v>
      </c>
      <c r="G1580" s="21" t="s">
        <v>28</v>
      </c>
      <c r="K1580" s="22" t="s">
        <v>34</v>
      </c>
      <c r="L1580" s="22" t="s">
        <v>104</v>
      </c>
      <c r="M1580" s="22" t="s">
        <v>105</v>
      </c>
      <c r="N1580" s="22" t="s">
        <v>112</v>
      </c>
      <c r="O1580" s="22" t="s">
        <v>106</v>
      </c>
      <c r="P1580" s="21" t="s">
        <v>108</v>
      </c>
      <c r="Q1580" s="21" t="s">
        <v>28</v>
      </c>
    </row>
    <row r="1581" spans="1:20" ht="15.75" x14ac:dyDescent="0.25">
      <c r="A1581" s="41" t="s">
        <v>17</v>
      </c>
      <c r="B1581" s="23">
        <v>-11093</v>
      </c>
      <c r="C1581" s="42">
        <v>21250</v>
      </c>
      <c r="D1581" s="23">
        <f t="shared" ref="D1581:D1600" si="550">+C1581+B1581</f>
        <v>10157</v>
      </c>
      <c r="E1581" s="20">
        <v>-70600</v>
      </c>
      <c r="F1581" s="20">
        <f>+B1581+C1581-E1581</f>
        <v>80757</v>
      </c>
      <c r="G1581" s="23">
        <v>140125</v>
      </c>
      <c r="K1581" s="41" t="s">
        <v>17</v>
      </c>
      <c r="L1581" s="23">
        <v>1993</v>
      </c>
      <c r="M1581" s="42">
        <v>30750</v>
      </c>
      <c r="N1581" s="23">
        <f t="shared" ref="N1581:N1600" si="551">+M1581+L1581</f>
        <v>32743</v>
      </c>
      <c r="O1581" s="20">
        <v>17625</v>
      </c>
      <c r="P1581" s="20">
        <f>+L1581+M1581-O1581</f>
        <v>15118</v>
      </c>
      <c r="Q1581" s="23">
        <v>0</v>
      </c>
    </row>
    <row r="1582" spans="1:20" ht="15.75" x14ac:dyDescent="0.25">
      <c r="A1582" s="41" t="s">
        <v>136</v>
      </c>
      <c r="B1582" s="23">
        <v>-14750</v>
      </c>
      <c r="C1582" s="42">
        <v>-80000</v>
      </c>
      <c r="D1582" s="23">
        <f t="shared" si="550"/>
        <v>-94750</v>
      </c>
      <c r="E1582" s="20">
        <v>10000</v>
      </c>
      <c r="F1582" s="23">
        <f t="shared" ref="F1582:F1600" si="552">+B1582+C1582-E1582</f>
        <v>-104750</v>
      </c>
      <c r="G1582" s="23">
        <v>175000</v>
      </c>
      <c r="K1582" s="41" t="s">
        <v>136</v>
      </c>
      <c r="L1582" s="23">
        <v>27500</v>
      </c>
      <c r="M1582" s="42">
        <v>10000</v>
      </c>
      <c r="N1582" s="23">
        <f t="shared" si="551"/>
        <v>37500</v>
      </c>
      <c r="O1582" s="20">
        <v>-10000</v>
      </c>
      <c r="P1582" s="23">
        <f t="shared" ref="P1582:P1600" si="553">+L1582+M1582-O1582</f>
        <v>47500</v>
      </c>
      <c r="Q1582" s="23">
        <v>0</v>
      </c>
    </row>
    <row r="1583" spans="1:20" ht="15.75" x14ac:dyDescent="0.25">
      <c r="A1583" s="41" t="s">
        <v>137</v>
      </c>
      <c r="B1583" s="23">
        <v>9093</v>
      </c>
      <c r="C1583" s="42">
        <v>-26875.000000000007</v>
      </c>
      <c r="D1583" s="23">
        <f t="shared" si="550"/>
        <v>-17782.000000000007</v>
      </c>
      <c r="E1583" s="20">
        <v>625</v>
      </c>
      <c r="F1583" s="23">
        <f t="shared" si="552"/>
        <v>-18407.000000000007</v>
      </c>
      <c r="G1583" s="23">
        <v>101875.00000000003</v>
      </c>
      <c r="K1583" s="41" t="s">
        <v>137</v>
      </c>
      <c r="L1583" s="23">
        <v>-937</v>
      </c>
      <c r="M1583" s="42">
        <v>36875</v>
      </c>
      <c r="N1583" s="23">
        <f t="shared" si="551"/>
        <v>35938</v>
      </c>
      <c r="O1583" s="20">
        <v>-6875</v>
      </c>
      <c r="P1583" s="23">
        <f t="shared" si="553"/>
        <v>42813</v>
      </c>
      <c r="Q1583" s="23">
        <v>0</v>
      </c>
    </row>
    <row r="1584" spans="1:20" ht="15.75" x14ac:dyDescent="0.25">
      <c r="A1584" s="41" t="s">
        <v>138</v>
      </c>
      <c r="B1584" s="23">
        <v>11606</v>
      </c>
      <c r="C1584" s="42">
        <v>-60125</v>
      </c>
      <c r="D1584" s="23">
        <f t="shared" si="550"/>
        <v>-48519</v>
      </c>
      <c r="E1584" s="20">
        <v>41875</v>
      </c>
      <c r="F1584" s="23">
        <f t="shared" si="552"/>
        <v>-90394</v>
      </c>
      <c r="G1584" s="20">
        <v>188750</v>
      </c>
      <c r="K1584" s="41" t="s">
        <v>138</v>
      </c>
      <c r="L1584" s="23">
        <v>-80356</v>
      </c>
      <c r="M1584" s="42">
        <v>189875</v>
      </c>
      <c r="N1584" s="23">
        <f t="shared" si="551"/>
        <v>109519</v>
      </c>
      <c r="O1584" s="20">
        <v>-1375</v>
      </c>
      <c r="P1584" s="23">
        <f t="shared" si="553"/>
        <v>110894</v>
      </c>
      <c r="Q1584" s="20">
        <v>0</v>
      </c>
    </row>
    <row r="1585" spans="1:17" ht="15.75" x14ac:dyDescent="0.25">
      <c r="A1585" s="41" t="s">
        <v>130</v>
      </c>
      <c r="B1585" s="23">
        <v>0</v>
      </c>
      <c r="C1585" s="42">
        <v>51300</v>
      </c>
      <c r="D1585" s="23">
        <f t="shared" si="550"/>
        <v>51300</v>
      </c>
      <c r="E1585" s="20">
        <v>-11400</v>
      </c>
      <c r="F1585" s="23">
        <f t="shared" si="552"/>
        <v>62700</v>
      </c>
      <c r="G1585" s="20">
        <v>387600</v>
      </c>
      <c r="K1585" s="41" t="s">
        <v>130</v>
      </c>
      <c r="L1585" s="23">
        <v>23940</v>
      </c>
      <c r="M1585" s="42">
        <v>-74100</v>
      </c>
      <c r="N1585" s="23">
        <f t="shared" si="551"/>
        <v>-50160</v>
      </c>
      <c r="O1585" s="20">
        <v>28500</v>
      </c>
      <c r="P1585" s="23">
        <f t="shared" si="553"/>
        <v>-78660</v>
      </c>
      <c r="Q1585" s="20">
        <v>0</v>
      </c>
    </row>
    <row r="1586" spans="1:17" ht="15.75" x14ac:dyDescent="0.25">
      <c r="A1586" s="41" t="s">
        <v>139</v>
      </c>
      <c r="B1586" s="23">
        <v>-1312</v>
      </c>
      <c r="C1586" s="42">
        <v>146999.99999999997</v>
      </c>
      <c r="D1586" s="23">
        <f t="shared" si="550"/>
        <v>145687.99999999997</v>
      </c>
      <c r="E1586" s="20">
        <v>26250</v>
      </c>
      <c r="F1586" s="23">
        <f t="shared" si="552"/>
        <v>119437.99999999997</v>
      </c>
      <c r="G1586" s="20">
        <v>608999.99999999988</v>
      </c>
      <c r="K1586" s="41" t="s">
        <v>139</v>
      </c>
      <c r="L1586" s="23">
        <v>9712</v>
      </c>
      <c r="M1586" s="42">
        <v>-105000.00000000003</v>
      </c>
      <c r="N1586" s="23">
        <f t="shared" si="551"/>
        <v>-95288.000000000029</v>
      </c>
      <c r="O1586" s="20">
        <v>5250</v>
      </c>
      <c r="P1586" s="23">
        <f t="shared" si="553"/>
        <v>-100538.00000000003</v>
      </c>
      <c r="Q1586" s="20">
        <v>0</v>
      </c>
    </row>
    <row r="1587" spans="1:17" ht="15.75" x14ac:dyDescent="0.25">
      <c r="A1587" s="41" t="s">
        <v>67</v>
      </c>
      <c r="B1587" s="23">
        <v>-25500</v>
      </c>
      <c r="C1587" s="42">
        <v>151000</v>
      </c>
      <c r="D1587" s="23">
        <f t="shared" si="550"/>
        <v>125500</v>
      </c>
      <c r="E1587" s="20">
        <v>3000</v>
      </c>
      <c r="F1587" s="23">
        <f t="shared" si="552"/>
        <v>122500</v>
      </c>
      <c r="G1587" s="20">
        <v>284000</v>
      </c>
      <c r="K1587" s="41" t="s">
        <v>67</v>
      </c>
      <c r="L1587" s="23">
        <v>83800</v>
      </c>
      <c r="M1587" s="42">
        <v>33000</v>
      </c>
      <c r="N1587" s="23">
        <f t="shared" si="551"/>
        <v>116800</v>
      </c>
      <c r="O1587" s="20">
        <v>4000</v>
      </c>
      <c r="P1587" s="23">
        <f t="shared" si="553"/>
        <v>112800</v>
      </c>
      <c r="Q1587" s="20">
        <v>0</v>
      </c>
    </row>
    <row r="1588" spans="1:17" ht="15.75" x14ac:dyDescent="0.25">
      <c r="A1588" s="41" t="s">
        <v>140</v>
      </c>
      <c r="B1588" s="23">
        <v>-4900</v>
      </c>
      <c r="C1588" s="42">
        <v>35000</v>
      </c>
      <c r="D1588" s="23">
        <f t="shared" si="550"/>
        <v>30100</v>
      </c>
      <c r="E1588" s="20">
        <v>-11200</v>
      </c>
      <c r="F1588" s="23">
        <f t="shared" si="552"/>
        <v>41300</v>
      </c>
      <c r="G1588" s="20">
        <v>212800</v>
      </c>
      <c r="K1588" s="41" t="s">
        <v>140</v>
      </c>
      <c r="L1588" s="23">
        <v>-23730</v>
      </c>
      <c r="M1588" s="42">
        <v>-26600</v>
      </c>
      <c r="N1588" s="23">
        <f t="shared" si="551"/>
        <v>-50330</v>
      </c>
      <c r="O1588" s="20">
        <v>7000</v>
      </c>
      <c r="P1588" s="23">
        <f t="shared" si="553"/>
        <v>-57330</v>
      </c>
      <c r="Q1588" s="20">
        <v>0</v>
      </c>
    </row>
    <row r="1589" spans="1:17" ht="15.75" x14ac:dyDescent="0.25">
      <c r="A1589" s="41" t="s">
        <v>40</v>
      </c>
      <c r="B1589" s="23">
        <v>2268</v>
      </c>
      <c r="C1589" s="42">
        <v>-127875</v>
      </c>
      <c r="D1589" s="23">
        <f t="shared" si="550"/>
        <v>-125607</v>
      </c>
      <c r="E1589" s="20">
        <v>6875</v>
      </c>
      <c r="F1589" s="23">
        <f t="shared" si="552"/>
        <v>-132482</v>
      </c>
      <c r="G1589" s="20">
        <v>236500</v>
      </c>
      <c r="K1589" s="41" t="s">
        <v>40</v>
      </c>
      <c r="L1589" s="23">
        <v>-61531</v>
      </c>
      <c r="M1589" s="42">
        <v>78375.000000000029</v>
      </c>
      <c r="N1589" s="23">
        <f t="shared" si="551"/>
        <v>16844.000000000029</v>
      </c>
      <c r="O1589" s="20">
        <v>-8250</v>
      </c>
      <c r="P1589" s="23">
        <f t="shared" si="553"/>
        <v>25094.000000000029</v>
      </c>
      <c r="Q1589" s="20">
        <v>0</v>
      </c>
    </row>
    <row r="1590" spans="1:17" ht="15.75" x14ac:dyDescent="0.25">
      <c r="A1590" s="41" t="s">
        <v>127</v>
      </c>
      <c r="B1590" s="23">
        <v>9517</v>
      </c>
      <c r="C1590" s="42">
        <v>24975</v>
      </c>
      <c r="D1590" s="23">
        <f t="shared" si="550"/>
        <v>34492</v>
      </c>
      <c r="E1590" s="20">
        <v>-13500</v>
      </c>
      <c r="F1590" s="23">
        <f t="shared" si="552"/>
        <v>47992</v>
      </c>
      <c r="G1590" s="20">
        <v>163350</v>
      </c>
      <c r="K1590" s="41" t="s">
        <v>127</v>
      </c>
      <c r="L1590" s="23">
        <f>4590-9450</f>
        <v>-4860</v>
      </c>
      <c r="M1590" s="42">
        <v>-33750</v>
      </c>
      <c r="N1590" s="23">
        <f t="shared" si="551"/>
        <v>-38610</v>
      </c>
      <c r="O1590" s="20">
        <v>-3375</v>
      </c>
      <c r="P1590" s="23">
        <f t="shared" si="553"/>
        <v>-35235</v>
      </c>
      <c r="Q1590" s="20">
        <v>0</v>
      </c>
    </row>
    <row r="1591" spans="1:17" ht="15.75" x14ac:dyDescent="0.25">
      <c r="A1591" s="41" t="s">
        <v>141</v>
      </c>
      <c r="B1591" s="23">
        <v>13950</v>
      </c>
      <c r="C1591" s="42">
        <v>-189000</v>
      </c>
      <c r="D1591" s="23">
        <f t="shared" si="550"/>
        <v>-175050</v>
      </c>
      <c r="E1591" s="20">
        <v>-40500</v>
      </c>
      <c r="F1591" s="23">
        <f t="shared" si="552"/>
        <v>-134550</v>
      </c>
      <c r="G1591" s="20">
        <v>247500.00000000003</v>
      </c>
      <c r="K1591" s="41" t="s">
        <v>141</v>
      </c>
      <c r="L1591" s="23">
        <v>-15750</v>
      </c>
      <c r="M1591" s="42">
        <v>-13500.000000000004</v>
      </c>
      <c r="N1591" s="23">
        <f t="shared" si="551"/>
        <v>-29250.000000000004</v>
      </c>
      <c r="O1591" s="20">
        <v>31500</v>
      </c>
      <c r="P1591" s="23">
        <f t="shared" si="553"/>
        <v>-60750</v>
      </c>
      <c r="Q1591" s="20">
        <v>0</v>
      </c>
    </row>
    <row r="1592" spans="1:17" ht="15.75" x14ac:dyDescent="0.25">
      <c r="A1592" s="41" t="s">
        <v>38</v>
      </c>
      <c r="B1592" s="23">
        <v>-16200</v>
      </c>
      <c r="C1592" s="42">
        <v>49300</v>
      </c>
      <c r="D1592" s="23">
        <f t="shared" si="550"/>
        <v>33100</v>
      </c>
      <c r="E1592" s="20">
        <v>18400</v>
      </c>
      <c r="F1592" s="23">
        <f t="shared" si="552"/>
        <v>14700</v>
      </c>
      <c r="G1592" s="20">
        <v>286500</v>
      </c>
      <c r="K1592" s="41" t="s">
        <v>38</v>
      </c>
      <c r="L1592" s="23">
        <v>-26970</v>
      </c>
      <c r="M1592" s="42">
        <v>6300</v>
      </c>
      <c r="N1592" s="23">
        <f t="shared" si="551"/>
        <v>-20670</v>
      </c>
      <c r="O1592" s="20">
        <v>-9600</v>
      </c>
      <c r="P1592" s="23">
        <f t="shared" si="553"/>
        <v>-11070</v>
      </c>
      <c r="Q1592" s="20">
        <v>0</v>
      </c>
    </row>
    <row r="1593" spans="1:17" ht="15.75" x14ac:dyDescent="0.25">
      <c r="A1593" s="41" t="s">
        <v>142</v>
      </c>
      <c r="B1593" s="23">
        <v>-687</v>
      </c>
      <c r="C1593" s="42">
        <v>-61600</v>
      </c>
      <c r="D1593" s="23">
        <f t="shared" si="550"/>
        <v>-62287</v>
      </c>
      <c r="E1593" s="20">
        <v>-7699.9999999999964</v>
      </c>
      <c r="F1593" s="23">
        <f t="shared" si="552"/>
        <v>-54587</v>
      </c>
      <c r="G1593" s="20">
        <v>234299.99999999994</v>
      </c>
      <c r="K1593" s="41" t="s">
        <v>142</v>
      </c>
      <c r="L1593" s="23">
        <f>-12677-8415</f>
        <v>-21092</v>
      </c>
      <c r="M1593" s="42">
        <v>41799.999999999985</v>
      </c>
      <c r="N1593" s="23">
        <f t="shared" si="551"/>
        <v>20707.999999999985</v>
      </c>
      <c r="O1593" s="20">
        <v>-15949.999999999998</v>
      </c>
      <c r="P1593" s="23">
        <f t="shared" si="553"/>
        <v>36657.999999999985</v>
      </c>
      <c r="Q1593" s="20">
        <v>0</v>
      </c>
    </row>
    <row r="1594" spans="1:17" ht="15.75" x14ac:dyDescent="0.25">
      <c r="A1594" s="41" t="s">
        <v>143</v>
      </c>
      <c r="B1594" s="23">
        <v>15885</v>
      </c>
      <c r="C1594" s="42">
        <v>19800</v>
      </c>
      <c r="D1594" s="23">
        <f t="shared" si="550"/>
        <v>35685</v>
      </c>
      <c r="E1594" s="20">
        <v>33300</v>
      </c>
      <c r="F1594" s="23">
        <f t="shared" si="552"/>
        <v>2385</v>
      </c>
      <c r="G1594" s="20">
        <v>174600</v>
      </c>
      <c r="K1594" s="41" t="s">
        <v>143</v>
      </c>
      <c r="L1594" s="23">
        <v>-34290</v>
      </c>
      <c r="M1594" s="42">
        <v>19800</v>
      </c>
      <c r="N1594" s="23">
        <f t="shared" si="551"/>
        <v>-14490</v>
      </c>
      <c r="O1594" s="20">
        <v>8100</v>
      </c>
      <c r="P1594" s="23">
        <f t="shared" si="553"/>
        <v>-22590</v>
      </c>
      <c r="Q1594" s="20">
        <v>0</v>
      </c>
    </row>
    <row r="1595" spans="1:17" ht="15.75" x14ac:dyDescent="0.25">
      <c r="A1595" s="41" t="s">
        <v>87</v>
      </c>
      <c r="B1595" s="23">
        <v>-17718</v>
      </c>
      <c r="C1595" s="42">
        <v>155250</v>
      </c>
      <c r="D1595" s="23">
        <f t="shared" si="550"/>
        <v>137532</v>
      </c>
      <c r="E1595" s="20">
        <v>6750</v>
      </c>
      <c r="F1595" s="23">
        <f t="shared" si="552"/>
        <v>130782</v>
      </c>
      <c r="G1595" s="23">
        <v>317250</v>
      </c>
      <c r="K1595" s="41" t="s">
        <v>87</v>
      </c>
      <c r="L1595" s="23">
        <v>-34762</v>
      </c>
      <c r="M1595" s="42">
        <v>216000</v>
      </c>
      <c r="N1595" s="23">
        <f t="shared" si="551"/>
        <v>181238</v>
      </c>
      <c r="O1595" s="20">
        <v>3375</v>
      </c>
      <c r="P1595" s="23">
        <f t="shared" si="553"/>
        <v>177863</v>
      </c>
      <c r="Q1595" s="23">
        <v>0</v>
      </c>
    </row>
    <row r="1596" spans="1:17" ht="15.75" x14ac:dyDescent="0.25">
      <c r="A1596" s="41" t="s">
        <v>144</v>
      </c>
      <c r="B1596" s="23">
        <v>-1101</v>
      </c>
      <c r="C1596" s="42">
        <v>14700</v>
      </c>
      <c r="D1596" s="23">
        <f t="shared" si="550"/>
        <v>13599</v>
      </c>
      <c r="E1596" s="20">
        <v>7700</v>
      </c>
      <c r="F1596" s="23">
        <f t="shared" si="552"/>
        <v>5899</v>
      </c>
      <c r="G1596" s="23">
        <v>144025</v>
      </c>
      <c r="K1596" s="41" t="s">
        <v>144</v>
      </c>
      <c r="L1596" s="23">
        <v>2047</v>
      </c>
      <c r="M1596" s="42">
        <v>9275</v>
      </c>
      <c r="N1596" s="23">
        <f t="shared" si="551"/>
        <v>11322</v>
      </c>
      <c r="O1596" s="20">
        <v>2975</v>
      </c>
      <c r="P1596" s="23">
        <f t="shared" si="553"/>
        <v>8347</v>
      </c>
      <c r="Q1596" s="23">
        <v>393575</v>
      </c>
    </row>
    <row r="1597" spans="1:17" ht="15.75" x14ac:dyDescent="0.25">
      <c r="A1597" s="41" t="s">
        <v>145</v>
      </c>
      <c r="B1597" s="23">
        <v>0</v>
      </c>
      <c r="C1597" s="42">
        <v>0</v>
      </c>
      <c r="D1597" s="23">
        <f t="shared" si="550"/>
        <v>0</v>
      </c>
      <c r="E1597" s="20">
        <v>0</v>
      </c>
      <c r="F1597" s="23">
        <f t="shared" si="552"/>
        <v>0</v>
      </c>
      <c r="G1597" s="23">
        <v>0</v>
      </c>
      <c r="K1597" s="41" t="s">
        <v>145</v>
      </c>
      <c r="L1597" s="23"/>
      <c r="M1597" s="42">
        <v>0</v>
      </c>
      <c r="N1597" s="23">
        <f t="shared" si="551"/>
        <v>0</v>
      </c>
      <c r="O1597" s="20">
        <v>0</v>
      </c>
      <c r="P1597" s="23">
        <f t="shared" si="553"/>
        <v>0</v>
      </c>
      <c r="Q1597" s="23">
        <v>0</v>
      </c>
    </row>
    <row r="1598" spans="1:17" ht="15.75" x14ac:dyDescent="0.25">
      <c r="A1598" s="41" t="s">
        <v>53</v>
      </c>
      <c r="B1598" s="23">
        <v>119715</v>
      </c>
      <c r="C1598" s="42">
        <v>85100</v>
      </c>
      <c r="D1598" s="23">
        <f t="shared" si="550"/>
        <v>204815</v>
      </c>
      <c r="E1598" s="20">
        <v>-18400</v>
      </c>
      <c r="F1598" s="23">
        <f t="shared" si="552"/>
        <v>223215</v>
      </c>
      <c r="G1598" s="23">
        <v>165600</v>
      </c>
      <c r="K1598" s="41" t="s">
        <v>53</v>
      </c>
      <c r="L1598" s="23">
        <v>-66585</v>
      </c>
      <c r="M1598" s="42">
        <v>167899.99999999994</v>
      </c>
      <c r="N1598" s="23">
        <f t="shared" si="551"/>
        <v>101314.99999999994</v>
      </c>
      <c r="O1598" s="20">
        <v>-6900</v>
      </c>
      <c r="P1598" s="23">
        <f t="shared" si="553"/>
        <v>108214.99999999994</v>
      </c>
      <c r="Q1598" s="23">
        <v>0</v>
      </c>
    </row>
    <row r="1599" spans="1:17" ht="15.75" x14ac:dyDescent="0.25">
      <c r="A1599" s="41" t="s">
        <v>45</v>
      </c>
      <c r="B1599" s="23">
        <v>-2700</v>
      </c>
      <c r="C1599" s="42">
        <v>19500</v>
      </c>
      <c r="D1599" s="23">
        <f t="shared" si="550"/>
        <v>16800</v>
      </c>
      <c r="E1599" s="20">
        <v>7500</v>
      </c>
      <c r="F1599" s="23">
        <f t="shared" si="552"/>
        <v>9300</v>
      </c>
      <c r="G1599" s="23">
        <v>258000</v>
      </c>
      <c r="K1599" s="41" t="s">
        <v>45</v>
      </c>
      <c r="L1599" s="23">
        <v>-450</v>
      </c>
      <c r="M1599" s="42">
        <v>-48000</v>
      </c>
      <c r="N1599" s="23">
        <f t="shared" si="551"/>
        <v>-48450</v>
      </c>
      <c r="O1599" s="20">
        <v>-4500</v>
      </c>
      <c r="P1599" s="23">
        <f t="shared" si="553"/>
        <v>-43950</v>
      </c>
      <c r="Q1599" s="23">
        <v>0</v>
      </c>
    </row>
    <row r="1600" spans="1:17" ht="15.75" x14ac:dyDescent="0.25">
      <c r="A1600" s="41" t="s">
        <v>148</v>
      </c>
      <c r="B1600" s="23">
        <v>0</v>
      </c>
      <c r="C1600" s="42">
        <v>0</v>
      </c>
      <c r="D1600" s="23">
        <f t="shared" si="550"/>
        <v>0</v>
      </c>
      <c r="E1600" s="20">
        <v>0</v>
      </c>
      <c r="F1600" s="23">
        <f t="shared" si="552"/>
        <v>0</v>
      </c>
      <c r="G1600" s="23">
        <v>0</v>
      </c>
      <c r="K1600" s="41" t="s">
        <v>148</v>
      </c>
      <c r="L1600" s="23"/>
      <c r="M1600" s="42">
        <v>0</v>
      </c>
      <c r="N1600" s="23">
        <f t="shared" si="551"/>
        <v>0</v>
      </c>
      <c r="O1600" s="20">
        <v>0</v>
      </c>
      <c r="P1600" s="23">
        <f t="shared" si="553"/>
        <v>0</v>
      </c>
      <c r="Q1600" s="23">
        <v>0</v>
      </c>
    </row>
    <row r="1601" spans="1:17" ht="15.75" x14ac:dyDescent="0.25">
      <c r="A1601" s="21" t="s">
        <v>107</v>
      </c>
      <c r="B1601" s="22">
        <f t="shared" ref="B1601:G1601" si="554">SUM(B1581:B1600)</f>
        <v>86073</v>
      </c>
      <c r="C1601" s="18">
        <f t="shared" si="554"/>
        <v>228699.99999999997</v>
      </c>
      <c r="D1601" s="23">
        <f t="shared" si="554"/>
        <v>314773</v>
      </c>
      <c r="E1601" s="18">
        <f t="shared" si="554"/>
        <v>-11025</v>
      </c>
      <c r="F1601" s="23">
        <f t="shared" si="554"/>
        <v>325798</v>
      </c>
      <c r="G1601" s="17">
        <f t="shared" si="554"/>
        <v>4326775</v>
      </c>
      <c r="K1601" s="21" t="s">
        <v>107</v>
      </c>
      <c r="L1601" s="22">
        <f t="shared" ref="L1601:Q1601" si="555">SUM(L1581:L1600)</f>
        <v>-222321</v>
      </c>
      <c r="M1601" s="18">
        <f t="shared" si="555"/>
        <v>539000</v>
      </c>
      <c r="N1601" s="23">
        <f t="shared" si="555"/>
        <v>316678.99999999994</v>
      </c>
      <c r="O1601" s="18">
        <f t="shared" si="555"/>
        <v>41500</v>
      </c>
      <c r="P1601" s="23">
        <f t="shared" si="555"/>
        <v>275178.99999999994</v>
      </c>
      <c r="Q1601" s="17">
        <f t="shared" si="555"/>
        <v>393575</v>
      </c>
    </row>
    <row r="1605" spans="1:17" ht="15.75" x14ac:dyDescent="0.25">
      <c r="A1605" s="107" t="s">
        <v>151</v>
      </c>
      <c r="B1605" s="108"/>
      <c r="C1605" s="108"/>
      <c r="D1605" s="108"/>
      <c r="E1605" s="108"/>
      <c r="F1605" s="108"/>
      <c r="G1605" s="109"/>
      <c r="K1605" s="107" t="s">
        <v>152</v>
      </c>
      <c r="L1605" s="108"/>
      <c r="M1605" s="108"/>
      <c r="N1605" s="108"/>
      <c r="O1605" s="108"/>
      <c r="P1605" s="108"/>
      <c r="Q1605" s="109"/>
    </row>
    <row r="1606" spans="1:17" ht="15.75" x14ac:dyDescent="0.25">
      <c r="A1606" s="22" t="s">
        <v>34</v>
      </c>
      <c r="B1606" s="22" t="s">
        <v>104</v>
      </c>
      <c r="C1606" s="22" t="s">
        <v>105</v>
      </c>
      <c r="D1606" s="22" t="s">
        <v>112</v>
      </c>
      <c r="E1606" s="22" t="s">
        <v>106</v>
      </c>
      <c r="F1606" s="21" t="s">
        <v>108</v>
      </c>
      <c r="G1606" s="21" t="s">
        <v>28</v>
      </c>
      <c r="K1606" s="22" t="s">
        <v>34</v>
      </c>
      <c r="L1606" s="22" t="s">
        <v>104</v>
      </c>
      <c r="M1606" s="22" t="s">
        <v>105</v>
      </c>
      <c r="N1606" s="22" t="s">
        <v>112</v>
      </c>
      <c r="O1606" s="22" t="s">
        <v>106</v>
      </c>
      <c r="P1606" s="21" t="s">
        <v>108</v>
      </c>
      <c r="Q1606" s="21" t="s">
        <v>28</v>
      </c>
    </row>
    <row r="1607" spans="1:17" ht="15.75" x14ac:dyDescent="0.25">
      <c r="A1607" s="41" t="s">
        <v>71</v>
      </c>
      <c r="B1607" s="23">
        <v>-8075</v>
      </c>
      <c r="C1607" s="42">
        <v>62050</v>
      </c>
      <c r="D1607" s="23">
        <f t="shared" ref="D1607:D1620" si="556">+C1607+B1607</f>
        <v>53975</v>
      </c>
      <c r="E1607" s="20">
        <v>14790</v>
      </c>
      <c r="F1607" s="20">
        <f>+B1607+C1607-E1607</f>
        <v>39185</v>
      </c>
      <c r="G1607" s="23">
        <v>-400350</v>
      </c>
      <c r="J1607">
        <v>19.899999999999999</v>
      </c>
      <c r="K1607" s="41" t="s">
        <v>71</v>
      </c>
      <c r="L1607" s="23">
        <v>-23970</v>
      </c>
      <c r="M1607" s="42">
        <v>62220</v>
      </c>
      <c r="N1607" s="23">
        <f t="shared" ref="N1607:N1620" si="557">+M1607+L1607</f>
        <v>38250</v>
      </c>
      <c r="O1607" s="20">
        <v>-1020</v>
      </c>
      <c r="P1607" s="20">
        <f>+L1607+M1607-O1607</f>
        <v>39270</v>
      </c>
      <c r="Q1607" s="23">
        <v>-400350</v>
      </c>
    </row>
    <row r="1608" spans="1:17" ht="15.75" x14ac:dyDescent="0.25">
      <c r="A1608" s="41" t="s">
        <v>134</v>
      </c>
      <c r="B1608" s="23">
        <v>-22750</v>
      </c>
      <c r="C1608" s="42">
        <v>-40000</v>
      </c>
      <c r="D1608" s="23">
        <f t="shared" si="556"/>
        <v>-62750</v>
      </c>
      <c r="E1608" s="20">
        <v>7500</v>
      </c>
      <c r="F1608" s="23">
        <f t="shared" ref="F1608:F1621" si="558">+B1608+C1608-E1608</f>
        <v>-70250</v>
      </c>
      <c r="G1608" s="23">
        <v>-595000</v>
      </c>
      <c r="J1608">
        <v>8.65</v>
      </c>
      <c r="K1608" s="41" t="s">
        <v>134</v>
      </c>
      <c r="L1608" s="23">
        <v>69500</v>
      </c>
      <c r="M1608" s="42">
        <v>35000</v>
      </c>
      <c r="N1608" s="23">
        <f t="shared" si="557"/>
        <v>104500</v>
      </c>
      <c r="O1608" s="20">
        <v>-25000</v>
      </c>
      <c r="P1608" s="23">
        <f t="shared" ref="P1608:P1621" si="559">+L1608+M1608-O1608</f>
        <v>129500</v>
      </c>
      <c r="Q1608" s="23">
        <v>-595000</v>
      </c>
    </row>
    <row r="1609" spans="1:17" ht="15.75" x14ac:dyDescent="0.25">
      <c r="A1609" s="41" t="s">
        <v>82</v>
      </c>
      <c r="B1609" s="23">
        <v>-4275</v>
      </c>
      <c r="C1609" s="42">
        <v>59137.5</v>
      </c>
      <c r="D1609" s="23">
        <f t="shared" si="556"/>
        <v>54862.5</v>
      </c>
      <c r="E1609" s="20">
        <v>0</v>
      </c>
      <c r="F1609" s="23">
        <f t="shared" si="558"/>
        <v>54862.5</v>
      </c>
      <c r="G1609" s="23">
        <v>-440325</v>
      </c>
      <c r="J1609">
        <v>97.15</v>
      </c>
      <c r="K1609" s="41" t="s">
        <v>82</v>
      </c>
      <c r="L1609" s="23">
        <v>-89585</v>
      </c>
      <c r="M1609" s="42">
        <v>42085</v>
      </c>
      <c r="N1609" s="23">
        <f t="shared" si="557"/>
        <v>-47500</v>
      </c>
      <c r="O1609" s="20">
        <v>-8882.5</v>
      </c>
      <c r="P1609" s="23">
        <f t="shared" si="559"/>
        <v>-38617.5</v>
      </c>
      <c r="Q1609" s="23">
        <v>-440325</v>
      </c>
    </row>
    <row r="1610" spans="1:17" ht="15.75" x14ac:dyDescent="0.25">
      <c r="A1610" s="41" t="s">
        <v>97</v>
      </c>
      <c r="B1610" s="23">
        <v>-11312</v>
      </c>
      <c r="C1610" s="42">
        <v>52750</v>
      </c>
      <c r="D1610" s="23">
        <f t="shared" si="556"/>
        <v>41438</v>
      </c>
      <c r="E1610" s="20">
        <v>10250</v>
      </c>
      <c r="F1610" s="23">
        <f t="shared" si="558"/>
        <v>31188</v>
      </c>
      <c r="G1610" s="20">
        <v>-481500</v>
      </c>
      <c r="J1610">
        <v>35.25</v>
      </c>
      <c r="K1610" s="41" t="s">
        <v>97</v>
      </c>
      <c r="L1610" s="23">
        <v>-82875</v>
      </c>
      <c r="M1610" s="42">
        <v>-8999.9999999999927</v>
      </c>
      <c r="N1610" s="23">
        <f t="shared" si="557"/>
        <v>-91875</v>
      </c>
      <c r="O1610" s="20">
        <v>13000</v>
      </c>
      <c r="P1610" s="23">
        <f t="shared" si="559"/>
        <v>-104875</v>
      </c>
      <c r="Q1610" s="20">
        <v>-481500</v>
      </c>
    </row>
    <row r="1611" spans="1:17" ht="15.75" x14ac:dyDescent="0.25">
      <c r="A1611" s="41" t="s">
        <v>62</v>
      </c>
      <c r="B1611" s="23">
        <v>-23182</v>
      </c>
      <c r="C1611" s="42">
        <v>1200</v>
      </c>
      <c r="D1611" s="23">
        <f t="shared" si="556"/>
        <v>-21982</v>
      </c>
      <c r="E1611" s="20">
        <v>-4245</v>
      </c>
      <c r="F1611" s="23">
        <f t="shared" si="558"/>
        <v>-17737</v>
      </c>
      <c r="G1611" s="20">
        <v>-490875</v>
      </c>
      <c r="J1611">
        <v>305</v>
      </c>
      <c r="K1611" s="41" t="s">
        <v>62</v>
      </c>
      <c r="L1611" s="23">
        <v>33907</v>
      </c>
      <c r="M1611" s="42">
        <v>14895</v>
      </c>
      <c r="N1611" s="23">
        <f t="shared" si="557"/>
        <v>48802</v>
      </c>
      <c r="O1611" s="20">
        <v>-19020</v>
      </c>
      <c r="P1611" s="23">
        <f t="shared" si="559"/>
        <v>67822</v>
      </c>
      <c r="Q1611" s="20">
        <v>-490875</v>
      </c>
    </row>
    <row r="1612" spans="1:17" ht="15.75" x14ac:dyDescent="0.25">
      <c r="A1612" s="41" t="s">
        <v>85</v>
      </c>
      <c r="B1612" s="23">
        <v>-7800</v>
      </c>
      <c r="C1612" s="42">
        <v>53775</v>
      </c>
      <c r="D1612" s="23">
        <f t="shared" si="556"/>
        <v>45975</v>
      </c>
      <c r="E1612" s="20">
        <v>-900</v>
      </c>
      <c r="F1612" s="23">
        <f t="shared" si="558"/>
        <v>46875</v>
      </c>
      <c r="G1612" s="20">
        <v>-421200</v>
      </c>
      <c r="J1612">
        <v>21.6</v>
      </c>
      <c r="K1612" s="41" t="s">
        <v>85</v>
      </c>
      <c r="L1612" s="23">
        <v>-40575</v>
      </c>
      <c r="M1612" s="42">
        <v>24750</v>
      </c>
      <c r="N1612" s="23">
        <f t="shared" si="557"/>
        <v>-15825</v>
      </c>
      <c r="O1612" s="20">
        <v>-3599.9999999999982</v>
      </c>
      <c r="P1612" s="23">
        <f t="shared" si="559"/>
        <v>-12225.000000000002</v>
      </c>
      <c r="Q1612" s="20">
        <v>-421200</v>
      </c>
    </row>
    <row r="1613" spans="1:17" ht="15.75" x14ac:dyDescent="0.25">
      <c r="A1613" s="41" t="s">
        <v>128</v>
      </c>
      <c r="B1613" s="23">
        <v>-41795</v>
      </c>
      <c r="C1613" s="42">
        <v>130975</v>
      </c>
      <c r="D1613" s="23">
        <f t="shared" si="556"/>
        <v>89180</v>
      </c>
      <c r="E1613" s="20">
        <v>11375</v>
      </c>
      <c r="F1613" s="23">
        <f t="shared" si="558"/>
        <v>77805</v>
      </c>
      <c r="G1613" s="20">
        <v>-450450</v>
      </c>
      <c r="J1613">
        <v>19.55</v>
      </c>
      <c r="K1613" s="41" t="s">
        <v>128</v>
      </c>
      <c r="L1613" s="23">
        <v>-16510</v>
      </c>
      <c r="M1613" s="42">
        <v>14625</v>
      </c>
      <c r="N1613" s="23">
        <f t="shared" si="557"/>
        <v>-1885</v>
      </c>
      <c r="O1613" s="20">
        <v>14950</v>
      </c>
      <c r="P1613" s="23">
        <f t="shared" si="559"/>
        <v>-16835</v>
      </c>
      <c r="Q1613" s="20">
        <v>-450450</v>
      </c>
    </row>
    <row r="1614" spans="1:17" ht="15.75" x14ac:dyDescent="0.25">
      <c r="A1614" s="41" t="s">
        <v>15</v>
      </c>
      <c r="B1614" s="23">
        <v>-14625</v>
      </c>
      <c r="C1614" s="42">
        <v>25499.999999999993</v>
      </c>
      <c r="D1614" s="23">
        <f t="shared" si="556"/>
        <v>10874.999999999993</v>
      </c>
      <c r="E1614" s="20">
        <v>15000</v>
      </c>
      <c r="F1614" s="23">
        <f t="shared" si="558"/>
        <v>-4125.0000000000073</v>
      </c>
      <c r="G1614" s="20">
        <v>-424500</v>
      </c>
      <c r="J1614">
        <v>20.399999999999999</v>
      </c>
      <c r="K1614" s="41" t="s">
        <v>15</v>
      </c>
      <c r="L1614" s="23">
        <v>-11312</v>
      </c>
      <c r="M1614" s="42">
        <v>37000</v>
      </c>
      <c r="N1614" s="23">
        <f t="shared" si="557"/>
        <v>25688</v>
      </c>
      <c r="O1614" s="20">
        <v>-10500</v>
      </c>
      <c r="P1614" s="23">
        <f t="shared" si="559"/>
        <v>36188</v>
      </c>
      <c r="Q1614" s="20">
        <v>-424500</v>
      </c>
    </row>
    <row r="1615" spans="1:17" ht="15.75" x14ac:dyDescent="0.25">
      <c r="A1615" s="41" t="s">
        <v>141</v>
      </c>
      <c r="B1615" s="23">
        <v>-12375</v>
      </c>
      <c r="C1615" s="42">
        <v>-28349.999999999993</v>
      </c>
      <c r="D1615" s="23">
        <f t="shared" si="556"/>
        <v>-40724.999999999993</v>
      </c>
      <c r="E1615" s="20">
        <v>6750</v>
      </c>
      <c r="F1615" s="23">
        <f t="shared" si="558"/>
        <v>-47474.999999999993</v>
      </c>
      <c r="G1615" s="20">
        <v>-437400</v>
      </c>
      <c r="J1615">
        <v>12.899999999999999</v>
      </c>
      <c r="K1615" s="41" t="s">
        <v>141</v>
      </c>
      <c r="L1615" s="23">
        <v>-92025</v>
      </c>
      <c r="M1615" s="42">
        <v>-11475.000000000007</v>
      </c>
      <c r="N1615" s="23">
        <f t="shared" si="557"/>
        <v>-103500</v>
      </c>
      <c r="O1615" s="20">
        <v>10125</v>
      </c>
      <c r="P1615" s="23">
        <f t="shared" si="559"/>
        <v>-113625</v>
      </c>
      <c r="Q1615" s="20">
        <v>-437400</v>
      </c>
    </row>
    <row r="1616" spans="1:17" ht="15.75" x14ac:dyDescent="0.25">
      <c r="A1616" s="41" t="s">
        <v>87</v>
      </c>
      <c r="B1616" s="23">
        <v>0</v>
      </c>
      <c r="C1616" s="42">
        <v>58725</v>
      </c>
      <c r="D1616" s="23">
        <f t="shared" si="556"/>
        <v>58725</v>
      </c>
      <c r="E1616" s="20">
        <v>-1012.5</v>
      </c>
      <c r="F1616" s="23">
        <f t="shared" si="558"/>
        <v>59737.5</v>
      </c>
      <c r="G1616" s="20">
        <v>-295650</v>
      </c>
      <c r="J1616">
        <v>16.600000000000001</v>
      </c>
      <c r="K1616" s="41" t="s">
        <v>87</v>
      </c>
      <c r="L1616" s="23">
        <v>-28012</v>
      </c>
      <c r="M1616" s="42">
        <v>-14175</v>
      </c>
      <c r="N1616" s="23">
        <f t="shared" si="557"/>
        <v>-42187</v>
      </c>
      <c r="O1616" s="20">
        <v>-7087.5</v>
      </c>
      <c r="P1616" s="23">
        <f t="shared" si="559"/>
        <v>-35099.5</v>
      </c>
      <c r="Q1616" s="20">
        <v>-295650</v>
      </c>
    </row>
    <row r="1617" spans="1:17" ht="15.75" x14ac:dyDescent="0.25">
      <c r="A1617" s="41" t="s">
        <v>61</v>
      </c>
      <c r="B1617" s="23">
        <v>-103015</v>
      </c>
      <c r="C1617" s="42">
        <v>314600</v>
      </c>
      <c r="D1617" s="23">
        <f t="shared" si="556"/>
        <v>211585</v>
      </c>
      <c r="E1617" s="20">
        <v>-13200</v>
      </c>
      <c r="F1617" s="23">
        <f t="shared" si="558"/>
        <v>224785</v>
      </c>
      <c r="G1617" s="20">
        <v>-388960</v>
      </c>
      <c r="J1617">
        <v>53.05</v>
      </c>
      <c r="K1617" s="41" t="s">
        <v>61</v>
      </c>
      <c r="L1617" s="23">
        <v>15840</v>
      </c>
      <c r="M1617" s="42">
        <v>-103070</v>
      </c>
      <c r="N1617" s="23">
        <f t="shared" si="557"/>
        <v>-87230</v>
      </c>
      <c r="O1617" s="20">
        <v>7810</v>
      </c>
      <c r="P1617" s="23">
        <f t="shared" si="559"/>
        <v>-95040</v>
      </c>
      <c r="Q1617" s="20">
        <v>-388960</v>
      </c>
    </row>
    <row r="1618" spans="1:17" ht="15.75" x14ac:dyDescent="0.25">
      <c r="A1618" s="41" t="s">
        <v>90</v>
      </c>
      <c r="B1618" s="23">
        <v>-5680</v>
      </c>
      <c r="C1618" s="42">
        <v>32800</v>
      </c>
      <c r="D1618" s="23">
        <f t="shared" si="556"/>
        <v>27120</v>
      </c>
      <c r="E1618" s="20">
        <v>11200</v>
      </c>
      <c r="F1618" s="23">
        <f t="shared" si="558"/>
        <v>15920</v>
      </c>
      <c r="G1618" s="20">
        <v>-350400</v>
      </c>
      <c r="J1618">
        <v>21.85</v>
      </c>
      <c r="K1618" s="41" t="s">
        <v>90</v>
      </c>
      <c r="L1618" s="23">
        <v>-34720</v>
      </c>
      <c r="M1618" s="42">
        <v>42480</v>
      </c>
      <c r="N1618" s="23">
        <f t="shared" si="557"/>
        <v>7760</v>
      </c>
      <c r="O1618" s="20">
        <v>2880</v>
      </c>
      <c r="P1618" s="23">
        <f t="shared" si="559"/>
        <v>4880</v>
      </c>
      <c r="Q1618" s="20">
        <v>-350400</v>
      </c>
    </row>
    <row r="1619" spans="1:17" ht="15.75" x14ac:dyDescent="0.25">
      <c r="A1619" s="41" t="s">
        <v>150</v>
      </c>
      <c r="B1619" s="23">
        <v>-8400</v>
      </c>
      <c r="C1619" s="42">
        <v>60900</v>
      </c>
      <c r="D1619" s="23">
        <f t="shared" si="556"/>
        <v>52500</v>
      </c>
      <c r="E1619" s="20">
        <v>23100</v>
      </c>
      <c r="F1619" s="23">
        <f t="shared" si="558"/>
        <v>29400</v>
      </c>
      <c r="G1619" s="20">
        <v>-302400</v>
      </c>
      <c r="J1619">
        <v>16.55</v>
      </c>
      <c r="K1619" s="41" t="s">
        <v>150</v>
      </c>
      <c r="L1619" s="23">
        <v>-11235</v>
      </c>
      <c r="M1619" s="42">
        <v>5250</v>
      </c>
      <c r="N1619" s="23">
        <f t="shared" si="557"/>
        <v>-5985</v>
      </c>
      <c r="O1619" s="20">
        <v>-2100</v>
      </c>
      <c r="P1619" s="23">
        <f t="shared" si="559"/>
        <v>-3885</v>
      </c>
      <c r="Q1619" s="20">
        <v>-302400</v>
      </c>
    </row>
    <row r="1620" spans="1:17" ht="15.75" x14ac:dyDescent="0.25">
      <c r="A1620" s="41" t="s">
        <v>57</v>
      </c>
      <c r="B1620" s="23">
        <v>8937</v>
      </c>
      <c r="C1620" s="42">
        <v>24145</v>
      </c>
      <c r="D1620" s="23">
        <f t="shared" si="556"/>
        <v>33082</v>
      </c>
      <c r="E1620" s="20">
        <v>18095</v>
      </c>
      <c r="F1620" s="23">
        <f t="shared" si="558"/>
        <v>14987</v>
      </c>
      <c r="G1620" s="20">
        <v>-401500</v>
      </c>
      <c r="J1620">
        <v>61.85</v>
      </c>
      <c r="K1620" s="41" t="s">
        <v>57</v>
      </c>
      <c r="L1620" s="23">
        <v>-24777</v>
      </c>
      <c r="M1620" s="42">
        <v>4620.0000000000146</v>
      </c>
      <c r="N1620" s="23">
        <f t="shared" si="557"/>
        <v>-20156.999999999985</v>
      </c>
      <c r="O1620" s="20">
        <v>9735</v>
      </c>
      <c r="P1620" s="23">
        <f t="shared" si="559"/>
        <v>-29891.999999999985</v>
      </c>
      <c r="Q1620" s="20">
        <v>-401500</v>
      </c>
    </row>
    <row r="1621" spans="1:17" ht="15.75" x14ac:dyDescent="0.25">
      <c r="A1621" s="41" t="s">
        <v>94</v>
      </c>
      <c r="B1621" s="23">
        <v>0</v>
      </c>
      <c r="C1621" s="42">
        <v>0</v>
      </c>
      <c r="D1621" s="23">
        <v>0</v>
      </c>
      <c r="E1621" s="20">
        <v>0</v>
      </c>
      <c r="F1621" s="23">
        <f t="shared" si="558"/>
        <v>0</v>
      </c>
      <c r="G1621" s="23">
        <v>0</v>
      </c>
      <c r="J1621">
        <v>8.0500000000000007</v>
      </c>
      <c r="K1621" s="41" t="s">
        <v>94</v>
      </c>
      <c r="L1621" s="23">
        <v>0</v>
      </c>
      <c r="M1621" s="42">
        <v>0</v>
      </c>
      <c r="N1621" s="23">
        <v>0</v>
      </c>
      <c r="O1621" s="20">
        <v>0</v>
      </c>
      <c r="P1621" s="23">
        <f t="shared" si="559"/>
        <v>0</v>
      </c>
      <c r="Q1621" s="23">
        <v>0</v>
      </c>
    </row>
    <row r="1622" spans="1:17" ht="15.75" x14ac:dyDescent="0.25">
      <c r="A1622" s="21" t="s">
        <v>107</v>
      </c>
      <c r="B1622" s="22">
        <f t="shared" ref="B1622:G1622" si="560">SUM(B1607:B1621)</f>
        <v>-254347</v>
      </c>
      <c r="C1622" s="18">
        <f t="shared" si="560"/>
        <v>808207.5</v>
      </c>
      <c r="D1622" s="23">
        <f t="shared" si="560"/>
        <v>553860.5</v>
      </c>
      <c r="E1622" s="18">
        <f t="shared" si="560"/>
        <v>98702.5</v>
      </c>
      <c r="F1622" s="23">
        <f t="shared" si="560"/>
        <v>455158</v>
      </c>
      <c r="G1622" s="17">
        <f t="shared" si="560"/>
        <v>-5880510</v>
      </c>
      <c r="K1622" s="21" t="s">
        <v>107</v>
      </c>
      <c r="L1622" s="22">
        <f t="shared" ref="L1622:Q1622" si="561">SUM(L1607:L1621)</f>
        <v>-336349</v>
      </c>
      <c r="M1622" s="18">
        <f t="shared" si="561"/>
        <v>145205</v>
      </c>
      <c r="N1622" s="23">
        <f t="shared" si="561"/>
        <v>-191144</v>
      </c>
      <c r="O1622" s="18">
        <f t="shared" si="561"/>
        <v>-18710</v>
      </c>
      <c r="P1622" s="23">
        <f t="shared" si="561"/>
        <v>-172434</v>
      </c>
      <c r="Q1622" s="17">
        <f t="shared" si="561"/>
        <v>-5880510</v>
      </c>
    </row>
    <row r="1625" spans="1:17" ht="15.75" x14ac:dyDescent="0.25">
      <c r="A1625" s="107" t="s">
        <v>152</v>
      </c>
      <c r="B1625" s="108"/>
      <c r="C1625" s="108"/>
      <c r="D1625" s="108"/>
      <c r="E1625" s="108"/>
      <c r="F1625" s="108"/>
      <c r="G1625" s="109"/>
      <c r="K1625" s="107" t="s">
        <v>153</v>
      </c>
      <c r="L1625" s="108"/>
      <c r="M1625" s="108"/>
      <c r="N1625" s="108"/>
      <c r="O1625" s="108"/>
      <c r="P1625" s="108"/>
      <c r="Q1625" s="109"/>
    </row>
    <row r="1626" spans="1:17" ht="15.75" x14ac:dyDescent="0.25">
      <c r="A1626" s="22" t="s">
        <v>34</v>
      </c>
      <c r="B1626" s="22" t="s">
        <v>104</v>
      </c>
      <c r="C1626" s="22" t="s">
        <v>105</v>
      </c>
      <c r="D1626" s="22" t="s">
        <v>112</v>
      </c>
      <c r="E1626" s="22" t="s">
        <v>106</v>
      </c>
      <c r="F1626" s="21" t="s">
        <v>108</v>
      </c>
      <c r="G1626" s="21" t="s">
        <v>28</v>
      </c>
      <c r="K1626" s="22" t="s">
        <v>34</v>
      </c>
      <c r="L1626" s="22" t="s">
        <v>104</v>
      </c>
      <c r="M1626" s="22" t="s">
        <v>105</v>
      </c>
      <c r="N1626" s="22" t="s">
        <v>112</v>
      </c>
      <c r="O1626" s="22" t="s">
        <v>106</v>
      </c>
      <c r="P1626" s="21" t="s">
        <v>108</v>
      </c>
      <c r="Q1626" s="21" t="s">
        <v>28</v>
      </c>
    </row>
    <row r="1627" spans="1:17" ht="15.75" x14ac:dyDescent="0.25">
      <c r="A1627" s="41" t="s">
        <v>71</v>
      </c>
      <c r="B1627" s="23">
        <v>-61710</v>
      </c>
      <c r="C1627" s="42">
        <v>32810</v>
      </c>
      <c r="D1627" s="23">
        <f t="shared" ref="D1627:D1640" si="562">+C1627+B1627</f>
        <v>-28900</v>
      </c>
      <c r="E1627" s="20">
        <v>13005</v>
      </c>
      <c r="F1627" s="20">
        <f>+B1627+C1627-E1627</f>
        <v>-41905</v>
      </c>
      <c r="G1627" s="23">
        <v>-450075</v>
      </c>
      <c r="H1627">
        <v>17.649999999999999</v>
      </c>
      <c r="K1627" s="41" t="s">
        <v>71</v>
      </c>
      <c r="L1627" s="23">
        <v>-377655</v>
      </c>
      <c r="M1627" s="42">
        <v>-646000</v>
      </c>
      <c r="N1627" s="23">
        <f t="shared" ref="N1627:N1640" si="563">+M1627+L1627</f>
        <v>-1023655</v>
      </c>
      <c r="O1627" s="20">
        <v>-21845</v>
      </c>
      <c r="P1627" s="20">
        <f>+L1627+M1627-O1627</f>
        <v>-1001810</v>
      </c>
      <c r="Q1627" s="23">
        <v>-712300</v>
      </c>
    </row>
    <row r="1628" spans="1:17" ht="15.75" x14ac:dyDescent="0.25">
      <c r="A1628" s="41" t="s">
        <v>134</v>
      </c>
      <c r="B1628" s="23">
        <v>-1500</v>
      </c>
      <c r="C1628" s="42">
        <v>-116250</v>
      </c>
      <c r="D1628" s="23">
        <f t="shared" si="562"/>
        <v>-117750</v>
      </c>
      <c r="E1628" s="20">
        <v>-37500</v>
      </c>
      <c r="F1628" s="23">
        <f t="shared" ref="F1628:F1641" si="564">+B1628+C1628-E1628</f>
        <v>-80250</v>
      </c>
      <c r="G1628" s="23">
        <v>-767500</v>
      </c>
      <c r="H1628">
        <v>5.65</v>
      </c>
      <c r="K1628" s="41" t="s">
        <v>134</v>
      </c>
      <c r="L1628" s="23">
        <v>-49750</v>
      </c>
      <c r="M1628" s="42">
        <v>297500</v>
      </c>
      <c r="N1628" s="23">
        <f t="shared" si="563"/>
        <v>247750</v>
      </c>
      <c r="O1628" s="20">
        <v>41250</v>
      </c>
      <c r="P1628" s="23">
        <f t="shared" ref="P1628:P1641" si="565">+L1628+M1628-O1628</f>
        <v>206500</v>
      </c>
      <c r="Q1628" s="23">
        <v>-677500</v>
      </c>
    </row>
    <row r="1629" spans="1:17" ht="15.75" x14ac:dyDescent="0.25">
      <c r="A1629" s="41" t="s">
        <v>82</v>
      </c>
      <c r="B1629" s="23">
        <v>-16862</v>
      </c>
      <c r="C1629" s="42">
        <v>1900</v>
      </c>
      <c r="D1629" s="23">
        <f t="shared" si="562"/>
        <v>-14962</v>
      </c>
      <c r="E1629" s="20">
        <v>9500</v>
      </c>
      <c r="F1629" s="23">
        <f t="shared" si="564"/>
        <v>-24462</v>
      </c>
      <c r="G1629" s="23">
        <v>-557317.5</v>
      </c>
      <c r="H1629">
        <v>88.2</v>
      </c>
      <c r="K1629" s="41" t="s">
        <v>82</v>
      </c>
      <c r="L1629" s="23">
        <v>-247593</v>
      </c>
      <c r="M1629" s="42">
        <v>68162.5</v>
      </c>
      <c r="N1629" s="23">
        <f t="shared" si="563"/>
        <v>-179430.5</v>
      </c>
      <c r="O1629" s="20">
        <v>-26742.5</v>
      </c>
      <c r="P1629" s="23">
        <f t="shared" si="565"/>
        <v>-152688</v>
      </c>
      <c r="Q1629" s="23">
        <v>-818900</v>
      </c>
    </row>
    <row r="1630" spans="1:17" ht="15.75" x14ac:dyDescent="0.25">
      <c r="A1630" s="41" t="s">
        <v>97</v>
      </c>
      <c r="B1630" s="23">
        <v>35625</v>
      </c>
      <c r="C1630" s="42">
        <v>-327000</v>
      </c>
      <c r="D1630" s="23">
        <f t="shared" si="562"/>
        <v>-291375</v>
      </c>
      <c r="E1630" s="20">
        <v>20000</v>
      </c>
      <c r="F1630" s="23">
        <f t="shared" si="564"/>
        <v>-311375</v>
      </c>
      <c r="G1630" s="20">
        <v>-701000</v>
      </c>
      <c r="H1630">
        <v>35</v>
      </c>
      <c r="K1630" s="41" t="s">
        <v>97</v>
      </c>
      <c r="L1630" s="23">
        <v>-152937</v>
      </c>
      <c r="M1630" s="42">
        <v>145750</v>
      </c>
      <c r="N1630" s="23">
        <f t="shared" si="563"/>
        <v>-7187</v>
      </c>
      <c r="O1630" s="20">
        <v>24500</v>
      </c>
      <c r="P1630" s="23">
        <f t="shared" si="565"/>
        <v>-31687</v>
      </c>
      <c r="Q1630" s="20">
        <v>-810500</v>
      </c>
    </row>
    <row r="1631" spans="1:17" ht="15.75" x14ac:dyDescent="0.25">
      <c r="A1631" s="41" t="s">
        <v>62</v>
      </c>
      <c r="B1631" s="23">
        <v>-37192</v>
      </c>
      <c r="C1631" s="42">
        <v>12615</v>
      </c>
      <c r="D1631" s="23">
        <f t="shared" si="562"/>
        <v>-24577</v>
      </c>
      <c r="E1631" s="20">
        <v>-31965</v>
      </c>
      <c r="F1631" s="23">
        <f t="shared" si="564"/>
        <v>7388</v>
      </c>
      <c r="G1631" s="20">
        <v>-586500</v>
      </c>
      <c r="H1631">
        <v>259.25</v>
      </c>
      <c r="K1631" s="41" t="s">
        <v>62</v>
      </c>
      <c r="L1631" s="23">
        <v>-96457</v>
      </c>
      <c r="M1631" s="42">
        <v>135435</v>
      </c>
      <c r="N1631" s="23">
        <f t="shared" si="563"/>
        <v>38978</v>
      </c>
      <c r="O1631" s="20">
        <v>-28245.000000000004</v>
      </c>
      <c r="P1631" s="23">
        <f t="shared" si="565"/>
        <v>67223</v>
      </c>
      <c r="Q1631" s="20">
        <v>-753255</v>
      </c>
    </row>
    <row r="1632" spans="1:17" ht="15.75" x14ac:dyDescent="0.25">
      <c r="A1632" s="41" t="s">
        <v>85</v>
      </c>
      <c r="B1632" s="23">
        <v>59100</v>
      </c>
      <c r="C1632" s="42">
        <v>-217050</v>
      </c>
      <c r="D1632" s="23">
        <f t="shared" si="562"/>
        <v>-157950</v>
      </c>
      <c r="E1632" s="20">
        <v>6300</v>
      </c>
      <c r="F1632" s="23">
        <f t="shared" si="564"/>
        <v>-164250</v>
      </c>
      <c r="G1632" s="20">
        <v>-481500</v>
      </c>
      <c r="H1632">
        <v>21.4</v>
      </c>
      <c r="K1632" s="41" t="s">
        <v>85</v>
      </c>
      <c r="L1632" s="23">
        <v>-24750</v>
      </c>
      <c r="M1632" s="42">
        <v>178500</v>
      </c>
      <c r="N1632" s="23">
        <f t="shared" si="563"/>
        <v>153750</v>
      </c>
      <c r="O1632" s="20">
        <v>16500</v>
      </c>
      <c r="P1632" s="23">
        <f t="shared" si="565"/>
        <v>137250</v>
      </c>
      <c r="Q1632" s="20">
        <v>-619800</v>
      </c>
    </row>
    <row r="1633" spans="1:17" ht="15.75" x14ac:dyDescent="0.25">
      <c r="A1633" s="41" t="s">
        <v>128</v>
      </c>
      <c r="B1633" s="23">
        <v>86320</v>
      </c>
      <c r="C1633" s="42">
        <v>-249080</v>
      </c>
      <c r="D1633" s="23">
        <f t="shared" si="562"/>
        <v>-162760</v>
      </c>
      <c r="E1633" s="20">
        <v>-5200</v>
      </c>
      <c r="F1633" s="23">
        <f t="shared" si="564"/>
        <v>-157560</v>
      </c>
      <c r="G1633" s="20">
        <v>-557700</v>
      </c>
      <c r="H1633">
        <v>20.100000000000001</v>
      </c>
      <c r="K1633" s="41" t="s">
        <v>128</v>
      </c>
      <c r="L1633" s="23">
        <v>7345</v>
      </c>
      <c r="M1633" s="42">
        <v>122980</v>
      </c>
      <c r="N1633" s="23">
        <f t="shared" si="563"/>
        <v>130325</v>
      </c>
      <c r="O1633" s="20">
        <v>72280</v>
      </c>
      <c r="P1633" s="23">
        <f t="shared" si="565"/>
        <v>58045</v>
      </c>
      <c r="Q1633" s="20">
        <v>-603850</v>
      </c>
    </row>
    <row r="1634" spans="1:17" ht="15.75" x14ac:dyDescent="0.25">
      <c r="A1634" s="41" t="s">
        <v>15</v>
      </c>
      <c r="B1634" s="23">
        <v>-98750</v>
      </c>
      <c r="C1634" s="42">
        <v>-48250</v>
      </c>
      <c r="D1634" s="23">
        <f t="shared" si="562"/>
        <v>-147000</v>
      </c>
      <c r="E1634" s="20">
        <v>13750</v>
      </c>
      <c r="F1634" s="23">
        <f t="shared" si="564"/>
        <v>-160750</v>
      </c>
      <c r="G1634" s="20">
        <v>-463500</v>
      </c>
      <c r="H1634">
        <v>18.5</v>
      </c>
      <c r="K1634" s="41" t="s">
        <v>15</v>
      </c>
      <c r="L1634" s="23">
        <v>-93812</v>
      </c>
      <c r="M1634" s="42">
        <v>75125</v>
      </c>
      <c r="N1634" s="23">
        <f t="shared" si="563"/>
        <v>-18687</v>
      </c>
      <c r="O1634" s="20">
        <v>-17500</v>
      </c>
      <c r="P1634" s="23">
        <f t="shared" si="565"/>
        <v>-1187</v>
      </c>
      <c r="Q1634" s="20">
        <v>-653250</v>
      </c>
    </row>
    <row r="1635" spans="1:17" ht="15.75" x14ac:dyDescent="0.25">
      <c r="A1635" s="41" t="s">
        <v>141</v>
      </c>
      <c r="B1635" s="23">
        <v>7425</v>
      </c>
      <c r="C1635" s="42">
        <v>-134325</v>
      </c>
      <c r="D1635" s="23">
        <f t="shared" si="562"/>
        <v>-126900</v>
      </c>
      <c r="E1635" s="20">
        <v>5400</v>
      </c>
      <c r="F1635" s="23">
        <f t="shared" si="564"/>
        <v>-132300</v>
      </c>
      <c r="G1635" s="20">
        <v>-808650</v>
      </c>
      <c r="H1635">
        <v>11.9</v>
      </c>
      <c r="K1635" s="41" t="s">
        <v>141</v>
      </c>
      <c r="L1635" s="23">
        <v>-146925</v>
      </c>
      <c r="M1635" s="42">
        <v>251100</v>
      </c>
      <c r="N1635" s="23">
        <f t="shared" si="563"/>
        <v>104175</v>
      </c>
      <c r="O1635" s="20">
        <v>3375</v>
      </c>
      <c r="P1635" s="23">
        <f t="shared" si="565"/>
        <v>100800</v>
      </c>
      <c r="Q1635" s="20">
        <v>-756450</v>
      </c>
    </row>
    <row r="1636" spans="1:17" ht="15.75" x14ac:dyDescent="0.25">
      <c r="A1636" s="41" t="s">
        <v>87</v>
      </c>
      <c r="B1636" s="23">
        <v>-10968</v>
      </c>
      <c r="C1636" s="42">
        <v>-50625</v>
      </c>
      <c r="D1636" s="23">
        <f t="shared" si="562"/>
        <v>-61593</v>
      </c>
      <c r="E1636" s="20">
        <v>12993.75</v>
      </c>
      <c r="F1636" s="23">
        <f t="shared" si="564"/>
        <v>-74586.75</v>
      </c>
      <c r="G1636" s="20">
        <v>-697275</v>
      </c>
      <c r="H1636">
        <v>15.700000000000001</v>
      </c>
      <c r="K1636" s="41" t="s">
        <v>87</v>
      </c>
      <c r="L1636" s="23">
        <v>-39150</v>
      </c>
      <c r="M1636" s="42">
        <v>71887.5</v>
      </c>
      <c r="N1636" s="23">
        <f t="shared" si="563"/>
        <v>32737.5</v>
      </c>
      <c r="O1636" s="20">
        <v>39150</v>
      </c>
      <c r="P1636" s="23">
        <f t="shared" si="565"/>
        <v>-6412.5</v>
      </c>
      <c r="Q1636" s="20">
        <v>-742162.5</v>
      </c>
    </row>
    <row r="1637" spans="1:17" ht="15.75" x14ac:dyDescent="0.25">
      <c r="A1637" s="41" t="s">
        <v>61</v>
      </c>
      <c r="B1637" s="23">
        <v>6655</v>
      </c>
      <c r="C1637" s="42">
        <v>-164890</v>
      </c>
      <c r="D1637" s="23">
        <f t="shared" si="562"/>
        <v>-158235</v>
      </c>
      <c r="E1637" s="20">
        <v>3410.0000000000018</v>
      </c>
      <c r="F1637" s="23">
        <f t="shared" si="564"/>
        <v>-161645</v>
      </c>
      <c r="G1637" s="20">
        <v>-533610</v>
      </c>
      <c r="H1637">
        <v>49.65</v>
      </c>
      <c r="K1637" s="41" t="s">
        <v>61</v>
      </c>
      <c r="L1637" s="23">
        <v>15235</v>
      </c>
      <c r="M1637" s="42">
        <v>107690.00000000006</v>
      </c>
      <c r="N1637" s="23">
        <f t="shared" si="563"/>
        <v>122925.00000000006</v>
      </c>
      <c r="O1637" s="20">
        <v>-15510</v>
      </c>
      <c r="P1637" s="23">
        <f t="shared" si="565"/>
        <v>138435.00000000006</v>
      </c>
      <c r="Q1637" s="20">
        <v>-686620</v>
      </c>
    </row>
    <row r="1638" spans="1:17" ht="15.75" x14ac:dyDescent="0.25">
      <c r="A1638" s="41" t="s">
        <v>90</v>
      </c>
      <c r="B1638" s="23">
        <v>5120</v>
      </c>
      <c r="C1638" s="42">
        <v>-86800</v>
      </c>
      <c r="D1638" s="23">
        <f t="shared" si="562"/>
        <v>-81680</v>
      </c>
      <c r="E1638" s="20">
        <v>25440</v>
      </c>
      <c r="F1638" s="23">
        <f t="shared" si="564"/>
        <v>-107120</v>
      </c>
      <c r="G1638" s="20">
        <v>-459520</v>
      </c>
      <c r="H1638">
        <v>18.95</v>
      </c>
      <c r="K1638" s="41" t="s">
        <v>90</v>
      </c>
      <c r="L1638" s="23">
        <v>-363760</v>
      </c>
      <c r="M1638" s="42">
        <v>169440</v>
      </c>
      <c r="N1638" s="23">
        <f>+M1638+L1638</f>
        <v>-194320</v>
      </c>
      <c r="O1638" s="20">
        <v>2960</v>
      </c>
      <c r="P1638" s="23">
        <f>+L1638+M1638-O1638</f>
        <v>-197280</v>
      </c>
      <c r="Q1638" s="20">
        <v>0</v>
      </c>
    </row>
    <row r="1639" spans="1:17" ht="15.75" x14ac:dyDescent="0.25">
      <c r="A1639" s="41" t="s">
        <v>150</v>
      </c>
      <c r="B1639" s="23">
        <v>-17955</v>
      </c>
      <c r="C1639" s="42">
        <v>-23100</v>
      </c>
      <c r="D1639" s="23">
        <f t="shared" si="562"/>
        <v>-41055</v>
      </c>
      <c r="E1639" s="20">
        <v>-2100</v>
      </c>
      <c r="F1639" s="23">
        <f t="shared" si="564"/>
        <v>-38955</v>
      </c>
      <c r="G1639" s="20">
        <v>-296100</v>
      </c>
      <c r="H1639">
        <v>14.75</v>
      </c>
      <c r="K1639" s="41" t="s">
        <v>150</v>
      </c>
      <c r="L1639" s="23">
        <v>-15120</v>
      </c>
      <c r="M1639" s="42">
        <v>32759.999999999993</v>
      </c>
      <c r="N1639" s="23">
        <f>+M1639+L1639</f>
        <v>17639.999999999993</v>
      </c>
      <c r="O1639" s="20">
        <v>19530</v>
      </c>
      <c r="P1639" s="23">
        <f>+L1639+M1639-O1639</f>
        <v>-1890.0000000000073</v>
      </c>
      <c r="Q1639" s="20">
        <v>-344925</v>
      </c>
    </row>
    <row r="1640" spans="1:17" ht="15.75" x14ac:dyDescent="0.25">
      <c r="A1640" s="41" t="s">
        <v>57</v>
      </c>
      <c r="B1640" s="23">
        <v>5307</v>
      </c>
      <c r="C1640" s="42">
        <v>-76477.5</v>
      </c>
      <c r="D1640" s="23">
        <f t="shared" si="562"/>
        <v>-71170.5</v>
      </c>
      <c r="E1640" s="20">
        <v>-26785</v>
      </c>
      <c r="F1640" s="23">
        <f t="shared" si="564"/>
        <v>-44385.5</v>
      </c>
      <c r="G1640" s="20">
        <v>-630712.5</v>
      </c>
      <c r="H1640">
        <v>53.8</v>
      </c>
      <c r="K1640" s="41" t="s">
        <v>57</v>
      </c>
      <c r="L1640" s="23">
        <v>39737</v>
      </c>
      <c r="M1640" s="42">
        <v>-218020</v>
      </c>
      <c r="N1640" s="23">
        <f t="shared" si="563"/>
        <v>-178283</v>
      </c>
      <c r="O1640" s="20">
        <v>9267.5</v>
      </c>
      <c r="P1640" s="23">
        <f t="shared" si="565"/>
        <v>-187550.5</v>
      </c>
      <c r="Q1640" s="20">
        <v>-420200</v>
      </c>
    </row>
    <row r="1641" spans="1:17" ht="15.75" x14ac:dyDescent="0.25">
      <c r="A1641" s="41" t="s">
        <v>94</v>
      </c>
      <c r="B1641" s="23">
        <v>0</v>
      </c>
      <c r="C1641" s="42">
        <v>0</v>
      </c>
      <c r="D1641" s="23">
        <v>0</v>
      </c>
      <c r="E1641" s="20">
        <v>0</v>
      </c>
      <c r="F1641" s="23">
        <f t="shared" si="564"/>
        <v>0</v>
      </c>
      <c r="G1641" s="23">
        <v>0</v>
      </c>
      <c r="H1641">
        <v>11.7</v>
      </c>
      <c r="K1641" s="41" t="s">
        <v>94</v>
      </c>
      <c r="L1641" s="23">
        <v>0</v>
      </c>
      <c r="M1641" s="42">
        <v>0</v>
      </c>
      <c r="N1641" s="23">
        <v>0</v>
      </c>
      <c r="O1641" s="20">
        <v>0</v>
      </c>
      <c r="P1641" s="23">
        <f t="shared" si="565"/>
        <v>0</v>
      </c>
      <c r="Q1641" s="23">
        <v>485000</v>
      </c>
    </row>
    <row r="1642" spans="1:17" ht="15.75" x14ac:dyDescent="0.25">
      <c r="A1642" s="21" t="s">
        <v>107</v>
      </c>
      <c r="B1642" s="22">
        <f t="shared" ref="B1642:G1642" si="566">SUM(B1627:B1641)</f>
        <v>-39385</v>
      </c>
      <c r="C1642" s="18">
        <f t="shared" si="566"/>
        <v>-1446522.5</v>
      </c>
      <c r="D1642" s="23">
        <f t="shared" si="566"/>
        <v>-1485907.5</v>
      </c>
      <c r="E1642" s="18">
        <f t="shared" si="566"/>
        <v>6248.75</v>
      </c>
      <c r="F1642" s="23">
        <f t="shared" si="566"/>
        <v>-1492156.25</v>
      </c>
      <c r="G1642" s="17">
        <f t="shared" si="566"/>
        <v>-7990960</v>
      </c>
      <c r="K1642" s="21" t="s">
        <v>107</v>
      </c>
      <c r="L1642" s="22">
        <f t="shared" ref="L1642:Q1642" si="567">SUM(L1627:L1641)</f>
        <v>-1545592</v>
      </c>
      <c r="M1642" s="18">
        <f t="shared" si="567"/>
        <v>792310</v>
      </c>
      <c r="N1642" s="23">
        <f t="shared" si="567"/>
        <v>-753282</v>
      </c>
      <c r="O1642" s="18">
        <f t="shared" si="567"/>
        <v>118970</v>
      </c>
      <c r="P1642" s="23">
        <f t="shared" si="567"/>
        <v>-872252</v>
      </c>
      <c r="Q1642" s="17">
        <f t="shared" si="567"/>
        <v>-8114712.5</v>
      </c>
    </row>
    <row r="1645" spans="1:17" ht="15.75" x14ac:dyDescent="0.25">
      <c r="A1645" s="107" t="s">
        <v>154</v>
      </c>
      <c r="B1645" s="108"/>
      <c r="C1645" s="108"/>
      <c r="D1645" s="108"/>
      <c r="E1645" s="108"/>
      <c r="F1645" s="108"/>
      <c r="G1645" s="109"/>
      <c r="K1645" s="107" t="s">
        <v>155</v>
      </c>
      <c r="L1645" s="108"/>
      <c r="M1645" s="108"/>
      <c r="N1645" s="108"/>
      <c r="O1645" s="108"/>
      <c r="P1645" s="108"/>
      <c r="Q1645" s="109"/>
    </row>
    <row r="1646" spans="1:17" ht="15.75" x14ac:dyDescent="0.25">
      <c r="A1646" s="22" t="s">
        <v>34</v>
      </c>
      <c r="B1646" s="22" t="s">
        <v>104</v>
      </c>
      <c r="C1646" s="22" t="s">
        <v>105</v>
      </c>
      <c r="D1646" s="22" t="s">
        <v>112</v>
      </c>
      <c r="E1646" s="22" t="s">
        <v>106</v>
      </c>
      <c r="F1646" s="21" t="s">
        <v>108</v>
      </c>
      <c r="G1646" s="21" t="s">
        <v>28</v>
      </c>
      <c r="K1646" s="22" t="s">
        <v>34</v>
      </c>
      <c r="L1646" s="22" t="s">
        <v>104</v>
      </c>
      <c r="M1646" s="22" t="s">
        <v>105</v>
      </c>
      <c r="N1646" s="22" t="s">
        <v>112</v>
      </c>
      <c r="O1646" s="22" t="s">
        <v>106</v>
      </c>
      <c r="P1646" s="21" t="s">
        <v>108</v>
      </c>
      <c r="Q1646" s="21" t="s">
        <v>28</v>
      </c>
    </row>
    <row r="1647" spans="1:17" ht="15.75" x14ac:dyDescent="0.25">
      <c r="A1647" s="41" t="s">
        <v>71</v>
      </c>
      <c r="B1647" s="23">
        <v>-66045</v>
      </c>
      <c r="C1647" s="42">
        <v>392700</v>
      </c>
      <c r="D1647" s="23">
        <f t="shared" ref="D1647:D1657" si="568">+C1647+B1647</f>
        <v>326655</v>
      </c>
      <c r="E1647" s="20">
        <v>38250</v>
      </c>
      <c r="F1647" s="20">
        <f>+B1647+C1647-E1647</f>
        <v>288405</v>
      </c>
      <c r="G1647" s="23">
        <v>-359550</v>
      </c>
      <c r="H1647">
        <v>20.350000000000001</v>
      </c>
      <c r="K1647" s="41" t="s">
        <v>71</v>
      </c>
      <c r="L1647" s="23">
        <v>-646170</v>
      </c>
      <c r="M1647" s="42">
        <v>-374680</v>
      </c>
      <c r="N1647" s="23">
        <f t="shared" ref="N1647:N1660" si="569">+M1647+L1647</f>
        <v>-1020850</v>
      </c>
      <c r="O1647" s="20">
        <v>6715</v>
      </c>
      <c r="P1647" s="20">
        <f>+L1647+M1647-O1647</f>
        <v>-1027565</v>
      </c>
      <c r="Q1647" s="23">
        <v>-125119.99999999999</v>
      </c>
    </row>
    <row r="1648" spans="1:17" ht="15.75" x14ac:dyDescent="0.25">
      <c r="A1648" s="41" t="s">
        <v>134</v>
      </c>
      <c r="B1648" s="23">
        <v>-25000</v>
      </c>
      <c r="C1648" s="42">
        <v>202000</v>
      </c>
      <c r="D1648" s="23">
        <f t="shared" si="568"/>
        <v>177000</v>
      </c>
      <c r="E1648" s="20">
        <v>18500</v>
      </c>
      <c r="F1648" s="23">
        <f t="shared" ref="F1648:F1657" si="570">+B1648+C1648-E1648</f>
        <v>158500</v>
      </c>
      <c r="G1648" s="23">
        <v>-641250</v>
      </c>
      <c r="H1648">
        <v>4.8000000000000007</v>
      </c>
      <c r="K1648" s="41" t="s">
        <v>134</v>
      </c>
      <c r="L1648" s="23">
        <v>28250</v>
      </c>
      <c r="M1648" s="42">
        <v>179750</v>
      </c>
      <c r="N1648" s="23">
        <f t="shared" si="569"/>
        <v>208000</v>
      </c>
      <c r="O1648" s="20">
        <v>21000</v>
      </c>
      <c r="P1648" s="23">
        <f t="shared" ref="P1648:P1657" si="571">+L1648+M1648-O1648</f>
        <v>187000</v>
      </c>
      <c r="Q1648" s="23">
        <v>-585000</v>
      </c>
    </row>
    <row r="1649" spans="1:17" ht="15.75" x14ac:dyDescent="0.25">
      <c r="A1649" s="41" t="s">
        <v>82</v>
      </c>
      <c r="B1649" s="23">
        <v>-101531</v>
      </c>
      <c r="C1649" s="42">
        <v>210472.5</v>
      </c>
      <c r="D1649" s="23">
        <f t="shared" si="568"/>
        <v>108941.5</v>
      </c>
      <c r="E1649" s="20">
        <v>-10568.75</v>
      </c>
      <c r="F1649" s="23">
        <f t="shared" si="570"/>
        <v>119510.25</v>
      </c>
      <c r="G1649" s="23">
        <v>-767362.5</v>
      </c>
      <c r="H1649">
        <v>87.7</v>
      </c>
      <c r="K1649" s="41" t="s">
        <v>82</v>
      </c>
      <c r="L1649" s="23">
        <v>-84550</v>
      </c>
      <c r="M1649" s="42">
        <v>215507.5</v>
      </c>
      <c r="N1649" s="23">
        <f t="shared" si="569"/>
        <v>130957.5</v>
      </c>
      <c r="O1649" s="20">
        <v>14724.999999999985</v>
      </c>
      <c r="P1649" s="23">
        <f t="shared" si="571"/>
        <v>116232.50000000001</v>
      </c>
      <c r="Q1649" s="23">
        <v>-667137.5</v>
      </c>
    </row>
    <row r="1650" spans="1:17" ht="15.75" x14ac:dyDescent="0.25">
      <c r="A1650" s="41" t="s">
        <v>97</v>
      </c>
      <c r="B1650" s="23">
        <v>-27375</v>
      </c>
      <c r="C1650" s="42">
        <v>233250</v>
      </c>
      <c r="D1650" s="23">
        <f t="shared" si="568"/>
        <v>205875</v>
      </c>
      <c r="E1650" s="20">
        <v>10500</v>
      </c>
      <c r="F1650" s="23">
        <f t="shared" si="570"/>
        <v>195375</v>
      </c>
      <c r="G1650" s="20">
        <v>-641500</v>
      </c>
      <c r="H1650">
        <v>31.200000000000003</v>
      </c>
      <c r="K1650" s="41" t="s">
        <v>97</v>
      </c>
      <c r="L1650" s="23">
        <v>1062</v>
      </c>
      <c r="M1650" s="42">
        <v>236000</v>
      </c>
      <c r="N1650" s="23">
        <f t="shared" si="569"/>
        <v>237062</v>
      </c>
      <c r="O1650" s="20">
        <v>-9750</v>
      </c>
      <c r="P1650" s="23">
        <f t="shared" si="571"/>
        <v>246812</v>
      </c>
      <c r="Q1650" s="20">
        <v>-606000</v>
      </c>
    </row>
    <row r="1651" spans="1:17" ht="15.75" x14ac:dyDescent="0.25">
      <c r="A1651" s="41" t="s">
        <v>62</v>
      </c>
      <c r="B1651" s="23">
        <v>-69585</v>
      </c>
      <c r="C1651" s="42">
        <v>153525</v>
      </c>
      <c r="D1651" s="23">
        <f t="shared" si="568"/>
        <v>83940</v>
      </c>
      <c r="E1651" s="20">
        <v>18772.499999999993</v>
      </c>
      <c r="F1651" s="23">
        <f t="shared" si="570"/>
        <v>65167.500000000007</v>
      </c>
      <c r="G1651" s="20">
        <v>-907770</v>
      </c>
      <c r="H1651">
        <v>217.10000000000002</v>
      </c>
      <c r="K1651" s="41" t="s">
        <v>62</v>
      </c>
      <c r="L1651" s="23">
        <v>251160</v>
      </c>
      <c r="M1651" s="42">
        <v>22890.000000000015</v>
      </c>
      <c r="N1651" s="23">
        <f t="shared" si="569"/>
        <v>274050</v>
      </c>
      <c r="O1651" s="20">
        <v>-86137.5</v>
      </c>
      <c r="P1651" s="23">
        <f t="shared" si="571"/>
        <v>360187.5</v>
      </c>
      <c r="Q1651" s="20">
        <v>-554310</v>
      </c>
    </row>
    <row r="1652" spans="1:17" ht="15.75" x14ac:dyDescent="0.25">
      <c r="A1652" s="41" t="s">
        <v>85</v>
      </c>
      <c r="B1652" s="23">
        <v>-7725</v>
      </c>
      <c r="C1652" s="42">
        <v>174600</v>
      </c>
      <c r="D1652" s="23">
        <f t="shared" si="568"/>
        <v>166875</v>
      </c>
      <c r="E1652" s="20">
        <v>14550</v>
      </c>
      <c r="F1652" s="23">
        <f t="shared" si="570"/>
        <v>152325</v>
      </c>
      <c r="G1652" s="20">
        <v>-591000</v>
      </c>
      <c r="H1652">
        <v>18.850000000000001</v>
      </c>
      <c r="K1652" s="41" t="s">
        <v>85</v>
      </c>
      <c r="L1652" s="23">
        <v>-43500</v>
      </c>
      <c r="M1652" s="42">
        <v>273900</v>
      </c>
      <c r="N1652" s="23">
        <f t="shared" si="569"/>
        <v>230400</v>
      </c>
      <c r="O1652" s="20">
        <v>26100</v>
      </c>
      <c r="P1652" s="23">
        <f t="shared" si="571"/>
        <v>204300</v>
      </c>
      <c r="Q1652" s="20">
        <v>-404850</v>
      </c>
    </row>
    <row r="1653" spans="1:17" ht="15.75" x14ac:dyDescent="0.25">
      <c r="A1653" s="41" t="s">
        <v>128</v>
      </c>
      <c r="B1653" s="23">
        <v>-4225</v>
      </c>
      <c r="C1653" s="42">
        <v>67990</v>
      </c>
      <c r="D1653" s="23">
        <f t="shared" si="568"/>
        <v>63765</v>
      </c>
      <c r="E1653" s="20">
        <v>45435</v>
      </c>
      <c r="F1653" s="23">
        <f t="shared" si="570"/>
        <v>18330</v>
      </c>
      <c r="G1653" s="20">
        <v>-507325</v>
      </c>
      <c r="H1653">
        <v>17.200000000000003</v>
      </c>
      <c r="K1653" s="41" t="s">
        <v>128</v>
      </c>
      <c r="L1653" s="23">
        <v>26065</v>
      </c>
      <c r="M1653" s="42">
        <v>107835</v>
      </c>
      <c r="N1653" s="23">
        <f t="shared" si="569"/>
        <v>133900</v>
      </c>
      <c r="O1653" s="20">
        <v>-33865</v>
      </c>
      <c r="P1653" s="23">
        <f t="shared" si="571"/>
        <v>167765</v>
      </c>
      <c r="Q1653" s="20">
        <v>-377975</v>
      </c>
    </row>
    <row r="1654" spans="1:17" ht="15.75" x14ac:dyDescent="0.25">
      <c r="A1654" s="41" t="s">
        <v>15</v>
      </c>
      <c r="B1654" s="23">
        <v>-85375</v>
      </c>
      <c r="C1654" s="42">
        <v>122500</v>
      </c>
      <c r="D1654" s="23">
        <f t="shared" si="568"/>
        <v>37125</v>
      </c>
      <c r="E1654" s="20">
        <v>12750</v>
      </c>
      <c r="F1654" s="23">
        <f t="shared" si="570"/>
        <v>24375</v>
      </c>
      <c r="G1654" s="20">
        <v>-650000</v>
      </c>
      <c r="H1654">
        <v>15.8</v>
      </c>
      <c r="K1654" s="41" t="s">
        <v>15</v>
      </c>
      <c r="L1654" s="23">
        <v>110875</v>
      </c>
      <c r="M1654" s="42">
        <v>-91500</v>
      </c>
      <c r="N1654" s="23">
        <f t="shared" si="569"/>
        <v>19375</v>
      </c>
      <c r="O1654" s="20">
        <v>16500</v>
      </c>
      <c r="P1654" s="23">
        <f t="shared" si="571"/>
        <v>2875</v>
      </c>
      <c r="Q1654" s="20">
        <v>-479500</v>
      </c>
    </row>
    <row r="1655" spans="1:17" ht="15.75" x14ac:dyDescent="0.25">
      <c r="A1655" s="41" t="s">
        <v>141</v>
      </c>
      <c r="B1655" s="23">
        <v>9225</v>
      </c>
      <c r="C1655" s="42">
        <v>232200</v>
      </c>
      <c r="D1655" s="23">
        <f t="shared" si="568"/>
        <v>241425</v>
      </c>
      <c r="E1655" s="20">
        <v>19800</v>
      </c>
      <c r="F1655" s="23">
        <f t="shared" si="570"/>
        <v>221625</v>
      </c>
      <c r="G1655" s="20">
        <v>-781200</v>
      </c>
      <c r="H1655">
        <v>8.9</v>
      </c>
      <c r="K1655" s="41" t="s">
        <v>141</v>
      </c>
      <c r="L1655" s="23">
        <v>-139725</v>
      </c>
      <c r="M1655" s="42">
        <v>280800</v>
      </c>
      <c r="N1655" s="23">
        <f t="shared" si="569"/>
        <v>141075</v>
      </c>
      <c r="O1655" s="20">
        <v>-20025</v>
      </c>
      <c r="P1655" s="23">
        <f t="shared" si="571"/>
        <v>161100</v>
      </c>
      <c r="Q1655" s="20">
        <v>-575775</v>
      </c>
    </row>
    <row r="1656" spans="1:17" ht="15.75" x14ac:dyDescent="0.25">
      <c r="A1656" s="41" t="s">
        <v>87</v>
      </c>
      <c r="B1656" s="23">
        <v>-22275</v>
      </c>
      <c r="C1656" s="42">
        <v>235912.5</v>
      </c>
      <c r="D1656" s="23">
        <f t="shared" si="568"/>
        <v>213637.5</v>
      </c>
      <c r="E1656" s="20">
        <v>9787.5</v>
      </c>
      <c r="F1656" s="23">
        <f t="shared" si="570"/>
        <v>203850</v>
      </c>
      <c r="G1656" s="20">
        <v>-616950</v>
      </c>
      <c r="H1656">
        <v>13.6</v>
      </c>
      <c r="K1656" s="41" t="s">
        <v>87</v>
      </c>
      <c r="L1656" s="23">
        <v>36956</v>
      </c>
      <c r="M1656" s="42">
        <v>153900</v>
      </c>
      <c r="N1656" s="23">
        <f t="shared" si="569"/>
        <v>190856</v>
      </c>
      <c r="O1656" s="20">
        <v>19575</v>
      </c>
      <c r="P1656" s="23">
        <f t="shared" si="571"/>
        <v>171281</v>
      </c>
      <c r="Q1656" s="20">
        <v>-436050</v>
      </c>
    </row>
    <row r="1657" spans="1:17" ht="15.75" x14ac:dyDescent="0.25">
      <c r="A1657" s="41" t="s">
        <v>61</v>
      </c>
      <c r="B1657" s="23">
        <v>-106260</v>
      </c>
      <c r="C1657" s="42">
        <v>81840</v>
      </c>
      <c r="D1657" s="23">
        <f t="shared" si="568"/>
        <v>-24420</v>
      </c>
      <c r="E1657" s="20">
        <v>37620</v>
      </c>
      <c r="F1657" s="23">
        <f t="shared" si="570"/>
        <v>-62040</v>
      </c>
      <c r="G1657" s="20">
        <v>-617100</v>
      </c>
      <c r="H1657">
        <v>48.95</v>
      </c>
      <c r="K1657" s="41" t="s">
        <v>61</v>
      </c>
      <c r="L1657" s="23">
        <v>-84590</v>
      </c>
      <c r="M1657" s="42">
        <v>222365</v>
      </c>
      <c r="N1657" s="23">
        <f t="shared" si="569"/>
        <v>137775</v>
      </c>
      <c r="O1657" s="20">
        <v>6875</v>
      </c>
      <c r="P1657" s="23">
        <f t="shared" si="571"/>
        <v>130900</v>
      </c>
      <c r="Q1657" s="20">
        <v>-624250</v>
      </c>
    </row>
    <row r="1658" spans="1:17" ht="15.75" x14ac:dyDescent="0.25">
      <c r="A1658" s="41" t="s">
        <v>150</v>
      </c>
      <c r="B1658" s="23">
        <v>9870</v>
      </c>
      <c r="C1658" s="42">
        <v>89460.000000000029</v>
      </c>
      <c r="D1658" s="23">
        <f>+C1658+B1658</f>
        <v>99330.000000000029</v>
      </c>
      <c r="E1658" s="20">
        <v>11130</v>
      </c>
      <c r="F1658" s="23">
        <f>+B1658+C1658-E1658</f>
        <v>88200.000000000029</v>
      </c>
      <c r="G1658" s="20">
        <v>-536025</v>
      </c>
      <c r="H1658">
        <v>13.600000000000001</v>
      </c>
      <c r="K1658" s="41" t="s">
        <v>150</v>
      </c>
      <c r="L1658" s="23">
        <v>68775</v>
      </c>
      <c r="M1658" s="42">
        <v>-85575</v>
      </c>
      <c r="N1658" s="23">
        <f t="shared" si="569"/>
        <v>-16800</v>
      </c>
      <c r="O1658" s="20">
        <v>29924.999999999993</v>
      </c>
      <c r="P1658" s="23">
        <f>+L1658+M1658-O1658</f>
        <v>-46724.999999999993</v>
      </c>
      <c r="Q1658" s="20">
        <v>0</v>
      </c>
    </row>
    <row r="1659" spans="1:17" ht="15.75" x14ac:dyDescent="0.25">
      <c r="A1659" s="41" t="s">
        <v>57</v>
      </c>
      <c r="B1659" s="23">
        <v>156392</v>
      </c>
      <c r="C1659" s="42">
        <v>-282204.99999999988</v>
      </c>
      <c r="D1659" s="23">
        <f t="shared" ref="D1659" si="572">+C1659+B1659</f>
        <v>-125812.99999999988</v>
      </c>
      <c r="E1659" s="20">
        <v>-31845</v>
      </c>
      <c r="F1659" s="23">
        <f t="shared" ref="F1659:F1660" si="573">+B1659+C1659-E1659</f>
        <v>-93967.999999999884</v>
      </c>
      <c r="G1659" s="20">
        <v>-655050</v>
      </c>
      <c r="H1659">
        <v>48.6</v>
      </c>
      <c r="K1659" s="41" t="s">
        <v>57</v>
      </c>
      <c r="L1659" s="23">
        <v>51535</v>
      </c>
      <c r="M1659" s="42">
        <v>-59070</v>
      </c>
      <c r="N1659" s="23">
        <f t="shared" si="569"/>
        <v>-7535</v>
      </c>
      <c r="O1659" s="20">
        <v>-56512.5</v>
      </c>
      <c r="P1659" s="23">
        <f t="shared" ref="P1659:P1660" si="574">+L1659+M1659-O1659</f>
        <v>48977.5</v>
      </c>
      <c r="Q1659" s="20">
        <v>-91960</v>
      </c>
    </row>
    <row r="1660" spans="1:17" ht="15.75" x14ac:dyDescent="0.25">
      <c r="A1660" s="41" t="s">
        <v>94</v>
      </c>
      <c r="B1660" s="23">
        <v>0</v>
      </c>
      <c r="C1660" s="42">
        <v>-95000</v>
      </c>
      <c r="D1660" s="23">
        <v>0</v>
      </c>
      <c r="E1660" s="20">
        <v>0</v>
      </c>
      <c r="F1660" s="23">
        <f t="shared" si="573"/>
        <v>-95000</v>
      </c>
      <c r="G1660" s="23">
        <v>472499.99999999994</v>
      </c>
      <c r="H1660">
        <v>9.9</v>
      </c>
      <c r="K1660" s="41" t="s">
        <v>94</v>
      </c>
      <c r="L1660" s="23">
        <v>-45750</v>
      </c>
      <c r="M1660" s="42">
        <v>42500</v>
      </c>
      <c r="N1660" s="23">
        <f t="shared" si="569"/>
        <v>-3250</v>
      </c>
      <c r="O1660" s="20">
        <v>0</v>
      </c>
      <c r="P1660" s="23">
        <f t="shared" si="574"/>
        <v>-3250</v>
      </c>
      <c r="Q1660" s="23">
        <v>-360750</v>
      </c>
    </row>
    <row r="1661" spans="1:17" ht="15.75" x14ac:dyDescent="0.25">
      <c r="A1661" s="21" t="s">
        <v>107</v>
      </c>
      <c r="B1661" s="22">
        <f t="shared" ref="B1661:G1661" si="575">SUM(B1647:B1660)</f>
        <v>-339909</v>
      </c>
      <c r="C1661" s="18">
        <f t="shared" si="575"/>
        <v>1819245</v>
      </c>
      <c r="D1661" s="23">
        <f t="shared" si="575"/>
        <v>1574336</v>
      </c>
      <c r="E1661" s="18">
        <f t="shared" si="575"/>
        <v>194681.25</v>
      </c>
      <c r="F1661" s="23">
        <f t="shared" si="575"/>
        <v>1284654.75</v>
      </c>
      <c r="G1661" s="17">
        <f t="shared" si="575"/>
        <v>-7799582.5</v>
      </c>
      <c r="K1661" s="21" t="s">
        <v>107</v>
      </c>
      <c r="L1661" s="22">
        <f t="shared" ref="L1661:Q1661" si="576">SUM(L1647:L1660)</f>
        <v>-469607</v>
      </c>
      <c r="M1661" s="18">
        <f t="shared" si="576"/>
        <v>1124622.5</v>
      </c>
      <c r="N1661" s="23">
        <f t="shared" si="576"/>
        <v>655015.5</v>
      </c>
      <c r="O1661" s="18">
        <f t="shared" si="576"/>
        <v>-64875.000000000022</v>
      </c>
      <c r="P1661" s="23">
        <f t="shared" si="576"/>
        <v>719890.5</v>
      </c>
      <c r="Q1661" s="17">
        <f t="shared" si="576"/>
        <v>-5888677.5</v>
      </c>
    </row>
    <row r="1664" spans="1:17" ht="15.75" x14ac:dyDescent="0.25">
      <c r="A1664" s="107" t="s">
        <v>156</v>
      </c>
      <c r="B1664" s="108"/>
      <c r="C1664" s="108"/>
      <c r="D1664" s="108"/>
      <c r="E1664" s="108"/>
      <c r="F1664" s="108"/>
      <c r="G1664" s="109"/>
    </row>
    <row r="1665" spans="1:7" ht="15.75" x14ac:dyDescent="0.25">
      <c r="A1665" s="22" t="s">
        <v>34</v>
      </c>
      <c r="B1665" s="22" t="s">
        <v>104</v>
      </c>
      <c r="C1665" s="22" t="s">
        <v>105</v>
      </c>
      <c r="D1665" s="22" t="s">
        <v>112</v>
      </c>
      <c r="E1665" s="22" t="s">
        <v>106</v>
      </c>
      <c r="F1665" s="21" t="s">
        <v>108</v>
      </c>
      <c r="G1665" s="21" t="s">
        <v>28</v>
      </c>
    </row>
    <row r="1666" spans="1:7" ht="15.75" x14ac:dyDescent="0.25">
      <c r="A1666" s="41" t="s">
        <v>71</v>
      </c>
      <c r="B1666" s="23">
        <v>191760</v>
      </c>
      <c r="C1666" s="42">
        <v>-247520</v>
      </c>
      <c r="D1666" s="23">
        <f t="shared" ref="D1666:D1679" si="577">+C1666+B1666</f>
        <v>-55760</v>
      </c>
      <c r="E1666" s="20"/>
      <c r="F1666" s="20">
        <f>+B1666+C1666-E1666</f>
        <v>-55760</v>
      </c>
      <c r="G1666" s="23"/>
    </row>
    <row r="1667" spans="1:7" ht="15.75" x14ac:dyDescent="0.25">
      <c r="A1667" s="41" t="s">
        <v>134</v>
      </c>
      <c r="B1667" s="23">
        <v>429750</v>
      </c>
      <c r="C1667" s="42">
        <v>-299000</v>
      </c>
      <c r="D1667" s="23">
        <f t="shared" si="577"/>
        <v>130750</v>
      </c>
      <c r="E1667" s="20"/>
      <c r="F1667" s="23">
        <f t="shared" ref="F1667:F1676" si="578">+B1667+C1667-E1667</f>
        <v>130750</v>
      </c>
      <c r="G1667" s="23"/>
    </row>
    <row r="1668" spans="1:7" ht="15.75" x14ac:dyDescent="0.25">
      <c r="A1668" s="41" t="s">
        <v>82</v>
      </c>
      <c r="B1668" s="23">
        <v>226361</v>
      </c>
      <c r="C1668" s="42">
        <v>-221492.5</v>
      </c>
      <c r="D1668" s="23">
        <f t="shared" si="577"/>
        <v>4868.5</v>
      </c>
      <c r="E1668" s="20"/>
      <c r="F1668" s="23">
        <f t="shared" si="578"/>
        <v>4868.5</v>
      </c>
      <c r="G1668" s="23"/>
    </row>
    <row r="1669" spans="1:7" ht="15.75" x14ac:dyDescent="0.25">
      <c r="A1669" s="41" t="s">
        <v>97</v>
      </c>
      <c r="B1669" s="23">
        <v>574625</v>
      </c>
      <c r="C1669" s="42">
        <v>-487500</v>
      </c>
      <c r="D1669" s="23">
        <f t="shared" si="577"/>
        <v>87125</v>
      </c>
      <c r="E1669" s="20"/>
      <c r="F1669" s="23">
        <f t="shared" si="578"/>
        <v>87125</v>
      </c>
      <c r="G1669" s="20"/>
    </row>
    <row r="1670" spans="1:7" ht="15.75" x14ac:dyDescent="0.25">
      <c r="A1670" s="41" t="s">
        <v>62</v>
      </c>
      <c r="B1670" s="23">
        <v>164205</v>
      </c>
      <c r="C1670" s="42">
        <v>-76605</v>
      </c>
      <c r="D1670" s="23">
        <f t="shared" si="577"/>
        <v>87600</v>
      </c>
      <c r="E1670" s="20"/>
      <c r="F1670" s="23">
        <f t="shared" si="578"/>
        <v>87600</v>
      </c>
      <c r="G1670" s="20"/>
    </row>
    <row r="1671" spans="1:7" ht="15.75" x14ac:dyDescent="0.25">
      <c r="A1671" s="41" t="s">
        <v>85</v>
      </c>
      <c r="B1671" s="23">
        <v>410775</v>
      </c>
      <c r="C1671" s="42">
        <v>-538350</v>
      </c>
      <c r="D1671" s="23">
        <f t="shared" si="577"/>
        <v>-127575</v>
      </c>
      <c r="E1671" s="20"/>
      <c r="F1671" s="23">
        <f t="shared" si="578"/>
        <v>-127575</v>
      </c>
      <c r="G1671" s="20"/>
    </row>
    <row r="1672" spans="1:7" ht="15.75" x14ac:dyDescent="0.25">
      <c r="A1672" s="41" t="s">
        <v>128</v>
      </c>
      <c r="B1672" s="23">
        <v>301535</v>
      </c>
      <c r="C1672" s="42">
        <v>-202605</v>
      </c>
      <c r="D1672" s="23">
        <f t="shared" si="577"/>
        <v>98930</v>
      </c>
      <c r="E1672" s="20"/>
      <c r="F1672" s="23">
        <f t="shared" si="578"/>
        <v>98930</v>
      </c>
      <c r="G1672" s="20"/>
    </row>
    <row r="1673" spans="1:7" ht="15.75" x14ac:dyDescent="0.25">
      <c r="A1673" s="41" t="s">
        <v>15</v>
      </c>
      <c r="B1673" s="23">
        <v>37500</v>
      </c>
      <c r="C1673" s="42">
        <v>49750</v>
      </c>
      <c r="D1673" s="23">
        <f t="shared" si="577"/>
        <v>87250</v>
      </c>
      <c r="E1673" s="20"/>
      <c r="F1673" s="23">
        <f t="shared" si="578"/>
        <v>87250</v>
      </c>
      <c r="G1673" s="20"/>
    </row>
    <row r="1674" spans="1:7" ht="15.75" x14ac:dyDescent="0.25">
      <c r="A1674" s="41" t="s">
        <v>141</v>
      </c>
      <c r="B1674" s="23">
        <v>401400</v>
      </c>
      <c r="C1674" s="42">
        <v>-434700</v>
      </c>
      <c r="D1674" s="23">
        <f t="shared" si="577"/>
        <v>-33300</v>
      </c>
      <c r="E1674" s="20"/>
      <c r="F1674" s="23">
        <f t="shared" si="578"/>
        <v>-33300</v>
      </c>
      <c r="G1674" s="20"/>
    </row>
    <row r="1675" spans="1:7" ht="15.75" x14ac:dyDescent="0.25">
      <c r="A1675" s="41" t="s">
        <v>87</v>
      </c>
      <c r="B1675" s="23">
        <v>-434025</v>
      </c>
      <c r="C1675" s="42">
        <v>-49950</v>
      </c>
      <c r="D1675" s="23">
        <f t="shared" si="577"/>
        <v>-483975</v>
      </c>
      <c r="E1675" s="20"/>
      <c r="F1675" s="23">
        <f t="shared" si="578"/>
        <v>-483975</v>
      </c>
      <c r="G1675" s="20"/>
    </row>
    <row r="1676" spans="1:7" ht="15.75" x14ac:dyDescent="0.25">
      <c r="A1676" s="41" t="s">
        <v>61</v>
      </c>
      <c r="B1676" s="23">
        <v>-120340</v>
      </c>
      <c r="C1676" s="42">
        <v>5775</v>
      </c>
      <c r="D1676" s="23">
        <f t="shared" si="577"/>
        <v>-114565</v>
      </c>
      <c r="E1676" s="20"/>
      <c r="F1676" s="23">
        <f t="shared" si="578"/>
        <v>-114565</v>
      </c>
      <c r="G1676" s="20"/>
    </row>
    <row r="1677" spans="1:7" ht="15.75" x14ac:dyDescent="0.25">
      <c r="A1677" s="41" t="s">
        <v>150</v>
      </c>
      <c r="B1677" s="23">
        <v>0</v>
      </c>
      <c r="C1677" s="42">
        <v>0</v>
      </c>
      <c r="D1677" s="23">
        <f t="shared" si="577"/>
        <v>0</v>
      </c>
      <c r="E1677" s="20"/>
      <c r="F1677" s="23">
        <f>+B1677+C1677-E1677</f>
        <v>0</v>
      </c>
      <c r="G1677" s="20"/>
    </row>
    <row r="1678" spans="1:7" ht="15.75" x14ac:dyDescent="0.25">
      <c r="A1678" s="41" t="s">
        <v>57</v>
      </c>
      <c r="B1678" s="23">
        <v>139205</v>
      </c>
      <c r="C1678" s="42">
        <v>-299090</v>
      </c>
      <c r="D1678" s="23">
        <f t="shared" si="577"/>
        <v>-159885</v>
      </c>
      <c r="E1678" s="20"/>
      <c r="F1678" s="23">
        <f t="shared" ref="F1678:F1679" si="579">+B1678+C1678-E1678</f>
        <v>-159885</v>
      </c>
      <c r="G1678" s="20"/>
    </row>
    <row r="1679" spans="1:7" ht="15.75" x14ac:dyDescent="0.25">
      <c r="A1679" s="41" t="s">
        <v>94</v>
      </c>
      <c r="B1679" s="23">
        <v>79250</v>
      </c>
      <c r="C1679" s="42">
        <v>-51000</v>
      </c>
      <c r="D1679" s="23">
        <f t="shared" si="577"/>
        <v>28250</v>
      </c>
      <c r="E1679" s="20"/>
      <c r="F1679" s="23">
        <f t="shared" si="579"/>
        <v>28250</v>
      </c>
      <c r="G1679" s="23"/>
    </row>
    <row r="1680" spans="1:7" ht="15.75" x14ac:dyDescent="0.25">
      <c r="A1680" s="21" t="s">
        <v>107</v>
      </c>
      <c r="B1680" s="22">
        <f t="shared" ref="B1680:G1680" si="580">SUM(B1666:B1679)</f>
        <v>2402001</v>
      </c>
      <c r="C1680" s="18">
        <f t="shared" si="580"/>
        <v>-2852287.5</v>
      </c>
      <c r="D1680" s="23">
        <f t="shared" si="580"/>
        <v>-450286.5</v>
      </c>
      <c r="E1680" s="18">
        <f t="shared" si="580"/>
        <v>0</v>
      </c>
      <c r="F1680" s="23">
        <f t="shared" si="580"/>
        <v>-450286.5</v>
      </c>
      <c r="G1680" s="17">
        <f t="shared" si="580"/>
        <v>0</v>
      </c>
    </row>
    <row r="1686" spans="1:16" x14ac:dyDescent="0.25">
      <c r="A1686" s="110">
        <v>45323</v>
      </c>
      <c r="B1686" s="112"/>
      <c r="C1686" s="112"/>
      <c r="D1686" s="112"/>
      <c r="E1686" s="112"/>
      <c r="F1686" s="112"/>
    </row>
    <row r="1687" spans="1:16" x14ac:dyDescent="0.25">
      <c r="A1687" s="112"/>
      <c r="B1687" s="112"/>
      <c r="C1687" s="112"/>
      <c r="D1687" s="112"/>
      <c r="E1687" s="112"/>
      <c r="F1687" s="112"/>
    </row>
    <row r="1688" spans="1:16" x14ac:dyDescent="0.25">
      <c r="A1688" s="112"/>
      <c r="B1688" s="112"/>
      <c r="C1688" s="112"/>
      <c r="D1688" s="112"/>
      <c r="E1688" s="112"/>
      <c r="F1688" s="112"/>
    </row>
    <row r="1689" spans="1:16" x14ac:dyDescent="0.25">
      <c r="A1689" s="112"/>
      <c r="B1689" s="112"/>
      <c r="C1689" s="112"/>
      <c r="D1689" s="112"/>
      <c r="E1689" s="112"/>
      <c r="F1689" s="112"/>
    </row>
    <row r="1690" spans="1:16" x14ac:dyDescent="0.25">
      <c r="A1690" s="112"/>
      <c r="B1690" s="112"/>
      <c r="C1690" s="112"/>
      <c r="D1690" s="112"/>
      <c r="E1690" s="112"/>
      <c r="F1690" s="112"/>
    </row>
    <row r="1691" spans="1:16" x14ac:dyDescent="0.25">
      <c r="A1691" s="112"/>
      <c r="B1691" s="112"/>
      <c r="C1691" s="112"/>
      <c r="D1691" s="112"/>
      <c r="E1691" s="112"/>
      <c r="F1691" s="112"/>
    </row>
    <row r="1696" spans="1:16" ht="15.75" x14ac:dyDescent="0.25">
      <c r="A1696" s="107">
        <v>45337</v>
      </c>
      <c r="B1696" s="108"/>
      <c r="C1696" s="108"/>
      <c r="D1696" s="108"/>
      <c r="E1696" s="108"/>
      <c r="F1696" s="108"/>
      <c r="G1696" s="109"/>
      <c r="J1696" s="107">
        <v>45338</v>
      </c>
      <c r="K1696" s="108"/>
      <c r="L1696" s="108"/>
      <c r="M1696" s="108"/>
      <c r="N1696" s="108"/>
      <c r="O1696" s="108"/>
      <c r="P1696" s="109"/>
    </row>
    <row r="1697" spans="1:17" ht="15.75" x14ac:dyDescent="0.25">
      <c r="A1697" s="22" t="s">
        <v>34</v>
      </c>
      <c r="B1697" s="22" t="s">
        <v>104</v>
      </c>
      <c r="C1697" s="22" t="s">
        <v>105</v>
      </c>
      <c r="D1697" s="22" t="s">
        <v>112</v>
      </c>
      <c r="E1697" s="22" t="s">
        <v>106</v>
      </c>
      <c r="F1697" s="21" t="s">
        <v>108</v>
      </c>
      <c r="G1697" s="21" t="s">
        <v>28</v>
      </c>
      <c r="J1697" s="22" t="s">
        <v>34</v>
      </c>
      <c r="K1697" s="22" t="s">
        <v>104</v>
      </c>
      <c r="L1697" s="22" t="s">
        <v>105</v>
      </c>
      <c r="M1697" s="22" t="s">
        <v>112</v>
      </c>
      <c r="N1697" s="22" t="s">
        <v>106</v>
      </c>
      <c r="O1697" s="21" t="s">
        <v>108</v>
      </c>
      <c r="P1697" s="21" t="s">
        <v>28</v>
      </c>
    </row>
    <row r="1698" spans="1:17" ht="15.75" x14ac:dyDescent="0.25">
      <c r="A1698" s="41" t="s">
        <v>139</v>
      </c>
      <c r="B1698" s="23">
        <v>3675</v>
      </c>
      <c r="C1698" s="42">
        <v>0</v>
      </c>
      <c r="D1698" s="23">
        <f t="shared" ref="D1698:D1709" si="581">+C1698+B1698</f>
        <v>3675</v>
      </c>
      <c r="E1698" s="20"/>
      <c r="F1698" s="23">
        <f t="shared" ref="F1698:F1709" si="582">+B1698+C1698-E1698</f>
        <v>3675</v>
      </c>
      <c r="G1698" s="23">
        <v>-240975</v>
      </c>
      <c r="J1698" s="41" t="s">
        <v>139</v>
      </c>
      <c r="K1698" s="23">
        <v>10762</v>
      </c>
      <c r="L1698" s="42">
        <v>24412.5</v>
      </c>
      <c r="M1698" s="23">
        <f t="shared" ref="M1698:M1710" si="583">+L1698+K1698</f>
        <v>35174.5</v>
      </c>
      <c r="N1698" s="20">
        <v>5512.5</v>
      </c>
      <c r="O1698" s="23">
        <f t="shared" ref="O1698:O1710" si="584">+K1698+L1698-N1698</f>
        <v>29662</v>
      </c>
      <c r="P1698" s="23">
        <v>-484050</v>
      </c>
      <c r="Q1698">
        <v>17.5</v>
      </c>
    </row>
    <row r="1699" spans="1:17" ht="15.75" x14ac:dyDescent="0.25">
      <c r="A1699" s="41" t="s">
        <v>157</v>
      </c>
      <c r="B1699" s="23">
        <v>-17550</v>
      </c>
      <c r="C1699" s="42">
        <v>0</v>
      </c>
      <c r="D1699" s="23">
        <f t="shared" si="581"/>
        <v>-17550</v>
      </c>
      <c r="E1699" s="20"/>
      <c r="F1699" s="23">
        <f t="shared" si="582"/>
        <v>-17550</v>
      </c>
      <c r="G1699" s="23">
        <v>-214650</v>
      </c>
      <c r="J1699" s="41" t="s">
        <v>157</v>
      </c>
      <c r="K1699" s="23">
        <v>-86040</v>
      </c>
      <c r="L1699" s="42">
        <v>-45180</v>
      </c>
      <c r="M1699" s="23">
        <f t="shared" si="583"/>
        <v>-131220</v>
      </c>
      <c r="N1699" s="20">
        <v>-270</v>
      </c>
      <c r="O1699" s="23">
        <f t="shared" si="584"/>
        <v>-130950</v>
      </c>
      <c r="P1699" s="23">
        <v>0</v>
      </c>
      <c r="Q1699">
        <v>49.85</v>
      </c>
    </row>
    <row r="1700" spans="1:17" ht="15.75" x14ac:dyDescent="0.25">
      <c r="A1700" s="41" t="s">
        <v>134</v>
      </c>
      <c r="B1700" s="23">
        <v>-26500</v>
      </c>
      <c r="C1700" s="42">
        <v>0</v>
      </c>
      <c r="D1700" s="23">
        <f t="shared" si="581"/>
        <v>-26500</v>
      </c>
      <c r="E1700" s="20"/>
      <c r="F1700" s="23">
        <f t="shared" si="582"/>
        <v>-26500</v>
      </c>
      <c r="G1700" s="23">
        <v>-340000</v>
      </c>
      <c r="J1700" s="41" t="s">
        <v>134</v>
      </c>
      <c r="K1700" s="23">
        <v>134750</v>
      </c>
      <c r="L1700" s="42">
        <v>-230000</v>
      </c>
      <c r="M1700" s="23">
        <f t="shared" si="583"/>
        <v>-95250</v>
      </c>
      <c r="N1700" s="20">
        <v>27500</v>
      </c>
      <c r="O1700" s="23">
        <f t="shared" si="584"/>
        <v>-122750</v>
      </c>
      <c r="P1700" s="23">
        <v>-555000</v>
      </c>
      <c r="Q1700">
        <v>8.6999999999999993</v>
      </c>
    </row>
    <row r="1701" spans="1:17" ht="15.75" x14ac:dyDescent="0.25">
      <c r="A1701" s="41" t="s">
        <v>82</v>
      </c>
      <c r="B1701" s="23">
        <v>-21090</v>
      </c>
      <c r="C1701" s="42">
        <v>0</v>
      </c>
      <c r="D1701" s="23">
        <f t="shared" si="581"/>
        <v>-21090</v>
      </c>
      <c r="E1701" s="20"/>
      <c r="F1701" s="23">
        <f t="shared" si="582"/>
        <v>-21090</v>
      </c>
      <c r="G1701" s="20">
        <v>-194750</v>
      </c>
      <c r="J1701" s="41" t="s">
        <v>82</v>
      </c>
      <c r="K1701" s="23">
        <v>-3206</v>
      </c>
      <c r="L1701" s="42">
        <v>59018.75</v>
      </c>
      <c r="M1701" s="23">
        <f t="shared" si="583"/>
        <v>55812.75</v>
      </c>
      <c r="N1701" s="20">
        <v>-2755</v>
      </c>
      <c r="O1701" s="23">
        <f t="shared" si="584"/>
        <v>58567.75</v>
      </c>
      <c r="P1701" s="20">
        <v>-125471.25</v>
      </c>
      <c r="Q1701">
        <v>123.85</v>
      </c>
    </row>
    <row r="1702" spans="1:17" ht="15.75" x14ac:dyDescent="0.25">
      <c r="A1702" s="41" t="s">
        <v>40</v>
      </c>
      <c r="B1702" s="23">
        <v>11962</v>
      </c>
      <c r="C1702" s="42">
        <v>0</v>
      </c>
      <c r="D1702" s="23">
        <f t="shared" si="581"/>
        <v>11962</v>
      </c>
      <c r="E1702" s="20"/>
      <c r="F1702" s="23">
        <f t="shared" si="582"/>
        <v>11962</v>
      </c>
      <c r="G1702" s="20">
        <v>-186450</v>
      </c>
      <c r="J1702" s="41" t="s">
        <v>40</v>
      </c>
      <c r="K1702" s="23">
        <v>25643</v>
      </c>
      <c r="L1702" s="42">
        <v>18150</v>
      </c>
      <c r="M1702" s="23">
        <f t="shared" si="583"/>
        <v>43793</v>
      </c>
      <c r="N1702" s="20">
        <v>-962.5</v>
      </c>
      <c r="O1702" s="23">
        <f t="shared" si="584"/>
        <v>44755.5</v>
      </c>
      <c r="P1702" s="20">
        <v>-404800</v>
      </c>
      <c r="Q1702">
        <v>22.4</v>
      </c>
    </row>
    <row r="1703" spans="1:17" ht="15.75" x14ac:dyDescent="0.25">
      <c r="A1703" s="41" t="s">
        <v>158</v>
      </c>
      <c r="B1703" s="23">
        <v>1950</v>
      </c>
      <c r="C1703" s="42">
        <v>0</v>
      </c>
      <c r="D1703" s="23">
        <f t="shared" si="581"/>
        <v>1950</v>
      </c>
      <c r="E1703" s="20"/>
      <c r="F1703" s="23">
        <f t="shared" si="582"/>
        <v>1950</v>
      </c>
      <c r="G1703" s="20">
        <v>-209500</v>
      </c>
      <c r="J1703" s="41" t="s">
        <v>158</v>
      </c>
      <c r="K1703" s="23">
        <v>-2475</v>
      </c>
      <c r="L1703" s="42">
        <v>26999.999999999996</v>
      </c>
      <c r="M1703" s="23">
        <f t="shared" si="583"/>
        <v>24524.999999999996</v>
      </c>
      <c r="N1703" s="20">
        <v>-1099.9999999999991</v>
      </c>
      <c r="O1703" s="23">
        <f t="shared" si="584"/>
        <v>25624.999999999996</v>
      </c>
      <c r="P1703" s="20">
        <v>-498000</v>
      </c>
      <c r="Q1703">
        <v>60.8</v>
      </c>
    </row>
    <row r="1704" spans="1:17" ht="15.75" x14ac:dyDescent="0.25">
      <c r="A1704" s="41" t="s">
        <v>97</v>
      </c>
      <c r="B1704" s="23">
        <v>4750</v>
      </c>
      <c r="C1704" s="42">
        <v>0</v>
      </c>
      <c r="D1704" s="23">
        <f t="shared" si="581"/>
        <v>4750</v>
      </c>
      <c r="E1704" s="20"/>
      <c r="F1704" s="23">
        <f t="shared" si="582"/>
        <v>4750</v>
      </c>
      <c r="G1704" s="20">
        <v>-288000</v>
      </c>
      <c r="J1704" s="41" t="s">
        <v>97</v>
      </c>
      <c r="K1704" s="23">
        <v>-48125</v>
      </c>
      <c r="L1704" s="42">
        <v>30000</v>
      </c>
      <c r="M1704" s="23">
        <f t="shared" si="583"/>
        <v>-18125</v>
      </c>
      <c r="N1704" s="20">
        <v>375</v>
      </c>
      <c r="O1704" s="23">
        <f t="shared" si="584"/>
        <v>-18500</v>
      </c>
      <c r="P1704" s="20">
        <v>-550500</v>
      </c>
      <c r="Q1704">
        <v>36.85</v>
      </c>
    </row>
    <row r="1705" spans="1:17" ht="15.75" x14ac:dyDescent="0.25">
      <c r="A1705" s="41" t="s">
        <v>15</v>
      </c>
      <c r="B1705" s="23">
        <v>687</v>
      </c>
      <c r="C1705" s="42">
        <v>0</v>
      </c>
      <c r="D1705" s="23">
        <f t="shared" si="581"/>
        <v>687</v>
      </c>
      <c r="E1705" s="20"/>
      <c r="F1705" s="23">
        <f t="shared" si="582"/>
        <v>687</v>
      </c>
      <c r="G1705" s="20">
        <v>-194000</v>
      </c>
      <c r="J1705" s="41" t="s">
        <v>15</v>
      </c>
      <c r="K1705" s="23">
        <v>53500</v>
      </c>
      <c r="L1705" s="42">
        <v>-47750</v>
      </c>
      <c r="M1705" s="23">
        <f t="shared" si="583"/>
        <v>5750</v>
      </c>
      <c r="N1705" s="20">
        <v>250</v>
      </c>
      <c r="O1705" s="23">
        <f t="shared" si="584"/>
        <v>5500</v>
      </c>
      <c r="P1705" s="20">
        <v>-579500</v>
      </c>
      <c r="Q1705">
        <v>21.25</v>
      </c>
    </row>
    <row r="1706" spans="1:17" ht="15.75" x14ac:dyDescent="0.25">
      <c r="A1706" s="41" t="s">
        <v>62</v>
      </c>
      <c r="B1706" s="23">
        <v>9060</v>
      </c>
      <c r="C1706" s="42">
        <v>0</v>
      </c>
      <c r="D1706" s="23">
        <f t="shared" si="581"/>
        <v>9060</v>
      </c>
      <c r="E1706" s="20"/>
      <c r="F1706" s="23">
        <f t="shared" si="582"/>
        <v>9060</v>
      </c>
      <c r="G1706" s="20">
        <v>-291240</v>
      </c>
      <c r="J1706" s="41" t="s">
        <v>62</v>
      </c>
      <c r="K1706" s="23">
        <v>1545</v>
      </c>
      <c r="L1706" s="42">
        <v>61440</v>
      </c>
      <c r="M1706" s="23">
        <f t="shared" si="583"/>
        <v>62985</v>
      </c>
      <c r="N1706" s="20">
        <v>-6720</v>
      </c>
      <c r="O1706" s="23">
        <f t="shared" si="584"/>
        <v>69705</v>
      </c>
      <c r="P1706" s="20">
        <v>-498360</v>
      </c>
      <c r="Q1706">
        <v>262</v>
      </c>
    </row>
    <row r="1707" spans="1:17" ht="15.75" x14ac:dyDescent="0.25">
      <c r="A1707" s="41" t="s">
        <v>85</v>
      </c>
      <c r="B1707" s="23">
        <v>7125</v>
      </c>
      <c r="C1707" s="42">
        <v>0</v>
      </c>
      <c r="D1707" s="23">
        <f t="shared" si="581"/>
        <v>7125</v>
      </c>
      <c r="E1707" s="20"/>
      <c r="F1707" s="23">
        <f t="shared" si="582"/>
        <v>7125</v>
      </c>
      <c r="G1707" s="20">
        <v>-237375</v>
      </c>
      <c r="J1707" s="41" t="s">
        <v>85</v>
      </c>
      <c r="K1707" s="23">
        <v>-33150</v>
      </c>
      <c r="L1707" s="42">
        <v>24375</v>
      </c>
      <c r="M1707" s="23">
        <f t="shared" si="583"/>
        <v>-8775</v>
      </c>
      <c r="N1707" s="20">
        <v>4125</v>
      </c>
      <c r="O1707" s="23">
        <f t="shared" si="584"/>
        <v>-12900</v>
      </c>
      <c r="P1707" s="20">
        <v>-492000</v>
      </c>
      <c r="Q1707">
        <v>34.65</v>
      </c>
    </row>
    <row r="1708" spans="1:17" ht="15.75" x14ac:dyDescent="0.25">
      <c r="A1708" s="41" t="s">
        <v>87</v>
      </c>
      <c r="B1708" s="23">
        <v>2025</v>
      </c>
      <c r="C1708" s="42">
        <v>0</v>
      </c>
      <c r="D1708" s="23">
        <f t="shared" si="581"/>
        <v>2025</v>
      </c>
      <c r="E1708" s="20"/>
      <c r="F1708" s="23">
        <f t="shared" si="582"/>
        <v>2025</v>
      </c>
      <c r="G1708" s="20">
        <v>-271350</v>
      </c>
      <c r="J1708" s="41" t="s">
        <v>87</v>
      </c>
      <c r="K1708" s="23">
        <v>-6412</v>
      </c>
      <c r="L1708" s="42">
        <v>20250</v>
      </c>
      <c r="M1708" s="23">
        <f t="shared" si="583"/>
        <v>13838</v>
      </c>
      <c r="N1708" s="20">
        <v>2025</v>
      </c>
      <c r="O1708" s="23">
        <f t="shared" si="584"/>
        <v>11813</v>
      </c>
      <c r="P1708" s="20">
        <v>-525150</v>
      </c>
      <c r="Q1708">
        <v>19.850000000000001</v>
      </c>
    </row>
    <row r="1709" spans="1:17" ht="15.75" x14ac:dyDescent="0.25">
      <c r="A1709" s="41" t="s">
        <v>128</v>
      </c>
      <c r="B1709" s="23">
        <v>-4420</v>
      </c>
      <c r="C1709" s="42">
        <v>0</v>
      </c>
      <c r="D1709" s="23">
        <f t="shared" si="581"/>
        <v>-4420</v>
      </c>
      <c r="E1709" s="20"/>
      <c r="F1709" s="23">
        <f t="shared" si="582"/>
        <v>-4420</v>
      </c>
      <c r="G1709" s="20">
        <v>-280800</v>
      </c>
      <c r="J1709" s="41" t="s">
        <v>128</v>
      </c>
      <c r="K1709" s="23">
        <v>3705</v>
      </c>
      <c r="L1709" s="42">
        <v>22100</v>
      </c>
      <c r="M1709" s="23">
        <f t="shared" si="583"/>
        <v>25805</v>
      </c>
      <c r="N1709" s="20">
        <v>-3250</v>
      </c>
      <c r="O1709" s="23">
        <f t="shared" si="584"/>
        <v>29055</v>
      </c>
      <c r="P1709" s="20">
        <v>-442000</v>
      </c>
      <c r="Q1709">
        <v>21.35</v>
      </c>
    </row>
    <row r="1710" spans="1:17" ht="15.75" x14ac:dyDescent="0.25">
      <c r="A1710" s="21" t="s">
        <v>107</v>
      </c>
      <c r="B1710" s="22">
        <f t="shared" ref="B1710:G1710" si="585">SUM(B1698:B1709)</f>
        <v>-28326</v>
      </c>
      <c r="C1710" s="18">
        <f t="shared" si="585"/>
        <v>0</v>
      </c>
      <c r="D1710" s="23">
        <f t="shared" si="585"/>
        <v>-28326</v>
      </c>
      <c r="E1710" s="18">
        <f t="shared" si="585"/>
        <v>0</v>
      </c>
      <c r="F1710" s="23">
        <f t="shared" si="585"/>
        <v>-28326</v>
      </c>
      <c r="G1710" s="17">
        <f t="shared" si="585"/>
        <v>-2949090</v>
      </c>
      <c r="J1710" s="1" t="s">
        <v>81</v>
      </c>
      <c r="K1710" s="23">
        <v>29820</v>
      </c>
      <c r="L1710" s="42">
        <v>0</v>
      </c>
      <c r="M1710" s="23">
        <f t="shared" si="583"/>
        <v>29820</v>
      </c>
      <c r="N1710" s="20"/>
      <c r="O1710" s="23">
        <f t="shared" si="584"/>
        <v>29820</v>
      </c>
      <c r="P1710" s="20">
        <v>-473200</v>
      </c>
      <c r="Q1710">
        <v>85.35</v>
      </c>
    </row>
    <row r="1711" spans="1:17" ht="15.75" x14ac:dyDescent="0.25">
      <c r="J1711" s="21" t="s">
        <v>107</v>
      </c>
      <c r="K1711" s="22">
        <f t="shared" ref="K1711:P1711" si="586">SUM(K1698:K1710)</f>
        <v>80317</v>
      </c>
      <c r="L1711" s="18">
        <f t="shared" si="586"/>
        <v>-36183.75</v>
      </c>
      <c r="M1711" s="23">
        <f t="shared" si="586"/>
        <v>44133.25</v>
      </c>
      <c r="N1711" s="18">
        <f t="shared" si="586"/>
        <v>24730</v>
      </c>
      <c r="O1711" s="23">
        <f t="shared" si="586"/>
        <v>19403.25</v>
      </c>
      <c r="P1711" s="17">
        <f t="shared" si="586"/>
        <v>-5628031.25</v>
      </c>
    </row>
    <row r="1714" spans="1:17" ht="15.75" x14ac:dyDescent="0.25">
      <c r="A1714" s="107">
        <v>44976</v>
      </c>
      <c r="B1714" s="108"/>
      <c r="C1714" s="108"/>
      <c r="D1714" s="108"/>
      <c r="E1714" s="108"/>
      <c r="F1714" s="108"/>
      <c r="G1714" s="109"/>
      <c r="J1714" s="107">
        <v>44977</v>
      </c>
      <c r="K1714" s="108"/>
      <c r="L1714" s="108"/>
      <c r="M1714" s="108"/>
      <c r="N1714" s="108"/>
      <c r="O1714" s="108"/>
      <c r="P1714" s="109"/>
    </row>
    <row r="1715" spans="1:17" ht="15.75" x14ac:dyDescent="0.25">
      <c r="A1715" s="22" t="s">
        <v>34</v>
      </c>
      <c r="B1715" s="22" t="s">
        <v>104</v>
      </c>
      <c r="C1715" s="22" t="s">
        <v>105</v>
      </c>
      <c r="D1715" s="22" t="s">
        <v>112</v>
      </c>
      <c r="E1715" s="22" t="s">
        <v>106</v>
      </c>
      <c r="F1715" s="21" t="s">
        <v>108</v>
      </c>
      <c r="G1715" s="21" t="s">
        <v>28</v>
      </c>
      <c r="J1715" s="22" t="s">
        <v>34</v>
      </c>
      <c r="K1715" s="22" t="s">
        <v>104</v>
      </c>
      <c r="L1715" s="22" t="s">
        <v>105</v>
      </c>
      <c r="M1715" s="22" t="s">
        <v>112</v>
      </c>
      <c r="N1715" s="22" t="s">
        <v>106</v>
      </c>
      <c r="O1715" s="21" t="s">
        <v>108</v>
      </c>
      <c r="P1715" s="21" t="s">
        <v>28</v>
      </c>
    </row>
    <row r="1716" spans="1:17" ht="15.75" x14ac:dyDescent="0.25">
      <c r="A1716" s="41" t="s">
        <v>139</v>
      </c>
      <c r="B1716" s="23">
        <v>-16537</v>
      </c>
      <c r="C1716" s="42">
        <v>119437.5</v>
      </c>
      <c r="D1716" s="23">
        <f t="shared" ref="D1716:D1729" si="587">+C1716+B1716</f>
        <v>102900.5</v>
      </c>
      <c r="E1716" s="20">
        <v>16537.5</v>
      </c>
      <c r="F1716" s="23">
        <f t="shared" ref="F1716:F1729" si="588">+B1716+C1716-E1716</f>
        <v>86363</v>
      </c>
      <c r="G1716" s="23">
        <v>-531825</v>
      </c>
      <c r="H1716">
        <v>15.65</v>
      </c>
      <c r="J1716" s="41" t="s">
        <v>139</v>
      </c>
      <c r="K1716" s="23">
        <v>4725</v>
      </c>
      <c r="L1716" s="42">
        <v>49087.5</v>
      </c>
      <c r="M1716" s="23">
        <f t="shared" ref="M1716:M1729" si="589">+L1716+K1716</f>
        <v>53812.5</v>
      </c>
      <c r="N1716" s="20">
        <v>21000</v>
      </c>
      <c r="O1716" s="23">
        <f t="shared" ref="O1716:O1729" si="590">+K1716+L1716-N1716</f>
        <v>32812.5</v>
      </c>
      <c r="P1716" s="23">
        <v>-650212.5</v>
      </c>
      <c r="Q1716">
        <v>15</v>
      </c>
    </row>
    <row r="1717" spans="1:17" ht="15.75" x14ac:dyDescent="0.25">
      <c r="A1717" s="41" t="s">
        <v>157</v>
      </c>
      <c r="B1717" s="23">
        <v>0</v>
      </c>
      <c r="C1717" s="42">
        <v>0</v>
      </c>
      <c r="D1717" s="23">
        <f t="shared" si="587"/>
        <v>0</v>
      </c>
      <c r="E1717" s="20">
        <v>0</v>
      </c>
      <c r="F1717" s="23">
        <f t="shared" si="588"/>
        <v>0</v>
      </c>
      <c r="G1717" s="23">
        <v>0</v>
      </c>
      <c r="H1717">
        <v>44.7</v>
      </c>
      <c r="J1717" s="41" t="s">
        <v>157</v>
      </c>
      <c r="K1717" s="23"/>
      <c r="L1717" s="42">
        <v>0</v>
      </c>
      <c r="M1717" s="23">
        <f t="shared" si="589"/>
        <v>0</v>
      </c>
      <c r="N1717" s="20">
        <v>0</v>
      </c>
      <c r="O1717" s="23">
        <f t="shared" si="590"/>
        <v>0</v>
      </c>
      <c r="P1717" s="23">
        <v>0</v>
      </c>
      <c r="Q1717">
        <v>43.5</v>
      </c>
    </row>
    <row r="1718" spans="1:17" ht="15.75" x14ac:dyDescent="0.25">
      <c r="A1718" s="41" t="s">
        <v>134</v>
      </c>
      <c r="B1718" s="23">
        <v>-18250</v>
      </c>
      <c r="C1718" s="42">
        <v>93000</v>
      </c>
      <c r="D1718" s="23">
        <f t="shared" si="587"/>
        <v>74750</v>
      </c>
      <c r="E1718" s="20">
        <v>11000</v>
      </c>
      <c r="F1718" s="23">
        <f t="shared" si="588"/>
        <v>63750</v>
      </c>
      <c r="G1718" s="23">
        <v>-535000</v>
      </c>
      <c r="H1718">
        <v>7.75</v>
      </c>
      <c r="J1718" s="41" t="s">
        <v>134</v>
      </c>
      <c r="K1718" s="23">
        <v>2250</v>
      </c>
      <c r="L1718" s="42">
        <v>-303000</v>
      </c>
      <c r="M1718" s="23">
        <f t="shared" si="589"/>
        <v>-300750</v>
      </c>
      <c r="N1718" s="20">
        <v>-3000</v>
      </c>
      <c r="O1718" s="23">
        <f t="shared" si="590"/>
        <v>-297750</v>
      </c>
      <c r="P1718" s="23">
        <v>-544000</v>
      </c>
      <c r="Q1718">
        <v>6.7</v>
      </c>
    </row>
    <row r="1719" spans="1:17" ht="15.75" x14ac:dyDescent="0.25">
      <c r="A1719" s="41" t="s">
        <v>82</v>
      </c>
      <c r="B1719" s="23">
        <v>3135</v>
      </c>
      <c r="C1719" s="42">
        <v>31112.500000000004</v>
      </c>
      <c r="D1719" s="23">
        <f t="shared" si="587"/>
        <v>34247.5</v>
      </c>
      <c r="E1719" s="20">
        <v>22277.5</v>
      </c>
      <c r="F1719" s="23">
        <f t="shared" si="588"/>
        <v>11970</v>
      </c>
      <c r="G1719" s="20">
        <v>-138557.5</v>
      </c>
      <c r="H1719">
        <v>112.75</v>
      </c>
      <c r="J1719" s="41" t="s">
        <v>82</v>
      </c>
      <c r="K1719" s="23">
        <v>-16292</v>
      </c>
      <c r="L1719" s="42">
        <v>14511.250000000004</v>
      </c>
      <c r="M1719" s="23">
        <f t="shared" si="589"/>
        <v>-1780.7499999999964</v>
      </c>
      <c r="N1719" s="20">
        <v>6578.75</v>
      </c>
      <c r="O1719" s="23">
        <f t="shared" si="590"/>
        <v>-8359.4999999999964</v>
      </c>
      <c r="P1719" s="20">
        <v>-177650</v>
      </c>
      <c r="Q1719">
        <v>110.5</v>
      </c>
    </row>
    <row r="1720" spans="1:17" ht="15.75" x14ac:dyDescent="0.25">
      <c r="A1720" s="41" t="s">
        <v>40</v>
      </c>
      <c r="B1720" s="23">
        <v>2337</v>
      </c>
      <c r="C1720" s="42">
        <v>114400</v>
      </c>
      <c r="D1720" s="23">
        <f t="shared" si="587"/>
        <v>116737</v>
      </c>
      <c r="E1720" s="20">
        <v>12650</v>
      </c>
      <c r="F1720" s="23">
        <f t="shared" si="588"/>
        <v>104087</v>
      </c>
      <c r="G1720" s="20">
        <v>-460350</v>
      </c>
      <c r="H1720">
        <v>20.700000000000003</v>
      </c>
      <c r="J1720" s="41" t="s">
        <v>40</v>
      </c>
      <c r="K1720" s="23">
        <v>-39325</v>
      </c>
      <c r="L1720" s="42">
        <v>8525</v>
      </c>
      <c r="M1720" s="23">
        <f t="shared" si="589"/>
        <v>-30800</v>
      </c>
      <c r="N1720" s="20">
        <v>15950</v>
      </c>
      <c r="O1720" s="23">
        <f t="shared" si="590"/>
        <v>-46750</v>
      </c>
      <c r="P1720" s="20">
        <v>-475750</v>
      </c>
      <c r="Q1720">
        <v>19.899999999999999</v>
      </c>
    </row>
    <row r="1721" spans="1:17" ht="15.75" x14ac:dyDescent="0.25">
      <c r="A1721" s="41" t="s">
        <v>158</v>
      </c>
      <c r="B1721" s="23">
        <v>-8325</v>
      </c>
      <c r="C1721" s="42">
        <v>64600</v>
      </c>
      <c r="D1721" s="23">
        <f t="shared" si="587"/>
        <v>56275</v>
      </c>
      <c r="E1721" s="20">
        <v>10500.000000000002</v>
      </c>
      <c r="F1721" s="23">
        <f t="shared" si="588"/>
        <v>45775</v>
      </c>
      <c r="G1721" s="20">
        <v>-487500</v>
      </c>
      <c r="H1721">
        <v>58.25</v>
      </c>
      <c r="J1721" s="41" t="s">
        <v>158</v>
      </c>
      <c r="K1721" s="23">
        <v>-15125</v>
      </c>
      <c r="L1721" s="42">
        <v>104975</v>
      </c>
      <c r="M1721" s="23">
        <f t="shared" si="589"/>
        <v>89850</v>
      </c>
      <c r="N1721" s="20">
        <v>15050</v>
      </c>
      <c r="O1721" s="23">
        <f t="shared" si="590"/>
        <v>74800</v>
      </c>
      <c r="P1721" s="20">
        <v>-472500</v>
      </c>
      <c r="Q1721">
        <v>53.9</v>
      </c>
    </row>
    <row r="1722" spans="1:17" ht="15.75" x14ac:dyDescent="0.25">
      <c r="A1722" s="41" t="s">
        <v>97</v>
      </c>
      <c r="B1722" s="23">
        <v>-7312</v>
      </c>
      <c r="C1722" s="42">
        <v>88500</v>
      </c>
      <c r="D1722" s="23">
        <f t="shared" si="587"/>
        <v>81188</v>
      </c>
      <c r="E1722" s="20">
        <v>-26250</v>
      </c>
      <c r="F1722" s="23">
        <f t="shared" si="588"/>
        <v>107438</v>
      </c>
      <c r="G1722" s="20">
        <v>-522000</v>
      </c>
      <c r="H1722">
        <v>33.6</v>
      </c>
      <c r="J1722" s="41" t="s">
        <v>97</v>
      </c>
      <c r="K1722" s="23">
        <f>-4250-19687</f>
        <v>-23937</v>
      </c>
      <c r="L1722" s="42">
        <v>30375</v>
      </c>
      <c r="M1722" s="23">
        <f t="shared" si="589"/>
        <v>6438</v>
      </c>
      <c r="N1722" s="20">
        <v>11750</v>
      </c>
      <c r="O1722" s="23">
        <f t="shared" si="590"/>
        <v>-5312</v>
      </c>
      <c r="P1722" s="20">
        <v>-560000</v>
      </c>
      <c r="Q1722">
        <v>32.049999999999997</v>
      </c>
    </row>
    <row r="1723" spans="1:17" ht="15.75" x14ac:dyDescent="0.25">
      <c r="A1723" s="41" t="s">
        <v>15</v>
      </c>
      <c r="B1723" s="23">
        <v>-1437</v>
      </c>
      <c r="C1723" s="42">
        <v>177000</v>
      </c>
      <c r="D1723" s="23">
        <f t="shared" si="587"/>
        <v>175563</v>
      </c>
      <c r="E1723" s="20">
        <v>12250</v>
      </c>
      <c r="F1723" s="23">
        <f t="shared" si="588"/>
        <v>163313</v>
      </c>
      <c r="G1723" s="20">
        <v>-520000</v>
      </c>
      <c r="H1723">
        <v>19.350000000000001</v>
      </c>
      <c r="J1723" s="41" t="s">
        <v>15</v>
      </c>
      <c r="K1723" s="23">
        <v>-181750</v>
      </c>
      <c r="L1723" s="42">
        <v>48000</v>
      </c>
      <c r="M1723" s="23">
        <f t="shared" si="589"/>
        <v>-133750</v>
      </c>
      <c r="N1723" s="20">
        <v>27812.5</v>
      </c>
      <c r="O1723" s="23">
        <f t="shared" si="590"/>
        <v>-161562.5</v>
      </c>
      <c r="P1723" s="20">
        <v>-530000</v>
      </c>
      <c r="Q1723">
        <v>18</v>
      </c>
    </row>
    <row r="1724" spans="1:17" ht="15.75" x14ac:dyDescent="0.25">
      <c r="A1724" s="41" t="s">
        <v>62</v>
      </c>
      <c r="B1724" s="23">
        <v>-55950</v>
      </c>
      <c r="C1724" s="42">
        <v>107220</v>
      </c>
      <c r="D1724" s="23">
        <f t="shared" si="587"/>
        <v>51270</v>
      </c>
      <c r="E1724" s="20">
        <v>10095</v>
      </c>
      <c r="F1724" s="23">
        <f t="shared" si="588"/>
        <v>41175</v>
      </c>
      <c r="G1724" s="20">
        <v>-480300</v>
      </c>
      <c r="H1724">
        <v>236.5</v>
      </c>
      <c r="J1724" s="41" t="s">
        <v>62</v>
      </c>
      <c r="K1724" s="23">
        <v>-32430</v>
      </c>
      <c r="L1724" s="42">
        <v>23040</v>
      </c>
      <c r="M1724" s="23">
        <f t="shared" si="589"/>
        <v>-9390</v>
      </c>
      <c r="N1724" s="20">
        <v>-11040</v>
      </c>
      <c r="O1724" s="23">
        <f t="shared" si="590"/>
        <v>1650</v>
      </c>
      <c r="P1724" s="20">
        <v>-424890</v>
      </c>
      <c r="Q1724">
        <v>238.05</v>
      </c>
    </row>
    <row r="1725" spans="1:17" ht="15.75" x14ac:dyDescent="0.25">
      <c r="A1725" s="41" t="s">
        <v>85</v>
      </c>
      <c r="B1725" s="23">
        <v>-11175</v>
      </c>
      <c r="C1725" s="42">
        <v>121500</v>
      </c>
      <c r="D1725" s="23">
        <f t="shared" si="587"/>
        <v>110325</v>
      </c>
      <c r="E1725" s="20">
        <v>9750</v>
      </c>
      <c r="F1725" s="23">
        <f t="shared" si="588"/>
        <v>100575</v>
      </c>
      <c r="G1725" s="20">
        <v>-525900</v>
      </c>
      <c r="H1725">
        <v>31.6</v>
      </c>
      <c r="J1725" s="41" t="s">
        <v>85</v>
      </c>
      <c r="K1725" s="23">
        <v>-9750</v>
      </c>
      <c r="L1725" s="42">
        <v>150150</v>
      </c>
      <c r="M1725" s="23">
        <f t="shared" si="589"/>
        <v>140400</v>
      </c>
      <c r="N1725" s="20">
        <v>1050</v>
      </c>
      <c r="O1725" s="23">
        <f t="shared" si="590"/>
        <v>139350</v>
      </c>
      <c r="P1725" s="20">
        <v>-565650</v>
      </c>
      <c r="Q1725">
        <v>28.4</v>
      </c>
    </row>
    <row r="1726" spans="1:17" ht="15.75" x14ac:dyDescent="0.25">
      <c r="A1726" s="41" t="s">
        <v>87</v>
      </c>
      <c r="B1726" s="23">
        <v>-32062</v>
      </c>
      <c r="C1726" s="42">
        <v>113399.99999999999</v>
      </c>
      <c r="D1726" s="23">
        <f t="shared" si="587"/>
        <v>81337.999999999985</v>
      </c>
      <c r="E1726" s="20">
        <v>8100</v>
      </c>
      <c r="F1726" s="23">
        <f t="shared" si="588"/>
        <v>73237.999999999985</v>
      </c>
      <c r="G1726" s="20">
        <v>-533250</v>
      </c>
      <c r="H1726">
        <v>18.75</v>
      </c>
      <c r="J1726" s="41" t="s">
        <v>87</v>
      </c>
      <c r="K1726" s="23">
        <v>-7762</v>
      </c>
      <c r="L1726" s="42">
        <v>39825</v>
      </c>
      <c r="M1726" s="23">
        <f t="shared" si="589"/>
        <v>32063</v>
      </c>
      <c r="N1726" s="20">
        <v>8437.5</v>
      </c>
      <c r="O1726" s="23">
        <f t="shared" si="590"/>
        <v>23625.5</v>
      </c>
      <c r="P1726" s="20">
        <v>-509625</v>
      </c>
      <c r="Q1726">
        <v>17.350000000000001</v>
      </c>
    </row>
    <row r="1727" spans="1:17" ht="15.75" x14ac:dyDescent="0.25">
      <c r="A1727" s="41" t="s">
        <v>128</v>
      </c>
      <c r="B1727" s="23">
        <v>-3250</v>
      </c>
      <c r="C1727" s="42">
        <v>83395</v>
      </c>
      <c r="D1727" s="23">
        <f t="shared" si="587"/>
        <v>80145</v>
      </c>
      <c r="E1727" s="20">
        <v>26065</v>
      </c>
      <c r="F1727" s="23">
        <f t="shared" si="588"/>
        <v>54080</v>
      </c>
      <c r="G1727" s="20">
        <v>-529100</v>
      </c>
      <c r="H1727">
        <v>19.25</v>
      </c>
      <c r="J1727" s="41" t="s">
        <v>128</v>
      </c>
      <c r="K1727" s="23">
        <v>-42445</v>
      </c>
      <c r="L1727" s="42">
        <v>3640</v>
      </c>
      <c r="M1727" s="23">
        <f t="shared" si="589"/>
        <v>-38805</v>
      </c>
      <c r="N1727" s="20">
        <v>2470</v>
      </c>
      <c r="O1727" s="23">
        <f t="shared" si="590"/>
        <v>-41275</v>
      </c>
      <c r="P1727" s="20">
        <v>-540800</v>
      </c>
      <c r="Q1727">
        <v>18.350000000000001</v>
      </c>
    </row>
    <row r="1728" spans="1:17" ht="15.75" x14ac:dyDescent="0.25">
      <c r="A1728" s="52" t="s">
        <v>81</v>
      </c>
      <c r="B1728" s="23">
        <v>-3587</v>
      </c>
      <c r="C1728" s="42">
        <v>147665</v>
      </c>
      <c r="D1728" s="23">
        <f t="shared" ref="D1728" si="591">+C1728+B1728</f>
        <v>144078</v>
      </c>
      <c r="E1728" s="20">
        <v>33425</v>
      </c>
      <c r="F1728" s="23">
        <f t="shared" ref="F1728" si="592">+B1728+C1728-E1728</f>
        <v>110653</v>
      </c>
      <c r="G1728" s="20">
        <v>-502600</v>
      </c>
      <c r="H1728">
        <v>81.05</v>
      </c>
      <c r="J1728" s="52" t="s">
        <v>81</v>
      </c>
      <c r="K1728" s="23">
        <v>-27807</v>
      </c>
      <c r="L1728" s="42">
        <v>128362.5</v>
      </c>
      <c r="M1728" s="23">
        <f t="shared" si="589"/>
        <v>100555.5</v>
      </c>
      <c r="N1728" s="20">
        <v>-2992.4999999999995</v>
      </c>
      <c r="O1728" s="23">
        <f t="shared" si="590"/>
        <v>103548</v>
      </c>
      <c r="P1728" s="20">
        <v>-492065</v>
      </c>
      <c r="Q1728">
        <v>72.849999999999994</v>
      </c>
    </row>
    <row r="1729" spans="1:17" ht="15.75" x14ac:dyDescent="0.25">
      <c r="A1729" s="1" t="s">
        <v>142</v>
      </c>
      <c r="B1729" s="23">
        <v>13640</v>
      </c>
      <c r="C1729" s="42">
        <v>0</v>
      </c>
      <c r="D1729" s="23">
        <f t="shared" si="587"/>
        <v>13640</v>
      </c>
      <c r="E1729" s="20">
        <v>0</v>
      </c>
      <c r="F1729" s="23">
        <f t="shared" si="588"/>
        <v>13640</v>
      </c>
      <c r="G1729" s="20">
        <v>-381150</v>
      </c>
      <c r="H1729">
        <v>40.700000000000003</v>
      </c>
      <c r="J1729" s="1" t="s">
        <v>142</v>
      </c>
      <c r="K1729" s="23">
        <v>-880</v>
      </c>
      <c r="L1729" s="42">
        <v>45650.000000000015</v>
      </c>
      <c r="M1729" s="23">
        <f t="shared" si="589"/>
        <v>44770.000000000015</v>
      </c>
      <c r="N1729" s="20">
        <v>21450</v>
      </c>
      <c r="O1729" s="23">
        <f t="shared" si="590"/>
        <v>23320.000000000015</v>
      </c>
      <c r="P1729" s="20">
        <v>-496650</v>
      </c>
      <c r="Q1729">
        <v>38.5</v>
      </c>
    </row>
    <row r="1730" spans="1:17" ht="15.75" x14ac:dyDescent="0.25">
      <c r="A1730" s="21" t="s">
        <v>107</v>
      </c>
      <c r="B1730" s="22">
        <f t="shared" ref="B1730:G1730" si="593">SUM(B1716:B1729)</f>
        <v>-138773</v>
      </c>
      <c r="C1730" s="18">
        <f t="shared" si="593"/>
        <v>1261230</v>
      </c>
      <c r="D1730" s="23">
        <f t="shared" si="593"/>
        <v>1122457</v>
      </c>
      <c r="E1730" s="18">
        <f t="shared" si="593"/>
        <v>146400</v>
      </c>
      <c r="F1730" s="23">
        <f t="shared" si="593"/>
        <v>976057</v>
      </c>
      <c r="G1730" s="17">
        <f t="shared" si="593"/>
        <v>-6147532.5</v>
      </c>
      <c r="J1730" s="21" t="s">
        <v>107</v>
      </c>
      <c r="K1730" s="22">
        <f t="shared" ref="K1730:P1730" si="594">SUM(K1716:K1729)</f>
        <v>-390528</v>
      </c>
      <c r="L1730" s="18">
        <f t="shared" si="594"/>
        <v>343141.25</v>
      </c>
      <c r="M1730" s="23">
        <f t="shared" si="594"/>
        <v>-47386.749999999985</v>
      </c>
      <c r="N1730" s="18">
        <f t="shared" si="594"/>
        <v>114516.25</v>
      </c>
      <c r="O1730" s="23">
        <f t="shared" si="594"/>
        <v>-161903</v>
      </c>
      <c r="P1730" s="17">
        <f t="shared" si="594"/>
        <v>-6439792.5</v>
      </c>
    </row>
    <row r="1733" spans="1:17" ht="15.75" x14ac:dyDescent="0.25">
      <c r="A1733" s="107">
        <v>44978</v>
      </c>
      <c r="B1733" s="108"/>
      <c r="C1733" s="108"/>
      <c r="D1733" s="108"/>
      <c r="E1733" s="108"/>
      <c r="F1733" s="108"/>
      <c r="G1733" s="109"/>
      <c r="J1733" s="107">
        <v>44979</v>
      </c>
      <c r="K1733" s="108"/>
      <c r="L1733" s="108"/>
      <c r="M1733" s="108"/>
      <c r="N1733" s="108"/>
      <c r="O1733" s="108"/>
      <c r="P1733" s="109"/>
    </row>
    <row r="1734" spans="1:17" ht="15.75" x14ac:dyDescent="0.25">
      <c r="A1734" s="22" t="s">
        <v>34</v>
      </c>
      <c r="B1734" s="22" t="s">
        <v>104</v>
      </c>
      <c r="C1734" s="22" t="s">
        <v>105</v>
      </c>
      <c r="D1734" s="22" t="s">
        <v>112</v>
      </c>
      <c r="E1734" s="22" t="s">
        <v>106</v>
      </c>
      <c r="F1734" s="21" t="s">
        <v>108</v>
      </c>
      <c r="G1734" s="21" t="s">
        <v>28</v>
      </c>
      <c r="J1734" s="22" t="s">
        <v>34</v>
      </c>
      <c r="K1734" s="22" t="s">
        <v>104</v>
      </c>
      <c r="L1734" s="22" t="s">
        <v>105</v>
      </c>
      <c r="M1734" s="22" t="s">
        <v>112</v>
      </c>
      <c r="N1734" s="22" t="s">
        <v>106</v>
      </c>
      <c r="O1734" s="21" t="s">
        <v>108</v>
      </c>
      <c r="P1734" s="21" t="s">
        <v>28</v>
      </c>
    </row>
    <row r="1735" spans="1:17" ht="15.75" x14ac:dyDescent="0.25">
      <c r="A1735" s="41" t="s">
        <v>139</v>
      </c>
      <c r="B1735" s="23">
        <v>64575</v>
      </c>
      <c r="C1735" s="42">
        <v>-76912.499999999942</v>
      </c>
      <c r="D1735" s="23">
        <f t="shared" ref="D1735:D1748" si="595">+C1735+B1735</f>
        <v>-12337.499999999942</v>
      </c>
      <c r="E1735" s="20">
        <v>-11025</v>
      </c>
      <c r="F1735" s="23">
        <f t="shared" ref="F1735:F1748" si="596">+B1735+C1735-E1735</f>
        <v>-1312.4999999999418</v>
      </c>
      <c r="G1735" s="23">
        <v>-429450</v>
      </c>
      <c r="J1735" s="41" t="s">
        <v>139</v>
      </c>
      <c r="K1735" s="23">
        <v>-14175</v>
      </c>
      <c r="L1735" s="42">
        <v>256462.5</v>
      </c>
      <c r="M1735" s="23">
        <f t="shared" ref="M1735:M1748" si="597">+L1735+K1735</f>
        <v>242287.5</v>
      </c>
      <c r="N1735" s="20">
        <v>17325</v>
      </c>
      <c r="O1735" s="23">
        <f t="shared" ref="O1735:O1748" si="598">+K1735+L1735-N1735</f>
        <v>224962.5</v>
      </c>
      <c r="P1735" s="23">
        <v>-597450</v>
      </c>
      <c r="Q1735">
        <v>11.2</v>
      </c>
    </row>
    <row r="1736" spans="1:17" ht="15.75" x14ac:dyDescent="0.25">
      <c r="A1736" s="41" t="s">
        <v>157</v>
      </c>
      <c r="B1736" s="23"/>
      <c r="C1736" s="42">
        <v>0</v>
      </c>
      <c r="D1736" s="23">
        <f t="shared" si="595"/>
        <v>0</v>
      </c>
      <c r="E1736" s="20">
        <v>0</v>
      </c>
      <c r="F1736" s="23">
        <f t="shared" si="596"/>
        <v>0</v>
      </c>
      <c r="G1736" s="23">
        <v>0</v>
      </c>
      <c r="J1736" s="41" t="s">
        <v>157</v>
      </c>
      <c r="K1736" s="23">
        <v>0</v>
      </c>
      <c r="L1736" s="42">
        <v>0</v>
      </c>
      <c r="M1736" s="23">
        <f t="shared" si="597"/>
        <v>0</v>
      </c>
      <c r="N1736" s="20">
        <v>0</v>
      </c>
      <c r="O1736" s="23">
        <f t="shared" si="598"/>
        <v>0</v>
      </c>
      <c r="P1736" s="23">
        <v>0</v>
      </c>
      <c r="Q1736">
        <v>27.05</v>
      </c>
    </row>
    <row r="1737" spans="1:17" ht="15.75" x14ac:dyDescent="0.25">
      <c r="A1737" s="41" t="s">
        <v>134</v>
      </c>
      <c r="B1737" s="23">
        <v>-500</v>
      </c>
      <c r="C1737" s="42">
        <v>88500</v>
      </c>
      <c r="D1737" s="23">
        <f t="shared" si="595"/>
        <v>88000</v>
      </c>
      <c r="E1737" s="20">
        <v>20500</v>
      </c>
      <c r="F1737" s="23">
        <f t="shared" si="596"/>
        <v>67500</v>
      </c>
      <c r="G1737" s="23">
        <v>-357000</v>
      </c>
      <c r="J1737" s="41" t="s">
        <v>134</v>
      </c>
      <c r="K1737" s="23">
        <v>1000</v>
      </c>
      <c r="L1737" s="42">
        <v>97500</v>
      </c>
      <c r="M1737" s="23">
        <f t="shared" si="597"/>
        <v>98500</v>
      </c>
      <c r="N1737" s="20">
        <v>-5500</v>
      </c>
      <c r="O1737" s="23">
        <f t="shared" si="598"/>
        <v>104000</v>
      </c>
      <c r="P1737" s="23">
        <v>-429000</v>
      </c>
      <c r="Q1737">
        <v>5.25</v>
      </c>
    </row>
    <row r="1738" spans="1:17" ht="15.75" x14ac:dyDescent="0.25">
      <c r="A1738" s="41" t="s">
        <v>82</v>
      </c>
      <c r="B1738" s="23">
        <v>-23085</v>
      </c>
      <c r="C1738" s="42">
        <v>40303.749999999993</v>
      </c>
      <c r="D1738" s="23">
        <f t="shared" si="595"/>
        <v>17218.749999999993</v>
      </c>
      <c r="E1738" s="20">
        <v>9025</v>
      </c>
      <c r="F1738" s="23">
        <f t="shared" si="596"/>
        <v>8193.7499999999927</v>
      </c>
      <c r="G1738" s="20">
        <v>-208810</v>
      </c>
      <c r="J1738" s="41" t="s">
        <v>82</v>
      </c>
      <c r="K1738" s="23">
        <v>1662</v>
      </c>
      <c r="L1738" s="42">
        <v>55100</v>
      </c>
      <c r="M1738" s="23">
        <f t="shared" si="597"/>
        <v>56762</v>
      </c>
      <c r="N1738" s="20">
        <v>1995</v>
      </c>
      <c r="O1738" s="23">
        <f t="shared" si="598"/>
        <v>54767</v>
      </c>
      <c r="P1738" s="20">
        <v>-211612.5</v>
      </c>
      <c r="Q1738">
        <v>91.95</v>
      </c>
    </row>
    <row r="1739" spans="1:17" ht="15.75" x14ac:dyDescent="0.25">
      <c r="A1739" s="41" t="s">
        <v>40</v>
      </c>
      <c r="B1739" s="23">
        <v>-41250</v>
      </c>
      <c r="C1739" s="42">
        <v>15400</v>
      </c>
      <c r="D1739" s="23">
        <f t="shared" si="595"/>
        <v>-25850</v>
      </c>
      <c r="E1739" s="20">
        <v>-8662.5</v>
      </c>
      <c r="F1739" s="23">
        <f t="shared" si="596"/>
        <v>-17187.5</v>
      </c>
      <c r="G1739" s="20">
        <v>-453200</v>
      </c>
      <c r="J1739" s="41" t="s">
        <v>40</v>
      </c>
      <c r="K1739" s="23">
        <v>-38018</v>
      </c>
      <c r="L1739" s="42">
        <v>225775</v>
      </c>
      <c r="M1739" s="23">
        <f t="shared" si="597"/>
        <v>187757</v>
      </c>
      <c r="N1739" s="20">
        <v>-29149.999999999993</v>
      </c>
      <c r="O1739" s="23">
        <f t="shared" si="598"/>
        <v>216907</v>
      </c>
      <c r="P1739" s="20">
        <v>-577500</v>
      </c>
      <c r="Q1739">
        <v>15.899999999999999</v>
      </c>
    </row>
    <row r="1740" spans="1:17" ht="15.75" x14ac:dyDescent="0.25">
      <c r="A1740" s="41" t="s">
        <v>158</v>
      </c>
      <c r="B1740" s="23">
        <v>-51300</v>
      </c>
      <c r="C1740" s="42">
        <v>61750</v>
      </c>
      <c r="D1740" s="23">
        <f t="shared" si="595"/>
        <v>10450</v>
      </c>
      <c r="E1740" s="20">
        <v>9000</v>
      </c>
      <c r="F1740" s="23">
        <f t="shared" si="596"/>
        <v>1450</v>
      </c>
      <c r="G1740" s="20">
        <v>-490750</v>
      </c>
      <c r="J1740" s="41" t="s">
        <v>158</v>
      </c>
      <c r="K1740" s="23">
        <v>-34925</v>
      </c>
      <c r="L1740" s="42">
        <v>-46250</v>
      </c>
      <c r="M1740" s="23">
        <f t="shared" si="597"/>
        <v>-81175</v>
      </c>
      <c r="N1740" s="20">
        <v>2750</v>
      </c>
      <c r="O1740" s="23">
        <f t="shared" si="598"/>
        <v>-83925</v>
      </c>
      <c r="P1740" s="20">
        <v>-493500</v>
      </c>
      <c r="Q1740">
        <v>50.2</v>
      </c>
    </row>
    <row r="1741" spans="1:17" ht="15.75" x14ac:dyDescent="0.25">
      <c r="A1741" s="41" t="s">
        <v>97</v>
      </c>
      <c r="B1741" s="23">
        <f>15000-232187</f>
        <v>-217187</v>
      </c>
      <c r="C1741" s="42">
        <v>52500</v>
      </c>
      <c r="D1741" s="23">
        <f t="shared" si="595"/>
        <v>-164687</v>
      </c>
      <c r="E1741" s="20">
        <v>500</v>
      </c>
      <c r="F1741" s="23">
        <f t="shared" si="596"/>
        <v>-165187</v>
      </c>
      <c r="G1741" s="20">
        <v>-615500</v>
      </c>
      <c r="J1741" s="41" t="s">
        <v>97</v>
      </c>
      <c r="K1741" s="23">
        <v>5687</v>
      </c>
      <c r="L1741" s="42">
        <v>78500</v>
      </c>
      <c r="M1741" s="23">
        <f t="shared" si="597"/>
        <v>84187</v>
      </c>
      <c r="N1741" s="20">
        <v>-45250</v>
      </c>
      <c r="O1741" s="23">
        <f t="shared" si="598"/>
        <v>129437</v>
      </c>
      <c r="P1741" s="20">
        <v>-513500</v>
      </c>
      <c r="Q1741">
        <v>28.650000000000002</v>
      </c>
    </row>
    <row r="1742" spans="1:17" ht="15.75" x14ac:dyDescent="0.25">
      <c r="A1742" s="41" t="s">
        <v>15</v>
      </c>
      <c r="B1742" s="23">
        <v>55187</v>
      </c>
      <c r="C1742" s="42">
        <v>-191125</v>
      </c>
      <c r="D1742" s="23">
        <f t="shared" si="595"/>
        <v>-135938</v>
      </c>
      <c r="E1742" s="20">
        <v>-24625</v>
      </c>
      <c r="F1742" s="23">
        <f t="shared" si="596"/>
        <v>-111313</v>
      </c>
      <c r="G1742" s="20">
        <v>-545000</v>
      </c>
      <c r="J1742" s="41" t="s">
        <v>15</v>
      </c>
      <c r="K1742" s="23">
        <v>-30812</v>
      </c>
      <c r="L1742" s="42">
        <v>76187.5</v>
      </c>
      <c r="M1742" s="23">
        <f t="shared" si="597"/>
        <v>45375.5</v>
      </c>
      <c r="N1742" s="20">
        <v>-15125</v>
      </c>
      <c r="O1742" s="23">
        <f t="shared" si="598"/>
        <v>60500.5</v>
      </c>
      <c r="P1742" s="20">
        <v>-404000</v>
      </c>
      <c r="Q1742">
        <v>16.149999999999999</v>
      </c>
    </row>
    <row r="1743" spans="1:17" ht="15.75" x14ac:dyDescent="0.25">
      <c r="A1743" s="41" t="s">
        <v>62</v>
      </c>
      <c r="B1743" s="23">
        <v>32947</v>
      </c>
      <c r="C1743" s="42">
        <v>-79110</v>
      </c>
      <c r="D1743" s="23">
        <f t="shared" si="595"/>
        <v>-46163</v>
      </c>
      <c r="E1743" s="20">
        <v>-27720</v>
      </c>
      <c r="F1743" s="23">
        <f t="shared" si="596"/>
        <v>-18443</v>
      </c>
      <c r="G1743" s="20">
        <v>-359280</v>
      </c>
      <c r="J1743" s="41" t="s">
        <v>62</v>
      </c>
      <c r="K1743" s="23">
        <v>26992</v>
      </c>
      <c r="L1743" s="42">
        <v>-16545</v>
      </c>
      <c r="M1743" s="23">
        <f t="shared" si="597"/>
        <v>10447</v>
      </c>
      <c r="N1743" s="20">
        <v>-12360</v>
      </c>
      <c r="O1743" s="23">
        <f t="shared" si="598"/>
        <v>22807</v>
      </c>
      <c r="P1743" s="20">
        <v>-547350</v>
      </c>
      <c r="Q1743">
        <v>220</v>
      </c>
    </row>
    <row r="1744" spans="1:17" ht="15.75" x14ac:dyDescent="0.25">
      <c r="A1744" s="41" t="s">
        <v>85</v>
      </c>
      <c r="B1744" s="23">
        <v>-36375</v>
      </c>
      <c r="C1744" s="42">
        <v>93900</v>
      </c>
      <c r="D1744" s="23">
        <f t="shared" si="595"/>
        <v>57525</v>
      </c>
      <c r="E1744" s="20">
        <v>9600</v>
      </c>
      <c r="F1744" s="23">
        <f t="shared" si="596"/>
        <v>47925</v>
      </c>
      <c r="G1744" s="20">
        <v>-615000</v>
      </c>
      <c r="J1744" s="41" t="s">
        <v>85</v>
      </c>
      <c r="K1744" s="23">
        <v>-10125</v>
      </c>
      <c r="L1744" s="42">
        <v>115950</v>
      </c>
      <c r="M1744" s="23">
        <f t="shared" si="597"/>
        <v>105825</v>
      </c>
      <c r="N1744" s="20">
        <v>12000</v>
      </c>
      <c r="O1744" s="23">
        <f t="shared" si="598"/>
        <v>93825</v>
      </c>
      <c r="P1744" s="20">
        <v>-598050</v>
      </c>
      <c r="Q1744">
        <v>22.75</v>
      </c>
    </row>
    <row r="1745" spans="1:17" ht="15.75" x14ac:dyDescent="0.25">
      <c r="A1745" s="41" t="s">
        <v>87</v>
      </c>
      <c r="B1745" s="23">
        <v>121331</v>
      </c>
      <c r="C1745" s="42">
        <v>54168.750000000007</v>
      </c>
      <c r="D1745" s="23">
        <f t="shared" si="595"/>
        <v>175499.75</v>
      </c>
      <c r="E1745" s="20">
        <v>-8437.5</v>
      </c>
      <c r="F1745" s="23">
        <f t="shared" si="596"/>
        <v>183937.25</v>
      </c>
      <c r="G1745" s="20">
        <v>-479250</v>
      </c>
      <c r="J1745" s="41" t="s">
        <v>87</v>
      </c>
      <c r="K1745" s="23">
        <v>-43875</v>
      </c>
      <c r="L1745" s="42">
        <v>191362.5</v>
      </c>
      <c r="M1745" s="23">
        <f t="shared" si="597"/>
        <v>147487.5</v>
      </c>
      <c r="N1745" s="20">
        <v>5906.25</v>
      </c>
      <c r="O1745" s="23">
        <f t="shared" si="598"/>
        <v>141581.25</v>
      </c>
      <c r="P1745" s="20">
        <v>-526162.5</v>
      </c>
      <c r="Q1745">
        <v>12.85</v>
      </c>
    </row>
    <row r="1746" spans="1:17" ht="15.75" x14ac:dyDescent="0.25">
      <c r="A1746" s="41" t="s">
        <v>128</v>
      </c>
      <c r="B1746" s="23">
        <v>46540</v>
      </c>
      <c r="C1746" s="42">
        <v>12350.000000000007</v>
      </c>
      <c r="D1746" s="23">
        <f t="shared" si="595"/>
        <v>58890.000000000007</v>
      </c>
      <c r="E1746" s="20">
        <v>-2730</v>
      </c>
      <c r="F1746" s="23">
        <f t="shared" si="596"/>
        <v>61620.000000000007</v>
      </c>
      <c r="G1746" s="20">
        <v>-425100</v>
      </c>
      <c r="J1746" s="41" t="s">
        <v>128</v>
      </c>
      <c r="K1746" s="23">
        <v>-93860</v>
      </c>
      <c r="L1746" s="42">
        <v>117390</v>
      </c>
      <c r="M1746" s="23">
        <f t="shared" si="597"/>
        <v>23530</v>
      </c>
      <c r="N1746" s="20">
        <v>-13390</v>
      </c>
      <c r="O1746" s="23">
        <f t="shared" si="598"/>
        <v>36920</v>
      </c>
      <c r="P1746" s="20">
        <v>-419250</v>
      </c>
      <c r="Q1746">
        <v>14.25</v>
      </c>
    </row>
    <row r="1747" spans="1:17" ht="15.75" x14ac:dyDescent="0.25">
      <c r="A1747" s="52" t="s">
        <v>81</v>
      </c>
      <c r="B1747" s="23">
        <v>-85907</v>
      </c>
      <c r="C1747" s="42">
        <v>13755</v>
      </c>
      <c r="D1747" s="23">
        <f t="shared" si="595"/>
        <v>-72152</v>
      </c>
      <c r="E1747" s="20">
        <v>12810</v>
      </c>
      <c r="F1747" s="23">
        <f t="shared" si="596"/>
        <v>-84962</v>
      </c>
      <c r="G1747" s="20">
        <v>-545370</v>
      </c>
      <c r="J1747" s="52" t="s">
        <v>81</v>
      </c>
      <c r="K1747" s="23">
        <v>99855</v>
      </c>
      <c r="L1747" s="42">
        <v>133560</v>
      </c>
      <c r="M1747" s="23">
        <f t="shared" si="597"/>
        <v>233415</v>
      </c>
      <c r="N1747" s="20">
        <v>-4445.0000000000009</v>
      </c>
      <c r="O1747" s="23">
        <f t="shared" si="598"/>
        <v>237860</v>
      </c>
      <c r="P1747" s="20">
        <v>-593775</v>
      </c>
      <c r="Q1747">
        <v>60.85</v>
      </c>
    </row>
    <row r="1748" spans="1:17" ht="15.75" x14ac:dyDescent="0.25">
      <c r="A1748" s="1" t="s">
        <v>142</v>
      </c>
      <c r="B1748" s="23">
        <v>41800</v>
      </c>
      <c r="C1748" s="42">
        <v>52910</v>
      </c>
      <c r="D1748" s="23">
        <f t="shared" si="595"/>
        <v>94710</v>
      </c>
      <c r="E1748" s="20">
        <v>14520</v>
      </c>
      <c r="F1748" s="23">
        <f t="shared" si="596"/>
        <v>80190</v>
      </c>
      <c r="G1748" s="20">
        <v>-275825</v>
      </c>
      <c r="J1748" s="1" t="s">
        <v>142</v>
      </c>
      <c r="K1748" s="23">
        <v>-10835</v>
      </c>
      <c r="L1748" s="42">
        <v>114180</v>
      </c>
      <c r="M1748" s="23">
        <f t="shared" si="597"/>
        <v>103345</v>
      </c>
      <c r="N1748" s="20">
        <v>26455</v>
      </c>
      <c r="O1748" s="23">
        <f t="shared" si="598"/>
        <v>76890</v>
      </c>
      <c r="P1748" s="20">
        <v>-408100</v>
      </c>
      <c r="Q1748">
        <v>31.75</v>
      </c>
    </row>
    <row r="1749" spans="1:17" ht="15.75" x14ac:dyDescent="0.25">
      <c r="A1749" s="21" t="s">
        <v>107</v>
      </c>
      <c r="B1749" s="22">
        <f t="shared" ref="B1749:G1749" si="599">SUM(B1735:B1748)</f>
        <v>-93224</v>
      </c>
      <c r="C1749" s="18">
        <f t="shared" si="599"/>
        <v>138390.00000000006</v>
      </c>
      <c r="D1749" s="23">
        <f t="shared" si="599"/>
        <v>45166.000000000065</v>
      </c>
      <c r="E1749" s="18">
        <f t="shared" si="599"/>
        <v>-7245</v>
      </c>
      <c r="F1749" s="23">
        <f t="shared" si="599"/>
        <v>52411.000000000065</v>
      </c>
      <c r="G1749" s="17">
        <f t="shared" si="599"/>
        <v>-5799535</v>
      </c>
      <c r="J1749" s="21" t="s">
        <v>107</v>
      </c>
      <c r="K1749" s="22">
        <f t="shared" ref="K1749:P1749" si="600">SUM(K1735:K1748)</f>
        <v>-141429</v>
      </c>
      <c r="L1749" s="18">
        <f t="shared" si="600"/>
        <v>1399172.5</v>
      </c>
      <c r="M1749" s="23">
        <f t="shared" si="600"/>
        <v>1257743.5</v>
      </c>
      <c r="N1749" s="18">
        <f t="shared" si="600"/>
        <v>-58788.75</v>
      </c>
      <c r="O1749" s="23">
        <f t="shared" si="600"/>
        <v>1316532.25</v>
      </c>
      <c r="P1749" s="17">
        <f t="shared" si="600"/>
        <v>-6319250</v>
      </c>
    </row>
    <row r="1753" spans="1:17" ht="15.75" x14ac:dyDescent="0.25">
      <c r="A1753" s="107">
        <v>44980</v>
      </c>
      <c r="B1753" s="108"/>
      <c r="C1753" s="108"/>
      <c r="D1753" s="108"/>
      <c r="E1753" s="108"/>
      <c r="F1753" s="108"/>
      <c r="G1753" s="109"/>
      <c r="J1753" s="107">
        <v>44983</v>
      </c>
      <c r="K1753" s="108"/>
      <c r="L1753" s="108"/>
      <c r="M1753" s="108"/>
      <c r="N1753" s="108"/>
      <c r="O1753" s="108"/>
      <c r="P1753" s="109"/>
    </row>
    <row r="1754" spans="1:17" ht="15.75" x14ac:dyDescent="0.25">
      <c r="A1754" s="22" t="s">
        <v>34</v>
      </c>
      <c r="B1754" s="22" t="s">
        <v>104</v>
      </c>
      <c r="C1754" s="22" t="s">
        <v>105</v>
      </c>
      <c r="D1754" s="22" t="s">
        <v>112</v>
      </c>
      <c r="E1754" s="22" t="s">
        <v>106</v>
      </c>
      <c r="F1754" s="21" t="s">
        <v>108</v>
      </c>
      <c r="G1754" s="21" t="s">
        <v>28</v>
      </c>
      <c r="J1754" s="22" t="s">
        <v>34</v>
      </c>
      <c r="K1754" s="22" t="s">
        <v>104</v>
      </c>
      <c r="L1754" s="22" t="s">
        <v>105</v>
      </c>
      <c r="M1754" s="22" t="s">
        <v>112</v>
      </c>
      <c r="N1754" s="22" t="s">
        <v>106</v>
      </c>
      <c r="O1754" s="21" t="s">
        <v>108</v>
      </c>
      <c r="P1754" s="21" t="s">
        <v>28</v>
      </c>
    </row>
    <row r="1755" spans="1:17" ht="15.75" x14ac:dyDescent="0.25">
      <c r="A1755" s="41" t="s">
        <v>139</v>
      </c>
      <c r="B1755" s="23">
        <v>-67220</v>
      </c>
      <c r="C1755" s="42">
        <v>133350</v>
      </c>
      <c r="D1755" s="23">
        <f t="shared" ref="D1755:D1768" si="601">+C1755+B1755</f>
        <v>66130</v>
      </c>
      <c r="E1755" s="20">
        <v>4987.5</v>
      </c>
      <c r="F1755" s="23">
        <f t="shared" ref="F1755:F1768" si="602">+B1755+C1755-E1755</f>
        <v>61142.5</v>
      </c>
      <c r="G1755" s="23">
        <v>-578550</v>
      </c>
      <c r="H1755">
        <v>9.6000000000000014</v>
      </c>
      <c r="J1755" s="41" t="s">
        <v>139</v>
      </c>
      <c r="K1755" s="23"/>
      <c r="L1755" s="42"/>
      <c r="M1755" s="23">
        <f t="shared" ref="M1755:M1768" si="603">+L1755+K1755</f>
        <v>0</v>
      </c>
      <c r="N1755" s="20"/>
      <c r="O1755" s="23">
        <f t="shared" ref="O1755:O1768" si="604">+K1755+L1755-N1755</f>
        <v>0</v>
      </c>
      <c r="P1755" s="23"/>
    </row>
    <row r="1756" spans="1:17" ht="15.75" x14ac:dyDescent="0.25">
      <c r="A1756" s="41" t="s">
        <v>157</v>
      </c>
      <c r="B1756" s="23"/>
      <c r="C1756" s="42">
        <v>0</v>
      </c>
      <c r="D1756" s="23">
        <f t="shared" si="601"/>
        <v>0</v>
      </c>
      <c r="E1756" s="20">
        <v>0</v>
      </c>
      <c r="F1756" s="23">
        <f t="shared" si="602"/>
        <v>0</v>
      </c>
      <c r="G1756" s="23">
        <v>0</v>
      </c>
      <c r="H1756">
        <v>22.15</v>
      </c>
      <c r="J1756" s="41" t="s">
        <v>157</v>
      </c>
      <c r="K1756" s="23"/>
      <c r="L1756" s="42"/>
      <c r="M1756" s="23">
        <f t="shared" si="603"/>
        <v>0</v>
      </c>
      <c r="N1756" s="20"/>
      <c r="O1756" s="23">
        <f t="shared" si="604"/>
        <v>0</v>
      </c>
      <c r="P1756" s="23"/>
    </row>
    <row r="1757" spans="1:17" ht="15.75" x14ac:dyDescent="0.25">
      <c r="A1757" s="41" t="s">
        <v>134</v>
      </c>
      <c r="B1757" s="23">
        <v>35750</v>
      </c>
      <c r="C1757" s="42">
        <v>141250</v>
      </c>
      <c r="D1757" s="23">
        <f t="shared" si="601"/>
        <v>177000</v>
      </c>
      <c r="E1757" s="20">
        <v>9000</v>
      </c>
      <c r="F1757" s="23">
        <f t="shared" si="602"/>
        <v>168000</v>
      </c>
      <c r="G1757" s="23">
        <v>-455750</v>
      </c>
      <c r="H1757">
        <v>4.3499999999999996</v>
      </c>
      <c r="J1757" s="41" t="s">
        <v>134</v>
      </c>
      <c r="K1757" s="23"/>
      <c r="L1757" s="42"/>
      <c r="M1757" s="23">
        <f t="shared" si="603"/>
        <v>0</v>
      </c>
      <c r="N1757" s="20"/>
      <c r="O1757" s="23">
        <f t="shared" si="604"/>
        <v>0</v>
      </c>
      <c r="P1757" s="23"/>
    </row>
    <row r="1758" spans="1:17" ht="15.75" x14ac:dyDescent="0.25">
      <c r="A1758" s="41" t="s">
        <v>82</v>
      </c>
      <c r="B1758" s="23">
        <v>-79063</v>
      </c>
      <c r="C1758" s="42">
        <v>80037.5</v>
      </c>
      <c r="D1758" s="23">
        <f t="shared" si="601"/>
        <v>974.5</v>
      </c>
      <c r="E1758" s="20">
        <v>16055</v>
      </c>
      <c r="F1758" s="23">
        <f t="shared" si="602"/>
        <v>-15080.5</v>
      </c>
      <c r="G1758" s="20">
        <v>0</v>
      </c>
      <c r="H1758">
        <v>63.6</v>
      </c>
      <c r="J1758" s="41" t="s">
        <v>82</v>
      </c>
      <c r="K1758" s="23"/>
      <c r="L1758" s="42"/>
      <c r="M1758" s="23">
        <f t="shared" si="603"/>
        <v>0</v>
      </c>
      <c r="N1758" s="20"/>
      <c r="O1758" s="23">
        <f t="shared" si="604"/>
        <v>0</v>
      </c>
      <c r="P1758" s="20"/>
    </row>
    <row r="1759" spans="1:17" ht="15.75" x14ac:dyDescent="0.25">
      <c r="A1759" s="41" t="s">
        <v>40</v>
      </c>
      <c r="B1759" s="23">
        <v>27087</v>
      </c>
      <c r="C1759" s="42">
        <v>122925.00000000003</v>
      </c>
      <c r="D1759" s="23">
        <f t="shared" si="601"/>
        <v>150012.00000000003</v>
      </c>
      <c r="E1759" s="20">
        <v>17737.5</v>
      </c>
      <c r="F1759" s="23">
        <f t="shared" si="602"/>
        <v>132274.50000000003</v>
      </c>
      <c r="G1759" s="20">
        <v>-398750</v>
      </c>
      <c r="H1759">
        <v>12.95</v>
      </c>
      <c r="J1759" s="41" t="s">
        <v>40</v>
      </c>
      <c r="K1759" s="23"/>
      <c r="L1759" s="42"/>
      <c r="M1759" s="23">
        <f t="shared" si="603"/>
        <v>0</v>
      </c>
      <c r="N1759" s="20"/>
      <c r="O1759" s="23">
        <f t="shared" si="604"/>
        <v>0</v>
      </c>
      <c r="P1759" s="20"/>
    </row>
    <row r="1760" spans="1:17" ht="15.75" x14ac:dyDescent="0.25">
      <c r="A1760" s="41" t="s">
        <v>158</v>
      </c>
      <c r="B1760" s="23">
        <v>16225</v>
      </c>
      <c r="C1760" s="42">
        <v>64250</v>
      </c>
      <c r="D1760" s="23">
        <f t="shared" si="601"/>
        <v>80475</v>
      </c>
      <c r="E1760" s="20">
        <v>7000</v>
      </c>
      <c r="F1760" s="23">
        <f t="shared" si="602"/>
        <v>73475</v>
      </c>
      <c r="G1760" s="20">
        <v>-455900</v>
      </c>
      <c r="H1760">
        <v>44.2</v>
      </c>
      <c r="J1760" s="41" t="s">
        <v>158</v>
      </c>
      <c r="K1760" s="23"/>
      <c r="L1760" s="42"/>
      <c r="M1760" s="23">
        <f t="shared" si="603"/>
        <v>0</v>
      </c>
      <c r="N1760" s="20"/>
      <c r="O1760" s="23">
        <f t="shared" si="604"/>
        <v>0</v>
      </c>
      <c r="P1760" s="20"/>
    </row>
    <row r="1761" spans="1:16" ht="15.75" x14ac:dyDescent="0.25">
      <c r="A1761" s="41" t="s">
        <v>97</v>
      </c>
      <c r="B1761" s="23">
        <v>-14375</v>
      </c>
      <c r="C1761" s="42">
        <v>242125</v>
      </c>
      <c r="D1761" s="23">
        <f t="shared" si="601"/>
        <v>227750</v>
      </c>
      <c r="E1761" s="20">
        <v>-8875</v>
      </c>
      <c r="F1761" s="23">
        <f t="shared" si="602"/>
        <v>236625</v>
      </c>
      <c r="G1761" s="20">
        <v>-383062.5</v>
      </c>
      <c r="H1761">
        <v>21.049999999999997</v>
      </c>
      <c r="J1761" s="41" t="s">
        <v>97</v>
      </c>
      <c r="K1761" s="23"/>
      <c r="L1761" s="42"/>
      <c r="M1761" s="23">
        <f t="shared" si="603"/>
        <v>0</v>
      </c>
      <c r="N1761" s="20"/>
      <c r="O1761" s="23">
        <f t="shared" si="604"/>
        <v>0</v>
      </c>
      <c r="P1761" s="20"/>
    </row>
    <row r="1762" spans="1:16" ht="15.75" x14ac:dyDescent="0.25">
      <c r="A1762" s="41" t="s">
        <v>15</v>
      </c>
      <c r="B1762" s="23">
        <v>-87937</v>
      </c>
      <c r="C1762" s="42">
        <v>109750</v>
      </c>
      <c r="D1762" s="23">
        <f t="shared" si="601"/>
        <v>21813</v>
      </c>
      <c r="E1762" s="20">
        <v>24250</v>
      </c>
      <c r="F1762" s="23">
        <f t="shared" si="602"/>
        <v>-2437</v>
      </c>
      <c r="G1762" s="20">
        <v>-257000</v>
      </c>
      <c r="H1762">
        <v>12.3</v>
      </c>
      <c r="J1762" s="41" t="s">
        <v>15</v>
      </c>
      <c r="K1762" s="23"/>
      <c r="L1762" s="42"/>
      <c r="M1762" s="23">
        <f t="shared" si="603"/>
        <v>0</v>
      </c>
      <c r="N1762" s="20"/>
      <c r="O1762" s="23">
        <f t="shared" si="604"/>
        <v>0</v>
      </c>
      <c r="P1762" s="20"/>
    </row>
    <row r="1763" spans="1:16" ht="15.75" x14ac:dyDescent="0.25">
      <c r="A1763" s="41" t="s">
        <v>62</v>
      </c>
      <c r="B1763" s="23">
        <v>-61057</v>
      </c>
      <c r="C1763" s="42">
        <v>213780</v>
      </c>
      <c r="D1763" s="23">
        <f t="shared" si="601"/>
        <v>152723</v>
      </c>
      <c r="E1763" s="20">
        <v>-32280</v>
      </c>
      <c r="F1763" s="23">
        <f t="shared" si="602"/>
        <v>185003</v>
      </c>
      <c r="G1763" s="20">
        <v>0</v>
      </c>
      <c r="H1763">
        <v>167.95</v>
      </c>
      <c r="J1763" s="41" t="s">
        <v>62</v>
      </c>
      <c r="K1763" s="23"/>
      <c r="L1763" s="42"/>
      <c r="M1763" s="23">
        <f t="shared" si="603"/>
        <v>0</v>
      </c>
      <c r="N1763" s="20"/>
      <c r="O1763" s="23">
        <f t="shared" si="604"/>
        <v>0</v>
      </c>
      <c r="P1763" s="20"/>
    </row>
    <row r="1764" spans="1:16" ht="15.75" x14ac:dyDescent="0.25">
      <c r="A1764" s="41" t="s">
        <v>85</v>
      </c>
      <c r="B1764" s="23">
        <v>60975</v>
      </c>
      <c r="C1764" s="42">
        <v>121649.99999999999</v>
      </c>
      <c r="D1764" s="23">
        <f t="shared" si="601"/>
        <v>182625</v>
      </c>
      <c r="E1764" s="20">
        <v>10800</v>
      </c>
      <c r="F1764" s="23">
        <f t="shared" si="602"/>
        <v>171825</v>
      </c>
      <c r="G1764" s="20">
        <v>-502950</v>
      </c>
      <c r="H1764">
        <v>18.850000000000001</v>
      </c>
      <c r="J1764" s="41" t="s">
        <v>85</v>
      </c>
      <c r="K1764" s="23"/>
      <c r="L1764" s="42"/>
      <c r="M1764" s="23">
        <f t="shared" si="603"/>
        <v>0</v>
      </c>
      <c r="N1764" s="20"/>
      <c r="O1764" s="23">
        <f t="shared" si="604"/>
        <v>0</v>
      </c>
      <c r="P1764" s="20"/>
    </row>
    <row r="1765" spans="1:16" ht="15.75" x14ac:dyDescent="0.25">
      <c r="A1765" s="41" t="s">
        <v>87</v>
      </c>
      <c r="B1765" s="23">
        <v>19237</v>
      </c>
      <c r="C1765" s="42">
        <v>130950</v>
      </c>
      <c r="D1765" s="23">
        <f t="shared" si="601"/>
        <v>150187</v>
      </c>
      <c r="E1765" s="20">
        <v>10800</v>
      </c>
      <c r="F1765" s="23">
        <f t="shared" si="602"/>
        <v>139387</v>
      </c>
      <c r="G1765" s="20">
        <v>-514687.5</v>
      </c>
      <c r="H1765">
        <v>10.4</v>
      </c>
      <c r="J1765" s="41" t="s">
        <v>87</v>
      </c>
      <c r="K1765" s="23"/>
      <c r="L1765" s="42"/>
      <c r="M1765" s="23">
        <f t="shared" si="603"/>
        <v>0</v>
      </c>
      <c r="N1765" s="20"/>
      <c r="O1765" s="23">
        <f t="shared" si="604"/>
        <v>0</v>
      </c>
      <c r="P1765" s="20"/>
    </row>
    <row r="1766" spans="1:16" ht="15.75" x14ac:dyDescent="0.25">
      <c r="A1766" s="41" t="s">
        <v>128</v>
      </c>
      <c r="B1766" s="23">
        <v>39780</v>
      </c>
      <c r="C1766" s="42">
        <v>-780</v>
      </c>
      <c r="D1766" s="23">
        <f t="shared" si="601"/>
        <v>39000</v>
      </c>
      <c r="E1766" s="20">
        <v>39195</v>
      </c>
      <c r="F1766" s="23">
        <f t="shared" si="602"/>
        <v>-195</v>
      </c>
      <c r="G1766" s="20">
        <v>-456950</v>
      </c>
      <c r="H1766">
        <v>12.15</v>
      </c>
      <c r="J1766" s="41" t="s">
        <v>128</v>
      </c>
      <c r="K1766" s="23"/>
      <c r="L1766" s="42"/>
      <c r="M1766" s="23">
        <f t="shared" si="603"/>
        <v>0</v>
      </c>
      <c r="N1766" s="20"/>
      <c r="O1766" s="23">
        <f t="shared" si="604"/>
        <v>0</v>
      </c>
      <c r="P1766" s="20"/>
    </row>
    <row r="1767" spans="1:16" ht="15.75" x14ac:dyDescent="0.25">
      <c r="A1767" s="52" t="s">
        <v>81</v>
      </c>
      <c r="B1767" s="23">
        <v>-57400</v>
      </c>
      <c r="C1767" s="42">
        <v>248850</v>
      </c>
      <c r="D1767" s="23">
        <f t="shared" si="601"/>
        <v>191450</v>
      </c>
      <c r="E1767" s="20">
        <v>33425</v>
      </c>
      <c r="F1767" s="23">
        <f t="shared" si="602"/>
        <v>158025</v>
      </c>
      <c r="G1767" s="20">
        <v>-376250</v>
      </c>
      <c r="H1767">
        <v>48.8</v>
      </c>
      <c r="J1767" s="41" t="s">
        <v>81</v>
      </c>
      <c r="K1767" s="23"/>
      <c r="L1767" s="42"/>
      <c r="M1767" s="23">
        <f t="shared" si="603"/>
        <v>0</v>
      </c>
      <c r="N1767" s="20"/>
      <c r="O1767" s="23">
        <f t="shared" si="604"/>
        <v>0</v>
      </c>
      <c r="P1767" s="20"/>
    </row>
    <row r="1768" spans="1:16" ht="15.75" x14ac:dyDescent="0.25">
      <c r="A1768" s="1" t="s">
        <v>142</v>
      </c>
      <c r="B1768" s="23">
        <v>25190</v>
      </c>
      <c r="C1768" s="42">
        <v>62617.5</v>
      </c>
      <c r="D1768" s="23">
        <f t="shared" si="601"/>
        <v>87807.5</v>
      </c>
      <c r="E1768" s="20">
        <v>4839.9999999999991</v>
      </c>
      <c r="F1768" s="23">
        <f t="shared" si="602"/>
        <v>82967.5</v>
      </c>
      <c r="G1768" s="20">
        <v>-277200</v>
      </c>
      <c r="H1768">
        <v>25.4</v>
      </c>
      <c r="J1768" s="10" t="s">
        <v>142</v>
      </c>
      <c r="K1768" s="23"/>
      <c r="L1768" s="42"/>
      <c r="M1768" s="23">
        <f t="shared" si="603"/>
        <v>0</v>
      </c>
      <c r="N1768" s="20"/>
      <c r="O1768" s="23">
        <f t="shared" si="604"/>
        <v>0</v>
      </c>
      <c r="P1768" s="20"/>
    </row>
    <row r="1769" spans="1:16" ht="15.75" x14ac:dyDescent="0.25">
      <c r="A1769" s="21" t="s">
        <v>107</v>
      </c>
      <c r="B1769" s="22">
        <f t="shared" ref="B1769:G1769" si="605">SUM(B1755:B1768)</f>
        <v>-142808</v>
      </c>
      <c r="C1769" s="18">
        <f t="shared" si="605"/>
        <v>1670755</v>
      </c>
      <c r="D1769" s="23">
        <f t="shared" si="605"/>
        <v>1527947</v>
      </c>
      <c r="E1769" s="18">
        <f t="shared" si="605"/>
        <v>136935</v>
      </c>
      <c r="F1769" s="23">
        <f t="shared" si="605"/>
        <v>1391012</v>
      </c>
      <c r="G1769" s="17">
        <f t="shared" si="605"/>
        <v>-4657050</v>
      </c>
      <c r="J1769" s="21" t="s">
        <v>107</v>
      </c>
      <c r="K1769" s="22">
        <f t="shared" ref="K1769:P1769" si="606">SUM(K1755:K1768)</f>
        <v>0</v>
      </c>
      <c r="L1769" s="18">
        <f t="shared" si="606"/>
        <v>0</v>
      </c>
      <c r="M1769" s="23">
        <f t="shared" si="606"/>
        <v>0</v>
      </c>
      <c r="N1769" s="18">
        <f t="shared" si="606"/>
        <v>0</v>
      </c>
      <c r="O1769" s="23">
        <f t="shared" si="606"/>
        <v>0</v>
      </c>
      <c r="P1769" s="17">
        <f t="shared" si="606"/>
        <v>0</v>
      </c>
    </row>
    <row r="1775" spans="1:16" x14ac:dyDescent="0.25">
      <c r="A1775" s="12"/>
      <c r="B1775" s="12"/>
      <c r="C1775" s="12"/>
      <c r="F1775" s="119">
        <v>45444</v>
      </c>
      <c r="G1775" s="119"/>
      <c r="H1775" s="119"/>
      <c r="I1775" s="119"/>
    </row>
    <row r="1776" spans="1:16" ht="15.75" customHeight="1" x14ac:dyDescent="0.25">
      <c r="A1776" s="54"/>
      <c r="B1776" s="12"/>
      <c r="C1776" s="12"/>
      <c r="F1776" s="119"/>
      <c r="G1776" s="119"/>
      <c r="H1776" s="119"/>
      <c r="I1776" s="119"/>
      <c r="J1776" s="53"/>
      <c r="K1776" s="53"/>
    </row>
    <row r="1777" spans="1:25" ht="15.75" customHeight="1" x14ac:dyDescent="0.25">
      <c r="A1777" s="54"/>
      <c r="B1777" s="12"/>
      <c r="C1777" s="12"/>
      <c r="F1777" s="119"/>
      <c r="G1777" s="119"/>
      <c r="H1777" s="119"/>
      <c r="I1777" s="119"/>
      <c r="J1777" s="53"/>
      <c r="K1777" s="53"/>
    </row>
    <row r="1778" spans="1:25" ht="15.75" customHeight="1" x14ac:dyDescent="0.25">
      <c r="A1778" s="54"/>
      <c r="B1778" s="12"/>
      <c r="C1778" s="12"/>
      <c r="F1778" s="119"/>
      <c r="G1778" s="119"/>
      <c r="H1778" s="119"/>
      <c r="I1778" s="119"/>
      <c r="J1778" s="53"/>
      <c r="K1778" s="53"/>
    </row>
    <row r="1779" spans="1:25" ht="15.75" customHeight="1" x14ac:dyDescent="0.25">
      <c r="A1779" s="54"/>
      <c r="B1779" s="12"/>
      <c r="C1779" s="12"/>
      <c r="F1779" s="119"/>
      <c r="G1779" s="119"/>
      <c r="H1779" s="119"/>
      <c r="I1779" s="119"/>
      <c r="J1779" s="53"/>
      <c r="K1779" s="53"/>
    </row>
    <row r="1780" spans="1:25" ht="15.75" customHeight="1" x14ac:dyDescent="0.25">
      <c r="A1780" s="54"/>
      <c r="B1780" s="12"/>
      <c r="C1780" s="12"/>
      <c r="F1780" s="119"/>
      <c r="G1780" s="119"/>
      <c r="H1780" s="119"/>
      <c r="I1780" s="119"/>
      <c r="J1780" s="53"/>
      <c r="K1780" s="53"/>
    </row>
    <row r="1781" spans="1:25" ht="15.75" customHeight="1" x14ac:dyDescent="0.25">
      <c r="A1781" s="54"/>
      <c r="B1781" s="12"/>
      <c r="C1781" s="12"/>
      <c r="F1781" s="53"/>
      <c r="G1781" s="53"/>
      <c r="H1781" s="53"/>
      <c r="I1781" s="53"/>
      <c r="J1781" s="53"/>
      <c r="K1781" s="53"/>
    </row>
    <row r="1782" spans="1:25" ht="15.75" customHeight="1" x14ac:dyDescent="0.25">
      <c r="A1782" s="107">
        <v>45433</v>
      </c>
      <c r="B1782" s="108"/>
      <c r="C1782" s="108"/>
      <c r="D1782" s="108"/>
      <c r="E1782" s="108"/>
      <c r="F1782" s="108"/>
      <c r="G1782" s="109"/>
      <c r="H1782" s="53"/>
      <c r="I1782" s="53"/>
      <c r="J1782" s="107">
        <v>45434</v>
      </c>
      <c r="K1782" s="108"/>
      <c r="L1782" s="108"/>
      <c r="M1782" s="108"/>
      <c r="N1782" s="108"/>
      <c r="O1782" s="108"/>
      <c r="P1782" s="109"/>
      <c r="S1782" s="107">
        <v>45435</v>
      </c>
      <c r="T1782" s="108"/>
      <c r="U1782" s="108"/>
      <c r="V1782" s="108"/>
      <c r="W1782" s="108"/>
      <c r="X1782" s="108"/>
      <c r="Y1782" s="109"/>
    </row>
    <row r="1783" spans="1:25" ht="15.75" customHeight="1" x14ac:dyDescent="0.25">
      <c r="A1783" s="22" t="s">
        <v>34</v>
      </c>
      <c r="B1783" s="22" t="s">
        <v>104</v>
      </c>
      <c r="C1783" s="22" t="s">
        <v>105</v>
      </c>
      <c r="D1783" s="22" t="s">
        <v>112</v>
      </c>
      <c r="E1783" s="22" t="s">
        <v>106</v>
      </c>
      <c r="F1783" s="21" t="s">
        <v>108</v>
      </c>
      <c r="G1783" s="21" t="s">
        <v>28</v>
      </c>
      <c r="H1783" s="53"/>
      <c r="I1783" s="53"/>
      <c r="J1783" s="22" t="s">
        <v>34</v>
      </c>
      <c r="K1783" s="22" t="s">
        <v>104</v>
      </c>
      <c r="L1783" s="22" t="s">
        <v>105</v>
      </c>
      <c r="M1783" s="22" t="s">
        <v>112</v>
      </c>
      <c r="N1783" s="22" t="s">
        <v>106</v>
      </c>
      <c r="O1783" s="21" t="s">
        <v>108</v>
      </c>
      <c r="P1783" s="21" t="s">
        <v>28</v>
      </c>
      <c r="S1783" s="22" t="s">
        <v>34</v>
      </c>
      <c r="T1783" s="22" t="s">
        <v>104</v>
      </c>
      <c r="U1783" s="22" t="s">
        <v>105</v>
      </c>
      <c r="V1783" s="22" t="s">
        <v>112</v>
      </c>
      <c r="W1783" s="22" t="s">
        <v>106</v>
      </c>
      <c r="X1783" s="21" t="s">
        <v>108</v>
      </c>
      <c r="Y1783" s="21" t="s">
        <v>28</v>
      </c>
    </row>
    <row r="1784" spans="1:25" ht="15.75" x14ac:dyDescent="0.25">
      <c r="A1784" s="41" t="s">
        <v>83</v>
      </c>
      <c r="B1784" s="23">
        <v>-23962</v>
      </c>
      <c r="C1784" s="42">
        <v>0</v>
      </c>
      <c r="D1784" s="23">
        <f t="shared" ref="D1784:D1798" si="607">+C1784+B1784</f>
        <v>-23962</v>
      </c>
      <c r="E1784" s="20">
        <v>0</v>
      </c>
      <c r="F1784" s="23">
        <f t="shared" ref="F1784:F1798" si="608">+B1784+C1784-E1784</f>
        <v>-23962</v>
      </c>
      <c r="G1784" s="20">
        <v>-459000</v>
      </c>
      <c r="H1784">
        <v>5.55</v>
      </c>
      <c r="J1784" s="41" t="s">
        <v>83</v>
      </c>
      <c r="K1784" s="23">
        <v>-5062</v>
      </c>
      <c r="L1784" s="42">
        <v>56700</v>
      </c>
      <c r="M1784" s="23">
        <f t="shared" ref="M1784:M1798" si="609">+L1784+K1784</f>
        <v>51638</v>
      </c>
      <c r="N1784" s="20">
        <v>10800</v>
      </c>
      <c r="O1784" s="23">
        <f t="shared" ref="O1784:O1798" si="610">+K1784+L1784-N1784</f>
        <v>40838</v>
      </c>
      <c r="P1784" s="20">
        <v>-497475</v>
      </c>
      <c r="Q1784">
        <v>5.0999999999999996</v>
      </c>
      <c r="S1784" s="41" t="s">
        <v>83</v>
      </c>
      <c r="T1784" s="23">
        <v>-60075</v>
      </c>
      <c r="U1784" s="42">
        <v>77625</v>
      </c>
      <c r="V1784" s="23">
        <f t="shared" ref="V1784:V1798" si="611">+U1784+T1784</f>
        <v>17550</v>
      </c>
      <c r="W1784" s="20">
        <v>11475</v>
      </c>
      <c r="X1784" s="23">
        <f t="shared" ref="X1784:X1798" si="612">+T1784+U1784-W1784</f>
        <v>6075</v>
      </c>
      <c r="Y1784" s="20">
        <v>-497475</v>
      </c>
    </row>
    <row r="1785" spans="1:25" ht="15.75" x14ac:dyDescent="0.25">
      <c r="A1785" s="41" t="s">
        <v>42</v>
      </c>
      <c r="B1785" s="23">
        <v>-89300</v>
      </c>
      <c r="C1785" s="42">
        <v>0</v>
      </c>
      <c r="D1785" s="23">
        <f t="shared" si="607"/>
        <v>-89300</v>
      </c>
      <c r="E1785" s="20">
        <v>0</v>
      </c>
      <c r="F1785" s="23">
        <f t="shared" si="608"/>
        <v>-89300</v>
      </c>
      <c r="G1785" s="20">
        <v>-505400</v>
      </c>
      <c r="H1785">
        <v>21.75</v>
      </c>
      <c r="J1785" s="41" t="s">
        <v>42</v>
      </c>
      <c r="K1785" s="23">
        <v>-11685</v>
      </c>
      <c r="L1785" s="42">
        <v>27360</v>
      </c>
      <c r="M1785" s="23">
        <f t="shared" si="609"/>
        <v>15675</v>
      </c>
      <c r="N1785" s="20">
        <v>-3325</v>
      </c>
      <c r="O1785" s="23">
        <f t="shared" si="610"/>
        <v>19000</v>
      </c>
      <c r="P1785" s="20">
        <v>-523450</v>
      </c>
      <c r="Q1785">
        <v>18.600000000000001</v>
      </c>
      <c r="S1785" s="41" t="s">
        <v>42</v>
      </c>
      <c r="T1785" s="23">
        <v>-64980</v>
      </c>
      <c r="U1785" s="42">
        <v>285</v>
      </c>
      <c r="V1785" s="23">
        <f t="shared" si="611"/>
        <v>-64695</v>
      </c>
      <c r="W1785" s="20">
        <v>33250</v>
      </c>
      <c r="X1785" s="23">
        <f t="shared" si="612"/>
        <v>-97945</v>
      </c>
      <c r="Y1785" s="20">
        <v>-523450</v>
      </c>
    </row>
    <row r="1786" spans="1:25" ht="15.75" x14ac:dyDescent="0.25">
      <c r="A1786" s="41" t="s">
        <v>54</v>
      </c>
      <c r="B1786" s="23">
        <v>-9650</v>
      </c>
      <c r="C1786" s="42">
        <v>0</v>
      </c>
      <c r="D1786" s="23">
        <f t="shared" si="607"/>
        <v>-9650</v>
      </c>
      <c r="E1786" s="20">
        <v>0</v>
      </c>
      <c r="F1786" s="23">
        <f t="shared" si="608"/>
        <v>-9650</v>
      </c>
      <c r="G1786" s="20">
        <v>-427500</v>
      </c>
      <c r="H1786">
        <v>52.3</v>
      </c>
      <c r="J1786" s="41" t="s">
        <v>54</v>
      </c>
      <c r="K1786" s="23">
        <v>-4450</v>
      </c>
      <c r="L1786" s="42">
        <v>55250</v>
      </c>
      <c r="M1786" s="23">
        <f t="shared" si="609"/>
        <v>50800</v>
      </c>
      <c r="N1786" s="20">
        <v>5250</v>
      </c>
      <c r="O1786" s="23">
        <f t="shared" si="610"/>
        <v>45550</v>
      </c>
      <c r="P1786" s="20">
        <v>-520250</v>
      </c>
      <c r="Q1786">
        <v>46.5</v>
      </c>
      <c r="S1786" s="41" t="s">
        <v>54</v>
      </c>
      <c r="T1786" s="23">
        <v>-16150</v>
      </c>
      <c r="U1786" s="42">
        <v>-25500</v>
      </c>
      <c r="V1786" s="23">
        <f t="shared" si="611"/>
        <v>-41650</v>
      </c>
      <c r="W1786" s="20">
        <v>2500</v>
      </c>
      <c r="X1786" s="23">
        <f t="shared" si="612"/>
        <v>-44150</v>
      </c>
      <c r="Y1786" s="20">
        <v>-520250</v>
      </c>
    </row>
    <row r="1787" spans="1:25" ht="15.75" x14ac:dyDescent="0.25">
      <c r="A1787" s="41" t="s">
        <v>160</v>
      </c>
      <c r="B1787" s="23">
        <v>10948</v>
      </c>
      <c r="C1787" s="42">
        <v>0</v>
      </c>
      <c r="D1787" s="23">
        <f t="shared" si="607"/>
        <v>10948</v>
      </c>
      <c r="E1787" s="20">
        <v>0</v>
      </c>
      <c r="F1787" s="23">
        <f t="shared" si="608"/>
        <v>10948</v>
      </c>
      <c r="G1787" s="20">
        <v>-484927.5</v>
      </c>
      <c r="H1787">
        <v>128.85</v>
      </c>
      <c r="J1787" s="41" t="s">
        <v>160</v>
      </c>
      <c r="K1787" s="23">
        <v>-33701</v>
      </c>
      <c r="L1787" s="42">
        <v>20472.5</v>
      </c>
      <c r="M1787" s="23">
        <f t="shared" si="609"/>
        <v>-13228.5</v>
      </c>
      <c r="N1787" s="20">
        <v>-9119.9999999999982</v>
      </c>
      <c r="O1787" s="23">
        <f t="shared" si="610"/>
        <v>-4108.5000000000018</v>
      </c>
      <c r="P1787" s="20">
        <v>-457805</v>
      </c>
      <c r="Q1787">
        <v>128.5</v>
      </c>
      <c r="S1787" s="41" t="s">
        <v>160</v>
      </c>
      <c r="T1787" s="23">
        <v>-65763</v>
      </c>
      <c r="U1787" s="42">
        <v>75145</v>
      </c>
      <c r="V1787" s="23">
        <f t="shared" si="611"/>
        <v>9382</v>
      </c>
      <c r="W1787" s="20">
        <v>-3847.5</v>
      </c>
      <c r="X1787" s="23">
        <f t="shared" si="612"/>
        <v>13229.5</v>
      </c>
      <c r="Y1787" s="20">
        <v>-457805</v>
      </c>
    </row>
    <row r="1788" spans="1:25" ht="15.75" x14ac:dyDescent="0.25">
      <c r="A1788" s="41" t="s">
        <v>43</v>
      </c>
      <c r="B1788" s="23">
        <v>-46500</v>
      </c>
      <c r="C1788" s="42">
        <v>0</v>
      </c>
      <c r="D1788" s="23">
        <f t="shared" si="607"/>
        <v>-46500</v>
      </c>
      <c r="E1788" s="20">
        <v>0</v>
      </c>
      <c r="F1788" s="23">
        <f t="shared" si="608"/>
        <v>-46500</v>
      </c>
      <c r="G1788" s="20">
        <v>-470000</v>
      </c>
      <c r="H1788">
        <v>25.65</v>
      </c>
      <c r="J1788" s="41" t="s">
        <v>43</v>
      </c>
      <c r="K1788" s="23">
        <v>-15500</v>
      </c>
      <c r="L1788" s="42">
        <v>44500</v>
      </c>
      <c r="M1788" s="23">
        <f t="shared" si="609"/>
        <v>29000</v>
      </c>
      <c r="N1788" s="20">
        <v>-6000</v>
      </c>
      <c r="O1788" s="23">
        <f t="shared" si="610"/>
        <v>35000</v>
      </c>
      <c r="P1788" s="20">
        <v>-439500</v>
      </c>
      <c r="Q1788">
        <v>23.25</v>
      </c>
      <c r="S1788" s="41" t="s">
        <v>43</v>
      </c>
      <c r="T1788" s="23">
        <v>-52125</v>
      </c>
      <c r="U1788" s="42">
        <v>25250.000000000007</v>
      </c>
      <c r="V1788" s="23">
        <f t="shared" si="611"/>
        <v>-26874.999999999993</v>
      </c>
      <c r="W1788" s="20">
        <v>16000.000000000004</v>
      </c>
      <c r="X1788" s="23">
        <f t="shared" si="612"/>
        <v>-42875</v>
      </c>
      <c r="Y1788" s="20">
        <v>-439500</v>
      </c>
    </row>
    <row r="1789" spans="1:25" ht="15.75" x14ac:dyDescent="0.25">
      <c r="A1789" s="41" t="s">
        <v>159</v>
      </c>
      <c r="B1789" s="23">
        <v>-56227</v>
      </c>
      <c r="C1789" s="42">
        <v>0</v>
      </c>
      <c r="D1789" s="23">
        <f t="shared" si="607"/>
        <v>-56227</v>
      </c>
      <c r="E1789" s="20">
        <v>0</v>
      </c>
      <c r="F1789" s="23">
        <f t="shared" si="608"/>
        <v>-56227</v>
      </c>
      <c r="G1789" s="20">
        <v>-496125</v>
      </c>
      <c r="H1789">
        <v>27.7</v>
      </c>
      <c r="J1789" s="41" t="s">
        <v>159</v>
      </c>
      <c r="K1789" s="23">
        <v>-39082</v>
      </c>
      <c r="L1789" s="42">
        <v>130612.5</v>
      </c>
      <c r="M1789" s="23">
        <f t="shared" si="609"/>
        <v>91530.5</v>
      </c>
      <c r="N1789" s="20">
        <v>-39487.5</v>
      </c>
      <c r="O1789" s="23">
        <f t="shared" si="610"/>
        <v>131018</v>
      </c>
      <c r="P1789" s="20">
        <v>-527850</v>
      </c>
      <c r="Q1789">
        <v>25.15</v>
      </c>
      <c r="S1789" s="41" t="s">
        <v>159</v>
      </c>
      <c r="T1789" s="23">
        <v>-34087</v>
      </c>
      <c r="U1789" s="42">
        <v>149512.5</v>
      </c>
      <c r="V1789" s="23">
        <f t="shared" si="611"/>
        <v>115425.5</v>
      </c>
      <c r="W1789" s="20">
        <v>15187.5</v>
      </c>
      <c r="X1789" s="23">
        <f t="shared" si="612"/>
        <v>100238</v>
      </c>
      <c r="Y1789" s="20">
        <v>-527850</v>
      </c>
    </row>
    <row r="1790" spans="1:25" ht="15.75" x14ac:dyDescent="0.25">
      <c r="A1790" s="41" t="s">
        <v>40</v>
      </c>
      <c r="B1790" s="23">
        <v>-37675</v>
      </c>
      <c r="C1790" s="42">
        <v>0</v>
      </c>
      <c r="D1790" s="23">
        <f t="shared" si="607"/>
        <v>-37675</v>
      </c>
      <c r="E1790" s="20">
        <v>0</v>
      </c>
      <c r="F1790" s="23">
        <f t="shared" si="608"/>
        <v>-37675</v>
      </c>
      <c r="G1790" s="20">
        <v>-423500</v>
      </c>
      <c r="H1790">
        <v>18.799999999999997</v>
      </c>
      <c r="J1790" s="41" t="s">
        <v>40</v>
      </c>
      <c r="K1790" s="23">
        <v>-12100</v>
      </c>
      <c r="L1790" s="42">
        <v>60500</v>
      </c>
      <c r="M1790" s="23">
        <f t="shared" si="609"/>
        <v>48400</v>
      </c>
      <c r="N1790" s="20">
        <v>-17600</v>
      </c>
      <c r="O1790" s="23">
        <f t="shared" si="610"/>
        <v>66000</v>
      </c>
      <c r="P1790" s="20">
        <v>-442200</v>
      </c>
      <c r="Q1790">
        <v>16.7</v>
      </c>
      <c r="S1790" s="41" t="s">
        <v>40</v>
      </c>
      <c r="T1790" s="23">
        <v>3850</v>
      </c>
      <c r="U1790" s="42">
        <v>122650</v>
      </c>
      <c r="V1790" s="23">
        <f t="shared" si="611"/>
        <v>126500</v>
      </c>
      <c r="W1790" s="20">
        <v>-28600</v>
      </c>
      <c r="X1790" s="23">
        <f t="shared" si="612"/>
        <v>155100</v>
      </c>
      <c r="Y1790" s="20">
        <v>-442200</v>
      </c>
    </row>
    <row r="1791" spans="1:25" ht="15.75" x14ac:dyDescent="0.25">
      <c r="A1791" s="41" t="s">
        <v>158</v>
      </c>
      <c r="B1791" s="23">
        <v>-1975</v>
      </c>
      <c r="C1791" s="42">
        <v>0</v>
      </c>
      <c r="D1791" s="23">
        <f t="shared" si="607"/>
        <v>-1975</v>
      </c>
      <c r="E1791" s="20">
        <v>0</v>
      </c>
      <c r="F1791" s="23">
        <f t="shared" si="608"/>
        <v>-1975</v>
      </c>
      <c r="G1791" s="20">
        <v>-406500</v>
      </c>
      <c r="H1791">
        <v>49.8</v>
      </c>
      <c r="J1791" s="41" t="s">
        <v>158</v>
      </c>
      <c r="K1791" s="23">
        <v>-14350</v>
      </c>
      <c r="L1791" s="42">
        <v>69500</v>
      </c>
      <c r="M1791" s="23">
        <f t="shared" si="609"/>
        <v>55150</v>
      </c>
      <c r="N1791" s="20">
        <v>-8000</v>
      </c>
      <c r="O1791" s="23">
        <f t="shared" si="610"/>
        <v>63150</v>
      </c>
      <c r="P1791" s="20">
        <v>-599000</v>
      </c>
      <c r="Q1791">
        <v>43.849999999999994</v>
      </c>
      <c r="S1791" s="41" t="s">
        <v>158</v>
      </c>
      <c r="T1791" s="23">
        <v>6075</v>
      </c>
      <c r="U1791" s="42">
        <v>33250</v>
      </c>
      <c r="V1791" s="23">
        <f t="shared" si="611"/>
        <v>39325</v>
      </c>
      <c r="W1791" s="20">
        <v>-22750</v>
      </c>
      <c r="X1791" s="23">
        <f t="shared" si="612"/>
        <v>62075</v>
      </c>
      <c r="Y1791" s="20">
        <v>-599000</v>
      </c>
    </row>
    <row r="1792" spans="1:25" ht="15.75" x14ac:dyDescent="0.25">
      <c r="A1792" s="41" t="s">
        <v>97</v>
      </c>
      <c r="B1792" s="23">
        <v>-6718</v>
      </c>
      <c r="C1792" s="42">
        <v>0</v>
      </c>
      <c r="D1792" s="23">
        <f t="shared" si="607"/>
        <v>-6718</v>
      </c>
      <c r="E1792" s="20">
        <v>0</v>
      </c>
      <c r="F1792" s="23">
        <f t="shared" si="608"/>
        <v>-6718</v>
      </c>
      <c r="G1792" s="20">
        <v>-463000</v>
      </c>
      <c r="H1792">
        <v>45.35</v>
      </c>
      <c r="J1792" s="41" t="s">
        <v>97</v>
      </c>
      <c r="K1792" s="23">
        <v>0</v>
      </c>
      <c r="L1792" s="42">
        <v>63500</v>
      </c>
      <c r="M1792" s="23">
        <f t="shared" si="609"/>
        <v>63500</v>
      </c>
      <c r="N1792" s="20">
        <v>21500</v>
      </c>
      <c r="O1792" s="23">
        <f t="shared" si="610"/>
        <v>42000</v>
      </c>
      <c r="P1792" s="20">
        <v>-535000</v>
      </c>
      <c r="Q1792">
        <v>43.9</v>
      </c>
      <c r="S1792" s="41" t="s">
        <v>97</v>
      </c>
      <c r="T1792" s="23">
        <v>-76187</v>
      </c>
      <c r="U1792" s="42">
        <v>66000.000000000015</v>
      </c>
      <c r="V1792" s="23">
        <f t="shared" si="611"/>
        <v>-10186.999999999985</v>
      </c>
      <c r="W1792" s="20">
        <v>-17250</v>
      </c>
      <c r="X1792" s="23">
        <f t="shared" si="612"/>
        <v>7063.0000000000146</v>
      </c>
      <c r="Y1792" s="20">
        <v>-535000</v>
      </c>
    </row>
    <row r="1793" spans="1:26" ht="15.75" x14ac:dyDescent="0.25">
      <c r="A1793" s="41" t="s">
        <v>84</v>
      </c>
      <c r="B1793" s="23">
        <v>-90015</v>
      </c>
      <c r="C1793" s="42">
        <v>0</v>
      </c>
      <c r="D1793" s="23">
        <f t="shared" si="607"/>
        <v>-90015</v>
      </c>
      <c r="E1793" s="20">
        <v>0</v>
      </c>
      <c r="F1793" s="23">
        <f t="shared" si="608"/>
        <v>-90015</v>
      </c>
      <c r="G1793" s="20">
        <v>-428400</v>
      </c>
      <c r="H1793">
        <v>18.3</v>
      </c>
      <c r="J1793" s="41" t="s">
        <v>84</v>
      </c>
      <c r="K1793" s="23">
        <v>-20825</v>
      </c>
      <c r="L1793" s="42">
        <v>-5525</v>
      </c>
      <c r="M1793" s="23">
        <f t="shared" si="609"/>
        <v>-26350</v>
      </c>
      <c r="N1793" s="20">
        <v>-4250</v>
      </c>
      <c r="O1793" s="23">
        <f t="shared" si="610"/>
        <v>-22100</v>
      </c>
      <c r="P1793" s="20">
        <v>-524450</v>
      </c>
      <c r="Q1793">
        <v>17.600000000000001</v>
      </c>
      <c r="S1793" s="41" t="s">
        <v>84</v>
      </c>
      <c r="T1793" s="23">
        <v>-59075</v>
      </c>
      <c r="U1793" s="42">
        <v>91800</v>
      </c>
      <c r="V1793" s="23">
        <f t="shared" si="611"/>
        <v>32725</v>
      </c>
      <c r="W1793" s="20">
        <v>18700</v>
      </c>
      <c r="X1793" s="23">
        <f t="shared" si="612"/>
        <v>14025</v>
      </c>
      <c r="Y1793" s="20">
        <v>-524450</v>
      </c>
    </row>
    <row r="1794" spans="1:26" ht="15.75" x14ac:dyDescent="0.25">
      <c r="A1794" s="41" t="s">
        <v>70</v>
      </c>
      <c r="B1794" s="23">
        <v>-49350</v>
      </c>
      <c r="C1794" s="42">
        <v>0</v>
      </c>
      <c r="D1794" s="23">
        <f t="shared" si="607"/>
        <v>-49350</v>
      </c>
      <c r="E1794" s="20">
        <v>0</v>
      </c>
      <c r="F1794" s="23">
        <f t="shared" si="608"/>
        <v>-49350</v>
      </c>
      <c r="G1794" s="20">
        <v>-483000</v>
      </c>
      <c r="H1794">
        <v>55.9</v>
      </c>
      <c r="J1794" s="41" t="s">
        <v>70</v>
      </c>
      <c r="K1794" s="23">
        <v>-700</v>
      </c>
      <c r="L1794" s="42">
        <v>-100345</v>
      </c>
      <c r="M1794" s="23">
        <f t="shared" si="609"/>
        <v>-101045</v>
      </c>
      <c r="N1794" s="20">
        <v>-16310</v>
      </c>
      <c r="O1794" s="23">
        <f t="shared" si="610"/>
        <v>-84735</v>
      </c>
      <c r="P1794" s="20">
        <v>-527450</v>
      </c>
      <c r="Q1794">
        <v>58</v>
      </c>
      <c r="S1794" s="41" t="s">
        <v>70</v>
      </c>
      <c r="T1794" s="23">
        <v>-25760</v>
      </c>
      <c r="U1794" s="42">
        <v>-26775</v>
      </c>
      <c r="V1794" s="23">
        <f t="shared" si="611"/>
        <v>-52535</v>
      </c>
      <c r="W1794" s="20">
        <v>-18025</v>
      </c>
      <c r="X1794" s="23">
        <f t="shared" si="612"/>
        <v>-34510</v>
      </c>
      <c r="Y1794" s="20">
        <v>-527450</v>
      </c>
    </row>
    <row r="1795" spans="1:26" ht="15.75" x14ac:dyDescent="0.25">
      <c r="A1795" s="41" t="s">
        <v>62</v>
      </c>
      <c r="B1795" s="23">
        <v>-1792</v>
      </c>
      <c r="C1795" s="42">
        <v>0</v>
      </c>
      <c r="D1795" s="23">
        <f t="shared" si="607"/>
        <v>-1792</v>
      </c>
      <c r="E1795" s="20">
        <v>0</v>
      </c>
      <c r="F1795" s="23">
        <f t="shared" si="608"/>
        <v>-1792</v>
      </c>
      <c r="G1795" s="23">
        <v>-485400</v>
      </c>
      <c r="H1795">
        <v>286</v>
      </c>
      <c r="J1795" s="41" t="s">
        <v>62</v>
      </c>
      <c r="K1795" s="23">
        <v>-12660</v>
      </c>
      <c r="L1795" s="42">
        <v>74400</v>
      </c>
      <c r="M1795" s="23">
        <f t="shared" si="609"/>
        <v>61740</v>
      </c>
      <c r="N1795" s="20">
        <v>-21420</v>
      </c>
      <c r="O1795" s="23">
        <f t="shared" si="610"/>
        <v>83160</v>
      </c>
      <c r="P1795" s="23">
        <v>-484800</v>
      </c>
      <c r="Q1795">
        <v>267.3</v>
      </c>
      <c r="S1795" s="41" t="s">
        <v>62</v>
      </c>
      <c r="T1795" s="23">
        <v>-100357</v>
      </c>
      <c r="U1795" s="42">
        <v>5910</v>
      </c>
      <c r="V1795" s="23">
        <f t="shared" si="611"/>
        <v>-94447</v>
      </c>
      <c r="W1795" s="20">
        <v>-23085</v>
      </c>
      <c r="X1795" s="23">
        <f t="shared" si="612"/>
        <v>-71362</v>
      </c>
      <c r="Y1795" s="23">
        <v>-484800</v>
      </c>
    </row>
    <row r="1796" spans="1:26" ht="15.75" x14ac:dyDescent="0.25">
      <c r="A1796" s="41" t="s">
        <v>85</v>
      </c>
      <c r="B1796" s="23">
        <v>11887</v>
      </c>
      <c r="C1796" s="42">
        <v>0</v>
      </c>
      <c r="D1796" s="23">
        <f t="shared" si="607"/>
        <v>11887</v>
      </c>
      <c r="E1796" s="20">
        <v>0</v>
      </c>
      <c r="F1796" s="23">
        <f t="shared" si="608"/>
        <v>11887</v>
      </c>
      <c r="G1796" s="23">
        <v>-450000</v>
      </c>
      <c r="H1796">
        <v>27.1</v>
      </c>
      <c r="J1796" s="41" t="s">
        <v>85</v>
      </c>
      <c r="K1796" s="23">
        <v>-3937</v>
      </c>
      <c r="L1796" s="42">
        <v>44850</v>
      </c>
      <c r="M1796" s="23">
        <f t="shared" si="609"/>
        <v>40913</v>
      </c>
      <c r="N1796" s="20">
        <v>-3000</v>
      </c>
      <c r="O1796" s="23">
        <f t="shared" si="610"/>
        <v>43913</v>
      </c>
      <c r="P1796" s="23">
        <v>-558000</v>
      </c>
      <c r="Q1796">
        <v>26</v>
      </c>
      <c r="S1796" s="41" t="s">
        <v>85</v>
      </c>
      <c r="T1796" s="23">
        <v>-42112</v>
      </c>
      <c r="U1796" s="42">
        <v>140700</v>
      </c>
      <c r="V1796" s="23">
        <f t="shared" si="611"/>
        <v>98588</v>
      </c>
      <c r="W1796" s="20">
        <v>-6900</v>
      </c>
      <c r="X1796" s="23">
        <f t="shared" si="612"/>
        <v>105488</v>
      </c>
      <c r="Y1796" s="23">
        <v>-558000</v>
      </c>
    </row>
    <row r="1797" spans="1:26" ht="15.75" x14ac:dyDescent="0.25">
      <c r="A1797" s="41" t="s">
        <v>142</v>
      </c>
      <c r="B1797" s="23">
        <v>7507</v>
      </c>
      <c r="C1797" s="42">
        <v>0</v>
      </c>
      <c r="D1797" s="23">
        <f t="shared" si="607"/>
        <v>7507</v>
      </c>
      <c r="E1797" s="20">
        <v>0</v>
      </c>
      <c r="F1797" s="23">
        <f t="shared" si="608"/>
        <v>7507</v>
      </c>
      <c r="G1797" s="23">
        <v>-414425</v>
      </c>
      <c r="H1797">
        <v>44.3</v>
      </c>
      <c r="J1797" s="41" t="s">
        <v>142</v>
      </c>
      <c r="K1797" s="23">
        <v>-1980</v>
      </c>
      <c r="L1797" s="42">
        <v>91300</v>
      </c>
      <c r="M1797" s="23">
        <f t="shared" si="609"/>
        <v>89320</v>
      </c>
      <c r="N1797" s="20">
        <v>-275</v>
      </c>
      <c r="O1797" s="23">
        <f t="shared" si="610"/>
        <v>89595</v>
      </c>
      <c r="P1797" s="23">
        <v>-502150</v>
      </c>
      <c r="Q1797">
        <v>40.1</v>
      </c>
      <c r="S1797" s="41" t="s">
        <v>142</v>
      </c>
      <c r="T1797" s="23">
        <v>-65092</v>
      </c>
      <c r="U1797" s="42">
        <v>36025</v>
      </c>
      <c r="V1797" s="23">
        <f t="shared" si="611"/>
        <v>-29067</v>
      </c>
      <c r="W1797" s="20">
        <v>17875</v>
      </c>
      <c r="X1797" s="23">
        <f t="shared" si="612"/>
        <v>-46942</v>
      </c>
      <c r="Y1797" s="23">
        <v>-502150</v>
      </c>
    </row>
    <row r="1798" spans="1:26" ht="15.75" x14ac:dyDescent="0.25">
      <c r="A1798" s="41" t="s">
        <v>145</v>
      </c>
      <c r="B1798" s="23">
        <v>-262</v>
      </c>
      <c r="C1798" s="42">
        <v>0</v>
      </c>
      <c r="D1798" s="23">
        <f t="shared" si="607"/>
        <v>-262</v>
      </c>
      <c r="E1798" s="20">
        <v>0</v>
      </c>
      <c r="F1798" s="23">
        <f t="shared" si="608"/>
        <v>-262</v>
      </c>
      <c r="G1798" s="23">
        <v>-483700</v>
      </c>
      <c r="H1798">
        <v>87.6</v>
      </c>
      <c r="J1798" s="41" t="s">
        <v>145</v>
      </c>
      <c r="K1798" s="23">
        <v>-39217</v>
      </c>
      <c r="L1798" s="42">
        <v>58065.000000000007</v>
      </c>
      <c r="M1798" s="23">
        <f t="shared" si="609"/>
        <v>18848.000000000007</v>
      </c>
      <c r="N1798" s="20">
        <v>-3360.0000000000018</v>
      </c>
      <c r="O1798" s="23">
        <f t="shared" si="610"/>
        <v>22208.000000000007</v>
      </c>
      <c r="P1798" s="23">
        <v>-472150</v>
      </c>
      <c r="Q1798">
        <v>74.05</v>
      </c>
      <c r="S1798" s="41" t="s">
        <v>145</v>
      </c>
      <c r="T1798" s="23">
        <v>-227</v>
      </c>
      <c r="U1798" s="42">
        <v>170030</v>
      </c>
      <c r="V1798" s="23">
        <f t="shared" si="611"/>
        <v>169803</v>
      </c>
      <c r="W1798" s="20">
        <v>10640</v>
      </c>
      <c r="X1798" s="23">
        <f t="shared" si="612"/>
        <v>159163</v>
      </c>
      <c r="Y1798" s="23">
        <v>-472150</v>
      </c>
    </row>
    <row r="1799" spans="1:26" ht="15.75" x14ac:dyDescent="0.25">
      <c r="A1799" s="21" t="s">
        <v>107</v>
      </c>
      <c r="B1799" s="22">
        <f t="shared" ref="B1799:G1799" si="613">SUM(B1784:B1798)</f>
        <v>-383084</v>
      </c>
      <c r="C1799" s="18">
        <f t="shared" si="613"/>
        <v>0</v>
      </c>
      <c r="D1799" s="23">
        <f t="shared" si="613"/>
        <v>-383084</v>
      </c>
      <c r="E1799" s="18">
        <f t="shared" si="613"/>
        <v>0</v>
      </c>
      <c r="F1799" s="23">
        <f t="shared" si="613"/>
        <v>-383084</v>
      </c>
      <c r="G1799" s="17">
        <f t="shared" si="613"/>
        <v>-6880877.5</v>
      </c>
      <c r="J1799" s="21" t="s">
        <v>107</v>
      </c>
      <c r="K1799" s="22">
        <f t="shared" ref="K1799:P1799" si="614">SUM(K1784:K1798)</f>
        <v>-215249</v>
      </c>
      <c r="L1799" s="18">
        <f t="shared" si="614"/>
        <v>691140</v>
      </c>
      <c r="M1799" s="23">
        <f t="shared" si="614"/>
        <v>475891</v>
      </c>
      <c r="N1799" s="18">
        <f t="shared" si="614"/>
        <v>-94597.5</v>
      </c>
      <c r="O1799" s="23">
        <f t="shared" si="614"/>
        <v>570488.5</v>
      </c>
      <c r="P1799" s="17">
        <f t="shared" si="614"/>
        <v>-7611530</v>
      </c>
      <c r="S1799" s="21" t="s">
        <v>107</v>
      </c>
      <c r="T1799" s="22">
        <f t="shared" ref="T1799:Y1799" si="615">SUM(T1784:T1798)</f>
        <v>-652065</v>
      </c>
      <c r="U1799" s="18">
        <f t="shared" si="615"/>
        <v>941907.5</v>
      </c>
      <c r="V1799" s="23">
        <f t="shared" si="615"/>
        <v>289842.5</v>
      </c>
      <c r="W1799" s="18">
        <f t="shared" si="615"/>
        <v>5170</v>
      </c>
      <c r="X1799" s="23">
        <f t="shared" si="615"/>
        <v>284672.5</v>
      </c>
      <c r="Y1799" s="17">
        <f t="shared" si="615"/>
        <v>-7611530</v>
      </c>
    </row>
    <row r="1805" spans="1:26" ht="15.75" x14ac:dyDescent="0.25">
      <c r="A1805" s="107">
        <v>45436</v>
      </c>
      <c r="B1805" s="108"/>
      <c r="C1805" s="108"/>
      <c r="D1805" s="108"/>
      <c r="E1805" s="108"/>
      <c r="F1805" s="108"/>
      <c r="G1805" s="109"/>
      <c r="J1805" s="107">
        <v>45439</v>
      </c>
      <c r="K1805" s="108"/>
      <c r="L1805" s="108"/>
      <c r="M1805" s="108"/>
      <c r="N1805" s="108"/>
      <c r="O1805" s="108"/>
      <c r="P1805" s="109"/>
      <c r="S1805" s="107">
        <v>45440</v>
      </c>
      <c r="T1805" s="108"/>
      <c r="U1805" s="108"/>
      <c r="V1805" s="108"/>
      <c r="W1805" s="108"/>
      <c r="X1805" s="108"/>
      <c r="Y1805" s="109"/>
    </row>
    <row r="1806" spans="1:26" ht="15.75" x14ac:dyDescent="0.25">
      <c r="A1806" s="22" t="s">
        <v>34</v>
      </c>
      <c r="B1806" s="22" t="s">
        <v>104</v>
      </c>
      <c r="C1806" s="22" t="s">
        <v>105</v>
      </c>
      <c r="D1806" s="22" t="s">
        <v>112</v>
      </c>
      <c r="E1806" s="22" t="s">
        <v>106</v>
      </c>
      <c r="F1806" s="21" t="s">
        <v>108</v>
      </c>
      <c r="G1806" s="21" t="s">
        <v>28</v>
      </c>
      <c r="J1806" s="22" t="s">
        <v>34</v>
      </c>
      <c r="K1806" s="22" t="s">
        <v>104</v>
      </c>
      <c r="L1806" s="22" t="s">
        <v>105</v>
      </c>
      <c r="M1806" s="22" t="s">
        <v>112</v>
      </c>
      <c r="N1806" s="22" t="s">
        <v>106</v>
      </c>
      <c r="O1806" s="21" t="s">
        <v>108</v>
      </c>
      <c r="P1806" s="21" t="s">
        <v>28</v>
      </c>
      <c r="S1806" s="22" t="s">
        <v>34</v>
      </c>
      <c r="T1806" s="22" t="s">
        <v>104</v>
      </c>
      <c r="U1806" s="22" t="s">
        <v>105</v>
      </c>
      <c r="V1806" s="22" t="s">
        <v>112</v>
      </c>
      <c r="W1806" s="22" t="s">
        <v>106</v>
      </c>
      <c r="X1806" s="21" t="s">
        <v>108</v>
      </c>
      <c r="Y1806" s="21" t="s">
        <v>28</v>
      </c>
    </row>
    <row r="1807" spans="1:26" ht="15.75" x14ac:dyDescent="0.25">
      <c r="A1807" s="41" t="s">
        <v>83</v>
      </c>
      <c r="B1807" s="23">
        <v>-7425</v>
      </c>
      <c r="C1807" s="20">
        <v>60750</v>
      </c>
      <c r="D1807" s="23">
        <f t="shared" ref="D1807:D1821" si="616">+C1807+B1807</f>
        <v>53325</v>
      </c>
      <c r="E1807" s="20">
        <v>-11475</v>
      </c>
      <c r="F1807" s="23">
        <f t="shared" ref="F1807:F1821" si="617">+B1807+C1807-E1807</f>
        <v>64800</v>
      </c>
      <c r="G1807" s="20">
        <v>-542700</v>
      </c>
      <c r="H1807">
        <v>3.8</v>
      </c>
      <c r="J1807" s="41" t="s">
        <v>83</v>
      </c>
      <c r="K1807" s="23">
        <v>-105300</v>
      </c>
      <c r="L1807" s="20">
        <v>150525</v>
      </c>
      <c r="M1807" s="23">
        <f t="shared" ref="M1807:M1821" si="618">+L1807+K1807</f>
        <v>45225</v>
      </c>
      <c r="N1807" s="20">
        <v>22950</v>
      </c>
      <c r="O1807" s="23">
        <f t="shared" ref="O1807:O1821" si="619">+K1807+L1807-N1807</f>
        <v>22275</v>
      </c>
      <c r="P1807" s="20">
        <v>-634500</v>
      </c>
      <c r="Q1807">
        <v>3.3</v>
      </c>
      <c r="S1807" s="41" t="s">
        <v>83</v>
      </c>
      <c r="T1807" s="23">
        <v>72225</v>
      </c>
      <c r="U1807" s="20">
        <v>8100</v>
      </c>
      <c r="V1807" s="23">
        <f t="shared" ref="V1807:V1821" si="620">+U1807+T1807</f>
        <v>80325</v>
      </c>
      <c r="W1807" s="20">
        <v>16875</v>
      </c>
      <c r="X1807" s="23">
        <f t="shared" ref="X1807:X1821" si="621">+T1807+U1807-W1807</f>
        <v>63450</v>
      </c>
      <c r="Y1807" s="20">
        <v>-644625</v>
      </c>
      <c r="Z1807">
        <v>2.7</v>
      </c>
    </row>
    <row r="1808" spans="1:26" ht="15.75" x14ac:dyDescent="0.25">
      <c r="A1808" s="41" t="s">
        <v>42</v>
      </c>
      <c r="B1808" s="23">
        <v>-83980</v>
      </c>
      <c r="C1808" s="20">
        <v>-112480.00000000001</v>
      </c>
      <c r="D1808" s="23">
        <f t="shared" si="616"/>
        <v>-196460</v>
      </c>
      <c r="E1808" s="20">
        <v>-20995</v>
      </c>
      <c r="F1808" s="23">
        <f t="shared" si="617"/>
        <v>-175465</v>
      </c>
      <c r="G1808" s="20">
        <v>-806550</v>
      </c>
      <c r="H1808">
        <v>15.399999999999999</v>
      </c>
      <c r="J1808" s="41" t="s">
        <v>42</v>
      </c>
      <c r="K1808" s="23">
        <v>-219545</v>
      </c>
      <c r="L1808" s="20">
        <v>399950</v>
      </c>
      <c r="M1808" s="23">
        <f t="shared" si="618"/>
        <v>180405</v>
      </c>
      <c r="N1808" s="20">
        <v>18810</v>
      </c>
      <c r="O1808" s="23">
        <f t="shared" si="619"/>
        <v>161595</v>
      </c>
      <c r="P1808" s="20">
        <v>-510150</v>
      </c>
      <c r="Q1808">
        <v>13.25</v>
      </c>
      <c r="S1808" s="41" t="s">
        <v>42</v>
      </c>
      <c r="T1808" s="23">
        <v>-49020</v>
      </c>
      <c r="U1808" s="20">
        <v>121600</v>
      </c>
      <c r="V1808" s="23">
        <f t="shared" si="620"/>
        <v>72580</v>
      </c>
      <c r="W1808" s="20">
        <v>27075</v>
      </c>
      <c r="X1808" s="23">
        <f t="shared" si="621"/>
        <v>45505</v>
      </c>
      <c r="Y1808" s="20">
        <v>-378100</v>
      </c>
      <c r="Z1808">
        <v>8.8500000000000014</v>
      </c>
    </row>
    <row r="1809" spans="1:26" ht="15.75" x14ac:dyDescent="0.25">
      <c r="A1809" s="41" t="s">
        <v>54</v>
      </c>
      <c r="B1809" s="23">
        <v>44350</v>
      </c>
      <c r="C1809" s="20">
        <v>98999.999999999985</v>
      </c>
      <c r="D1809" s="23">
        <f t="shared" si="616"/>
        <v>143350</v>
      </c>
      <c r="E1809" s="20">
        <v>-42249.999999999993</v>
      </c>
      <c r="F1809" s="23">
        <f t="shared" si="617"/>
        <v>185600</v>
      </c>
      <c r="G1809" s="20">
        <v>-830500</v>
      </c>
      <c r="H1809">
        <v>39.400000000000006</v>
      </c>
      <c r="J1809" s="41" t="s">
        <v>54</v>
      </c>
      <c r="K1809" s="23">
        <v>-52650</v>
      </c>
      <c r="L1809" s="20">
        <v>253250</v>
      </c>
      <c r="M1809" s="23">
        <f t="shared" si="618"/>
        <v>200600</v>
      </c>
      <c r="N1809" s="20">
        <v>20250</v>
      </c>
      <c r="O1809" s="23">
        <f t="shared" si="619"/>
        <v>180350</v>
      </c>
      <c r="P1809" s="20">
        <v>-563000</v>
      </c>
      <c r="Q1809">
        <v>33.4</v>
      </c>
      <c r="S1809" s="41" t="s">
        <v>54</v>
      </c>
      <c r="T1809" s="23">
        <v>189750</v>
      </c>
      <c r="U1809" s="20">
        <v>-101000</v>
      </c>
      <c r="V1809" s="23">
        <f t="shared" si="620"/>
        <v>88750</v>
      </c>
      <c r="W1809" s="20">
        <v>18000</v>
      </c>
      <c r="X1809" s="23">
        <f t="shared" si="621"/>
        <v>70750</v>
      </c>
      <c r="Y1809" s="20">
        <v>-424000</v>
      </c>
      <c r="Z1809">
        <v>24.75</v>
      </c>
    </row>
    <row r="1810" spans="1:26" ht="15.75" x14ac:dyDescent="0.25">
      <c r="A1810" s="41" t="s">
        <v>160</v>
      </c>
      <c r="B1810" s="23">
        <v>54625</v>
      </c>
      <c r="C1810" s="20">
        <v>-91105</v>
      </c>
      <c r="D1810" s="23">
        <f t="shared" si="616"/>
        <v>-36480</v>
      </c>
      <c r="E1810" s="20">
        <v>-16957.5</v>
      </c>
      <c r="F1810" s="23">
        <f t="shared" si="617"/>
        <v>-19522.5</v>
      </c>
      <c r="G1810" s="20">
        <v>-437712.5</v>
      </c>
      <c r="H1810">
        <v>98.25</v>
      </c>
      <c r="J1810" s="41" t="s">
        <v>160</v>
      </c>
      <c r="K1810" s="23">
        <v>-21707</v>
      </c>
      <c r="L1810" s="20">
        <v>-69112.5</v>
      </c>
      <c r="M1810" s="23">
        <f t="shared" si="618"/>
        <v>-90819.5</v>
      </c>
      <c r="N1810" s="20">
        <v>31540</v>
      </c>
      <c r="O1810" s="23">
        <f t="shared" si="619"/>
        <v>-122359.5</v>
      </c>
      <c r="P1810" s="20">
        <v>0</v>
      </c>
      <c r="Q1810">
        <v>79.3</v>
      </c>
      <c r="S1810" s="41" t="s">
        <v>160</v>
      </c>
      <c r="T1810" s="23"/>
      <c r="U1810" s="20">
        <v>0</v>
      </c>
      <c r="V1810" s="23">
        <f t="shared" si="620"/>
        <v>0</v>
      </c>
      <c r="W1810" s="20">
        <v>0</v>
      </c>
      <c r="X1810" s="23">
        <f t="shared" si="621"/>
        <v>0</v>
      </c>
      <c r="Y1810" s="20">
        <v>0</v>
      </c>
      <c r="Z1810">
        <v>61</v>
      </c>
    </row>
    <row r="1811" spans="1:26" ht="15.75" x14ac:dyDescent="0.25">
      <c r="A1811" s="41" t="s">
        <v>43</v>
      </c>
      <c r="B1811" s="23">
        <v>-46375</v>
      </c>
      <c r="C1811" s="20">
        <v>106750</v>
      </c>
      <c r="D1811" s="23">
        <f t="shared" si="616"/>
        <v>60375</v>
      </c>
      <c r="E1811" s="20">
        <v>-40000</v>
      </c>
      <c r="F1811" s="23">
        <f t="shared" si="617"/>
        <v>100375</v>
      </c>
      <c r="G1811" s="20">
        <v>-465000</v>
      </c>
      <c r="H1811">
        <v>15.700000000000001</v>
      </c>
      <c r="J1811" s="41" t="s">
        <v>43</v>
      </c>
      <c r="K1811" s="23">
        <v>-91875</v>
      </c>
      <c r="L1811" s="20">
        <v>103750</v>
      </c>
      <c r="M1811" s="23">
        <f t="shared" si="618"/>
        <v>11875</v>
      </c>
      <c r="N1811" s="20">
        <v>34750</v>
      </c>
      <c r="O1811" s="23">
        <f t="shared" si="619"/>
        <v>-22875</v>
      </c>
      <c r="P1811" s="20">
        <v>-440000</v>
      </c>
      <c r="Q1811">
        <v>13.549999999999999</v>
      </c>
      <c r="S1811" s="41" t="s">
        <v>43</v>
      </c>
      <c r="T1811" s="23">
        <v>3062</v>
      </c>
      <c r="U1811" s="20">
        <v>78000</v>
      </c>
      <c r="V1811" s="23">
        <f t="shared" si="620"/>
        <v>81062</v>
      </c>
      <c r="W1811" s="20">
        <v>37250</v>
      </c>
      <c r="X1811" s="23">
        <f t="shared" si="621"/>
        <v>43812</v>
      </c>
      <c r="Y1811" s="20">
        <v>-305750</v>
      </c>
      <c r="Z1811">
        <v>10.149999999999999</v>
      </c>
    </row>
    <row r="1812" spans="1:26" ht="15.75" x14ac:dyDescent="0.25">
      <c r="A1812" s="41" t="s">
        <v>159</v>
      </c>
      <c r="B1812" s="23">
        <v>-174217</v>
      </c>
      <c r="C1812" s="20">
        <v>182925</v>
      </c>
      <c r="D1812" s="23">
        <f t="shared" si="616"/>
        <v>8708</v>
      </c>
      <c r="E1812" s="20">
        <v>675</v>
      </c>
      <c r="F1812" s="23">
        <f t="shared" si="617"/>
        <v>8033</v>
      </c>
      <c r="G1812" s="20">
        <v>-677025</v>
      </c>
      <c r="H1812">
        <v>18.649999999999999</v>
      </c>
      <c r="J1812" s="41" t="s">
        <v>159</v>
      </c>
      <c r="K1812" s="23">
        <v>-399870</v>
      </c>
      <c r="L1812" s="20">
        <v>-2025</v>
      </c>
      <c r="M1812" s="23">
        <f t="shared" si="618"/>
        <v>-401895</v>
      </c>
      <c r="N1812" s="20">
        <v>8775</v>
      </c>
      <c r="O1812" s="23">
        <f t="shared" si="619"/>
        <v>-410670</v>
      </c>
      <c r="P1812" s="20">
        <v>-714150</v>
      </c>
      <c r="Q1812">
        <v>18.3</v>
      </c>
      <c r="S1812" s="41" t="s">
        <v>159</v>
      </c>
      <c r="T1812" s="23">
        <v>-31522</v>
      </c>
      <c r="U1812" s="20">
        <v>-100575</v>
      </c>
      <c r="V1812" s="23">
        <f t="shared" si="620"/>
        <v>-132097</v>
      </c>
      <c r="W1812" s="20">
        <v>43875</v>
      </c>
      <c r="X1812" s="23">
        <f t="shared" si="621"/>
        <v>-175972</v>
      </c>
      <c r="Y1812" s="20">
        <v>-222750</v>
      </c>
      <c r="Z1812">
        <v>14.65</v>
      </c>
    </row>
    <row r="1813" spans="1:26" ht="15.75" x14ac:dyDescent="0.25">
      <c r="A1813" s="41" t="s">
        <v>40</v>
      </c>
      <c r="B1813" s="23">
        <v>-42075</v>
      </c>
      <c r="C1813" s="20">
        <v>268950</v>
      </c>
      <c r="D1813" s="23">
        <f t="shared" si="616"/>
        <v>226875</v>
      </c>
      <c r="E1813" s="20">
        <v>6050</v>
      </c>
      <c r="F1813" s="23">
        <f t="shared" si="617"/>
        <v>220825</v>
      </c>
      <c r="G1813" s="20">
        <v>-528825</v>
      </c>
      <c r="H1813">
        <v>11.65</v>
      </c>
      <c r="J1813" s="41" t="s">
        <v>40</v>
      </c>
      <c r="K1813" s="23">
        <v>-56168</v>
      </c>
      <c r="L1813" s="20">
        <v>166925.00000000003</v>
      </c>
      <c r="M1813" s="23">
        <f t="shared" si="618"/>
        <v>110757.00000000003</v>
      </c>
      <c r="N1813" s="20">
        <v>67650</v>
      </c>
      <c r="O1813" s="23">
        <f t="shared" si="619"/>
        <v>43107.000000000029</v>
      </c>
      <c r="P1813" s="20">
        <v>-306350</v>
      </c>
      <c r="Q1813">
        <v>10.25</v>
      </c>
      <c r="S1813" s="41" t="s">
        <v>40</v>
      </c>
      <c r="T1813" s="23">
        <v>-181706</v>
      </c>
      <c r="U1813" s="20">
        <v>-181225</v>
      </c>
      <c r="V1813" s="23">
        <f t="shared" si="620"/>
        <v>-362931</v>
      </c>
      <c r="W1813" s="20">
        <v>-18837.5</v>
      </c>
      <c r="X1813" s="23">
        <f t="shared" si="621"/>
        <v>-344093.5</v>
      </c>
      <c r="Y1813" s="20">
        <v>0</v>
      </c>
      <c r="Z1813">
        <v>11.75</v>
      </c>
    </row>
    <row r="1814" spans="1:26" ht="15.75" x14ac:dyDescent="0.25">
      <c r="A1814" s="41" t="s">
        <v>158</v>
      </c>
      <c r="B1814" s="23">
        <v>-46250</v>
      </c>
      <c r="C1814" s="20">
        <v>118750</v>
      </c>
      <c r="D1814" s="23">
        <f t="shared" si="616"/>
        <v>72500</v>
      </c>
      <c r="E1814" s="20">
        <v>3750.0000000000036</v>
      </c>
      <c r="F1814" s="23">
        <f t="shared" si="617"/>
        <v>68750</v>
      </c>
      <c r="G1814" s="20">
        <v>-676250</v>
      </c>
      <c r="H1814">
        <v>32.85</v>
      </c>
      <c r="J1814" s="41" t="s">
        <v>158</v>
      </c>
      <c r="K1814" s="23">
        <v>-73800</v>
      </c>
      <c r="L1814" s="20">
        <v>155250</v>
      </c>
      <c r="M1814" s="23">
        <f t="shared" si="618"/>
        <v>81450</v>
      </c>
      <c r="N1814" s="20">
        <v>38250</v>
      </c>
      <c r="O1814" s="23">
        <f t="shared" si="619"/>
        <v>43200</v>
      </c>
      <c r="P1814" s="20">
        <v>0</v>
      </c>
      <c r="Q1814">
        <v>28</v>
      </c>
      <c r="S1814" s="41" t="s">
        <v>158</v>
      </c>
      <c r="T1814" s="23"/>
      <c r="U1814" s="20">
        <v>0</v>
      </c>
      <c r="V1814" s="23">
        <f t="shared" si="620"/>
        <v>0</v>
      </c>
      <c r="W1814" s="20">
        <v>0</v>
      </c>
      <c r="X1814" s="23">
        <f t="shared" si="621"/>
        <v>0</v>
      </c>
      <c r="Y1814" s="20">
        <v>0</v>
      </c>
      <c r="Z1814">
        <v>21.7</v>
      </c>
    </row>
    <row r="1815" spans="1:26" ht="15.75" x14ac:dyDescent="0.25">
      <c r="A1815" s="41" t="s">
        <v>97</v>
      </c>
      <c r="B1815" s="23">
        <v>20375</v>
      </c>
      <c r="C1815" s="20">
        <v>109250</v>
      </c>
      <c r="D1815" s="23">
        <f t="shared" si="616"/>
        <v>129625</v>
      </c>
      <c r="E1815" s="20">
        <v>19500</v>
      </c>
      <c r="F1815" s="23">
        <f t="shared" si="617"/>
        <v>110125</v>
      </c>
      <c r="G1815" s="20">
        <v>-599000</v>
      </c>
      <c r="H1815">
        <v>29.3</v>
      </c>
      <c r="J1815" s="41" t="s">
        <v>97</v>
      </c>
      <c r="K1815" s="23">
        <v>-10532</v>
      </c>
      <c r="L1815" s="20">
        <v>83750</v>
      </c>
      <c r="M1815" s="23">
        <f t="shared" si="618"/>
        <v>73218</v>
      </c>
      <c r="N1815" s="20">
        <v>-5500</v>
      </c>
      <c r="O1815" s="23">
        <f t="shared" si="619"/>
        <v>78718</v>
      </c>
      <c r="P1815" s="20">
        <v>-494000</v>
      </c>
      <c r="Q1815">
        <v>23.25</v>
      </c>
      <c r="S1815" s="41" t="s">
        <v>97</v>
      </c>
      <c r="T1815" s="23">
        <v>-24468</v>
      </c>
      <c r="U1815" s="20">
        <v>72500</v>
      </c>
      <c r="V1815" s="23">
        <f t="shared" si="620"/>
        <v>48032</v>
      </c>
      <c r="W1815" s="20">
        <v>-22000</v>
      </c>
      <c r="X1815" s="23">
        <f t="shared" si="621"/>
        <v>70032</v>
      </c>
      <c r="Y1815" s="20">
        <v>-567000</v>
      </c>
      <c r="Z1815">
        <v>17.200000000000003</v>
      </c>
    </row>
    <row r="1816" spans="1:26" ht="15.75" x14ac:dyDescent="0.25">
      <c r="A1816" s="41" t="s">
        <v>84</v>
      </c>
      <c r="B1816" s="23">
        <v>45900</v>
      </c>
      <c r="C1816" s="20">
        <v>-90525</v>
      </c>
      <c r="D1816" s="23">
        <f t="shared" si="616"/>
        <v>-44625</v>
      </c>
      <c r="E1816" s="20">
        <v>1275</v>
      </c>
      <c r="F1816" s="23">
        <f t="shared" si="617"/>
        <v>-45900</v>
      </c>
      <c r="G1816" s="20">
        <v>-393125</v>
      </c>
      <c r="H1816">
        <v>12.8</v>
      </c>
      <c r="J1816" s="41" t="s">
        <v>84</v>
      </c>
      <c r="K1816" s="23">
        <v>-18020</v>
      </c>
      <c r="L1816" s="20">
        <v>201025</v>
      </c>
      <c r="M1816" s="23">
        <f t="shared" si="618"/>
        <v>183005</v>
      </c>
      <c r="N1816" s="20">
        <v>46325</v>
      </c>
      <c r="O1816" s="23">
        <f t="shared" si="619"/>
        <v>136680</v>
      </c>
      <c r="P1816" s="20">
        <v>-488750</v>
      </c>
      <c r="Q1816">
        <v>9.3999999999999986</v>
      </c>
      <c r="S1816" s="41" t="s">
        <v>84</v>
      </c>
      <c r="T1816" s="23">
        <v>-149600</v>
      </c>
      <c r="U1816" s="20">
        <v>-35275</v>
      </c>
      <c r="V1816" s="23">
        <f t="shared" si="620"/>
        <v>-184875</v>
      </c>
      <c r="W1816" s="20">
        <v>27625</v>
      </c>
      <c r="X1816" s="23">
        <f t="shared" si="621"/>
        <v>-212500</v>
      </c>
      <c r="Y1816" s="20">
        <v>-183600</v>
      </c>
      <c r="Z1816">
        <v>10.199999999999999</v>
      </c>
    </row>
    <row r="1817" spans="1:26" ht="15.75" x14ac:dyDescent="0.25">
      <c r="A1817" s="41" t="s">
        <v>70</v>
      </c>
      <c r="B1817" s="23">
        <v>-105105</v>
      </c>
      <c r="C1817" s="20">
        <v>66850</v>
      </c>
      <c r="D1817" s="23">
        <f t="shared" si="616"/>
        <v>-38255</v>
      </c>
      <c r="E1817" s="20">
        <v>-13475</v>
      </c>
      <c r="F1817" s="23">
        <f t="shared" si="617"/>
        <v>-24780</v>
      </c>
      <c r="G1817" s="20">
        <v>-833000</v>
      </c>
      <c r="H1817">
        <v>57.05</v>
      </c>
      <c r="J1817" s="41" t="s">
        <v>70</v>
      </c>
      <c r="K1817" s="23">
        <f>616245-353430</f>
        <v>262815</v>
      </c>
      <c r="L1817" s="20">
        <v>179900</v>
      </c>
      <c r="M1817" s="23">
        <f t="shared" si="618"/>
        <v>442715</v>
      </c>
      <c r="N1817" s="20">
        <v>-50750</v>
      </c>
      <c r="O1817" s="23">
        <f t="shared" si="619"/>
        <v>493465</v>
      </c>
      <c r="P1817" s="20">
        <v>0</v>
      </c>
      <c r="Q1817">
        <v>34.049999999999997</v>
      </c>
      <c r="S1817" s="41" t="s">
        <v>70</v>
      </c>
      <c r="T1817" s="23"/>
      <c r="U1817" s="20">
        <v>0</v>
      </c>
      <c r="V1817" s="23">
        <f t="shared" si="620"/>
        <v>0</v>
      </c>
      <c r="W1817" s="20">
        <v>0</v>
      </c>
      <c r="X1817" s="23">
        <f t="shared" si="621"/>
        <v>0</v>
      </c>
      <c r="Y1817" s="20">
        <v>0</v>
      </c>
      <c r="Z1817">
        <v>24.1</v>
      </c>
    </row>
    <row r="1818" spans="1:26" ht="15.75" x14ac:dyDescent="0.25">
      <c r="A1818" s="41" t="s">
        <v>62</v>
      </c>
      <c r="B1818" s="23">
        <v>116737</v>
      </c>
      <c r="C1818" s="20">
        <v>50325</v>
      </c>
      <c r="D1818" s="23">
        <f t="shared" si="616"/>
        <v>167062</v>
      </c>
      <c r="E1818" s="20">
        <v>-1650</v>
      </c>
      <c r="F1818" s="23">
        <f t="shared" si="617"/>
        <v>168712</v>
      </c>
      <c r="G1818" s="23">
        <v>-533235</v>
      </c>
      <c r="H1818">
        <v>189.15</v>
      </c>
      <c r="J1818" s="41" t="s">
        <v>62</v>
      </c>
      <c r="K1818" s="23">
        <v>51547</v>
      </c>
      <c r="L1818" s="20">
        <v>65745</v>
      </c>
      <c r="M1818" s="23">
        <f t="shared" si="618"/>
        <v>117292</v>
      </c>
      <c r="N1818" s="20">
        <v>58755</v>
      </c>
      <c r="O1818" s="23">
        <f t="shared" si="619"/>
        <v>58537</v>
      </c>
      <c r="P1818" s="23">
        <v>-686265</v>
      </c>
      <c r="Q1818">
        <v>150.65</v>
      </c>
      <c r="S1818" s="41" t="s">
        <v>62</v>
      </c>
      <c r="T1818" s="23">
        <v>348127</v>
      </c>
      <c r="U1818" s="20">
        <v>-529935</v>
      </c>
      <c r="V1818" s="23">
        <f t="shared" si="620"/>
        <v>-181808</v>
      </c>
      <c r="W1818" s="20">
        <v>-38310</v>
      </c>
      <c r="X1818" s="23">
        <f t="shared" si="621"/>
        <v>-143498</v>
      </c>
      <c r="Y1818" s="23">
        <v>0</v>
      </c>
      <c r="Z1818">
        <v>119.85</v>
      </c>
    </row>
    <row r="1819" spans="1:26" ht="15.75" x14ac:dyDescent="0.25">
      <c r="A1819" s="41" t="s">
        <v>85</v>
      </c>
      <c r="B1819" s="23">
        <v>-19950</v>
      </c>
      <c r="C1819" s="20">
        <v>50700</v>
      </c>
      <c r="D1819" s="23">
        <f t="shared" si="616"/>
        <v>30750</v>
      </c>
      <c r="E1819" s="20">
        <v>19800</v>
      </c>
      <c r="F1819" s="23">
        <f t="shared" si="617"/>
        <v>10950</v>
      </c>
      <c r="G1819" s="23">
        <v>-711750</v>
      </c>
      <c r="H1819">
        <v>19.75</v>
      </c>
      <c r="J1819" s="41" t="s">
        <v>85</v>
      </c>
      <c r="K1819" s="23">
        <v>-137400</v>
      </c>
      <c r="L1819" s="20">
        <v>220800</v>
      </c>
      <c r="M1819" s="23">
        <f t="shared" si="618"/>
        <v>83400</v>
      </c>
      <c r="N1819" s="20">
        <v>10500</v>
      </c>
      <c r="O1819" s="23">
        <f t="shared" si="619"/>
        <v>72900</v>
      </c>
      <c r="P1819" s="23">
        <v>-649500</v>
      </c>
      <c r="Q1819">
        <v>16.149999999999999</v>
      </c>
      <c r="S1819" s="41" t="s">
        <v>85</v>
      </c>
      <c r="T1819" s="23">
        <v>-23625</v>
      </c>
      <c r="U1819" s="20">
        <v>159000</v>
      </c>
      <c r="V1819" s="23">
        <f t="shared" si="620"/>
        <v>135375</v>
      </c>
      <c r="W1819" s="20">
        <v>14250</v>
      </c>
      <c r="X1819" s="23">
        <f t="shared" si="621"/>
        <v>121125</v>
      </c>
      <c r="Y1819" s="23">
        <v>0</v>
      </c>
      <c r="Z1819">
        <v>14.35</v>
      </c>
    </row>
    <row r="1820" spans="1:26" ht="15.75" x14ac:dyDescent="0.25">
      <c r="A1820" s="41" t="s">
        <v>142</v>
      </c>
      <c r="B1820" s="23">
        <v>-230285</v>
      </c>
      <c r="C1820" s="20">
        <v>10615</v>
      </c>
      <c r="D1820" s="23">
        <f t="shared" si="616"/>
        <v>-219670</v>
      </c>
      <c r="E1820" s="20">
        <v>21065</v>
      </c>
      <c r="F1820" s="23">
        <f t="shared" si="617"/>
        <v>-240735</v>
      </c>
      <c r="G1820" s="23">
        <v>-555225</v>
      </c>
      <c r="H1820">
        <v>33.25</v>
      </c>
      <c r="J1820" s="41" t="s">
        <v>142</v>
      </c>
      <c r="K1820" s="23">
        <v>-55</v>
      </c>
      <c r="L1820" s="20">
        <v>259655</v>
      </c>
      <c r="M1820" s="23">
        <f t="shared" si="618"/>
        <v>259600</v>
      </c>
      <c r="N1820" s="20">
        <v>10340</v>
      </c>
      <c r="O1820" s="23">
        <f t="shared" si="619"/>
        <v>249260</v>
      </c>
      <c r="P1820" s="23">
        <v>-663025</v>
      </c>
      <c r="Q1820">
        <v>31</v>
      </c>
      <c r="S1820" s="41" t="s">
        <v>142</v>
      </c>
      <c r="T1820" s="23">
        <v>-250992</v>
      </c>
      <c r="U1820" s="20">
        <v>38610.000000000029</v>
      </c>
      <c r="V1820" s="23">
        <f t="shared" si="620"/>
        <v>-212381.99999999997</v>
      </c>
      <c r="W1820" s="20">
        <v>47684.999999999993</v>
      </c>
      <c r="X1820" s="23">
        <f t="shared" si="621"/>
        <v>-260066.99999999997</v>
      </c>
      <c r="Y1820" s="23">
        <v>-276870</v>
      </c>
      <c r="Z1820">
        <v>25.950000000000003</v>
      </c>
    </row>
    <row r="1821" spans="1:26" ht="15.75" x14ac:dyDescent="0.25">
      <c r="A1821" s="41" t="s">
        <v>145</v>
      </c>
      <c r="B1821" s="23">
        <v>-209755</v>
      </c>
      <c r="C1821" s="20">
        <v>-197225</v>
      </c>
      <c r="D1821" s="23">
        <f t="shared" si="616"/>
        <v>-406980</v>
      </c>
      <c r="E1821" s="20">
        <v>36575</v>
      </c>
      <c r="F1821" s="23">
        <f t="shared" si="617"/>
        <v>-443555</v>
      </c>
      <c r="G1821" s="23">
        <v>-1135750</v>
      </c>
      <c r="H1821">
        <v>63.25</v>
      </c>
      <c r="J1821" s="41" t="s">
        <v>145</v>
      </c>
      <c r="K1821" s="23">
        <v>10535</v>
      </c>
      <c r="L1821" s="20">
        <v>334950</v>
      </c>
      <c r="M1821" s="23">
        <f t="shared" si="618"/>
        <v>345485</v>
      </c>
      <c r="N1821" s="20">
        <v>-83650</v>
      </c>
      <c r="O1821" s="23">
        <f t="shared" si="619"/>
        <v>429135</v>
      </c>
      <c r="P1821" s="23">
        <v>-883400</v>
      </c>
      <c r="Q1821">
        <v>52.05</v>
      </c>
      <c r="S1821" s="41" t="s">
        <v>145</v>
      </c>
      <c r="T1821" s="23">
        <v>-205677</v>
      </c>
      <c r="U1821" s="20">
        <v>298900</v>
      </c>
      <c r="V1821" s="23">
        <f t="shared" si="620"/>
        <v>93223</v>
      </c>
      <c r="W1821" s="20">
        <v>-46025</v>
      </c>
      <c r="X1821" s="23">
        <f t="shared" si="621"/>
        <v>139248</v>
      </c>
      <c r="Y1821" s="23">
        <v>-594685</v>
      </c>
      <c r="Z1821">
        <v>42</v>
      </c>
    </row>
    <row r="1822" spans="1:26" ht="15.75" x14ac:dyDescent="0.25">
      <c r="A1822" s="21" t="s">
        <v>107</v>
      </c>
      <c r="B1822" s="22">
        <f t="shared" ref="B1822:G1822" si="622">SUM(B1807:B1821)</f>
        <v>-683430</v>
      </c>
      <c r="C1822" s="18">
        <f t="shared" si="622"/>
        <v>633530</v>
      </c>
      <c r="D1822" s="23">
        <f t="shared" si="622"/>
        <v>-49900</v>
      </c>
      <c r="E1822" s="18">
        <f t="shared" si="622"/>
        <v>-38112.5</v>
      </c>
      <c r="F1822" s="23">
        <f t="shared" si="622"/>
        <v>-11787.5</v>
      </c>
      <c r="G1822" s="17">
        <f t="shared" si="622"/>
        <v>-9725647.5</v>
      </c>
      <c r="J1822" s="21" t="s">
        <v>107</v>
      </c>
      <c r="K1822" s="22">
        <f t="shared" ref="K1822:P1822" si="623">SUM(K1807:K1821)</f>
        <v>-862025</v>
      </c>
      <c r="L1822" s="18">
        <f t="shared" si="623"/>
        <v>2504337.5</v>
      </c>
      <c r="M1822" s="23">
        <f t="shared" si="623"/>
        <v>1642312.5</v>
      </c>
      <c r="N1822" s="18">
        <f t="shared" si="623"/>
        <v>228995</v>
      </c>
      <c r="O1822" s="23">
        <f t="shared" si="623"/>
        <v>1413317.5</v>
      </c>
      <c r="P1822" s="17">
        <f t="shared" si="623"/>
        <v>-7033090</v>
      </c>
      <c r="S1822" s="21" t="s">
        <v>107</v>
      </c>
      <c r="T1822" s="22">
        <f t="shared" ref="T1822:Y1822" si="624">SUM(T1807:T1821)</f>
        <v>-303446</v>
      </c>
      <c r="U1822" s="18">
        <f t="shared" si="624"/>
        <v>-171300</v>
      </c>
      <c r="V1822" s="23">
        <f t="shared" si="624"/>
        <v>-474746</v>
      </c>
      <c r="W1822" s="18">
        <f t="shared" si="624"/>
        <v>107462.5</v>
      </c>
      <c r="X1822" s="23">
        <f t="shared" si="624"/>
        <v>-582208.5</v>
      </c>
      <c r="Y1822" s="17">
        <f t="shared" si="624"/>
        <v>-3597380</v>
      </c>
    </row>
    <row r="1827" spans="1:11" ht="15.75" x14ac:dyDescent="0.25">
      <c r="A1827" s="107">
        <v>45441</v>
      </c>
      <c r="B1827" s="108"/>
      <c r="C1827" s="108"/>
      <c r="D1827" s="108"/>
      <c r="E1827" s="108"/>
      <c r="F1827" s="108"/>
      <c r="G1827" s="109"/>
    </row>
    <row r="1828" spans="1:11" ht="15.75" x14ac:dyDescent="0.25">
      <c r="A1828" s="22" t="s">
        <v>34</v>
      </c>
      <c r="B1828" s="22" t="s">
        <v>104</v>
      </c>
      <c r="C1828" s="22" t="s">
        <v>105</v>
      </c>
      <c r="D1828" s="22" t="s">
        <v>112</v>
      </c>
      <c r="E1828" s="22" t="s">
        <v>106</v>
      </c>
      <c r="F1828" s="21" t="s">
        <v>108</v>
      </c>
      <c r="G1828" s="21" t="s">
        <v>28</v>
      </c>
    </row>
    <row r="1829" spans="1:11" ht="15.75" x14ac:dyDescent="0.25">
      <c r="A1829" s="41" t="s">
        <v>83</v>
      </c>
      <c r="B1829" s="23">
        <v>-232200</v>
      </c>
      <c r="C1829" s="20">
        <v>128925</v>
      </c>
      <c r="D1829" s="23">
        <f t="shared" ref="D1829:D1837" si="625">+C1829+B1829</f>
        <v>-103275</v>
      </c>
      <c r="E1829" s="20">
        <v>-24300</v>
      </c>
      <c r="F1829" s="23">
        <f t="shared" ref="F1829:F1837" si="626">+B1829+C1829-E1829</f>
        <v>-78975</v>
      </c>
      <c r="G1829" s="20">
        <v>0</v>
      </c>
      <c r="J1829" s="41" t="s">
        <v>83</v>
      </c>
      <c r="K1829">
        <f>+D1784+O1784+X1784+F1807+O1807+X1807</f>
        <v>173476</v>
      </c>
    </row>
    <row r="1830" spans="1:11" ht="15.75" x14ac:dyDescent="0.25">
      <c r="A1830" s="41" t="s">
        <v>42</v>
      </c>
      <c r="B1830" s="23">
        <v>-36290</v>
      </c>
      <c r="C1830" s="20">
        <v>151050</v>
      </c>
      <c r="D1830" s="23">
        <f t="shared" si="625"/>
        <v>114760</v>
      </c>
      <c r="E1830" s="20">
        <v>70775</v>
      </c>
      <c r="F1830" s="23">
        <f t="shared" si="626"/>
        <v>43985</v>
      </c>
      <c r="G1830" s="20">
        <v>0</v>
      </c>
      <c r="J1830" s="41" t="s">
        <v>42</v>
      </c>
      <c r="K1830">
        <f t="shared" ref="K1830:K1843" si="627">+D1785+O1785+X1785+F1808+O1808+X1808</f>
        <v>-136610</v>
      </c>
    </row>
    <row r="1831" spans="1:11" ht="15.75" x14ac:dyDescent="0.25">
      <c r="A1831" s="41" t="s">
        <v>54</v>
      </c>
      <c r="B1831" s="23">
        <v>-75450</v>
      </c>
      <c r="C1831" s="20">
        <v>220750</v>
      </c>
      <c r="D1831" s="23">
        <f t="shared" si="625"/>
        <v>145300</v>
      </c>
      <c r="E1831" s="20">
        <v>-38500</v>
      </c>
      <c r="F1831" s="23">
        <f t="shared" si="626"/>
        <v>183800</v>
      </c>
      <c r="G1831" s="20">
        <v>0</v>
      </c>
      <c r="J1831" s="41" t="s">
        <v>54</v>
      </c>
      <c r="K1831">
        <f t="shared" si="627"/>
        <v>428450</v>
      </c>
    </row>
    <row r="1832" spans="1:11" ht="15.75" x14ac:dyDescent="0.25">
      <c r="A1832" s="41" t="s">
        <v>43</v>
      </c>
      <c r="B1832" s="23">
        <v>-129250</v>
      </c>
      <c r="C1832" s="20">
        <v>235500</v>
      </c>
      <c r="D1832" s="23">
        <f t="shared" si="625"/>
        <v>106250</v>
      </c>
      <c r="E1832" s="20">
        <v>59250</v>
      </c>
      <c r="F1832" s="23">
        <f t="shared" si="626"/>
        <v>47000</v>
      </c>
      <c r="G1832" s="20">
        <v>0</v>
      </c>
      <c r="J1832" s="41" t="s">
        <v>160</v>
      </c>
      <c r="K1832">
        <f t="shared" si="627"/>
        <v>-121813</v>
      </c>
    </row>
    <row r="1833" spans="1:11" ht="15.75" x14ac:dyDescent="0.25">
      <c r="A1833" s="41" t="s">
        <v>159</v>
      </c>
      <c r="B1833" s="23">
        <v>-2700</v>
      </c>
      <c r="C1833" s="20">
        <v>44550</v>
      </c>
      <c r="D1833" s="23">
        <f t="shared" si="625"/>
        <v>41850</v>
      </c>
      <c r="E1833" s="20">
        <v>3187.5</v>
      </c>
      <c r="F1833" s="23">
        <f t="shared" si="626"/>
        <v>38662.5</v>
      </c>
      <c r="G1833" s="20">
        <v>0</v>
      </c>
      <c r="J1833" s="41" t="s">
        <v>43</v>
      </c>
      <c r="K1833">
        <f t="shared" si="627"/>
        <v>66937</v>
      </c>
    </row>
    <row r="1834" spans="1:11" ht="15.75" x14ac:dyDescent="0.25">
      <c r="A1834" s="41" t="s">
        <v>97</v>
      </c>
      <c r="B1834" s="23">
        <v>-58718</v>
      </c>
      <c r="C1834" s="20">
        <v>115250</v>
      </c>
      <c r="D1834" s="23">
        <f t="shared" si="625"/>
        <v>56532</v>
      </c>
      <c r="E1834" s="20">
        <v>14750</v>
      </c>
      <c r="F1834" s="23">
        <f t="shared" si="626"/>
        <v>41782</v>
      </c>
      <c r="G1834" s="20">
        <v>0</v>
      </c>
      <c r="J1834" s="41" t="s">
        <v>159</v>
      </c>
      <c r="K1834">
        <f t="shared" si="627"/>
        <v>-403580</v>
      </c>
    </row>
    <row r="1835" spans="1:11" ht="15.75" x14ac:dyDescent="0.25">
      <c r="A1835" s="41" t="s">
        <v>84</v>
      </c>
      <c r="B1835" s="23">
        <v>-9690</v>
      </c>
      <c r="C1835" s="20">
        <v>63750</v>
      </c>
      <c r="D1835" s="23">
        <f t="shared" si="625"/>
        <v>54060</v>
      </c>
      <c r="E1835" s="20">
        <v>0</v>
      </c>
      <c r="F1835" s="23">
        <f t="shared" si="626"/>
        <v>54060</v>
      </c>
      <c r="G1835" s="20">
        <v>0</v>
      </c>
      <c r="J1835" s="41" t="s">
        <v>40</v>
      </c>
      <c r="K1835">
        <f t="shared" si="627"/>
        <v>103263.5</v>
      </c>
    </row>
    <row r="1836" spans="1:11" ht="15.75" x14ac:dyDescent="0.25">
      <c r="A1836" s="41" t="s">
        <v>142</v>
      </c>
      <c r="B1836" s="23">
        <v>146950</v>
      </c>
      <c r="C1836" s="20">
        <v>-4785</v>
      </c>
      <c r="D1836" s="23">
        <f t="shared" si="625"/>
        <v>142165</v>
      </c>
      <c r="E1836" s="20">
        <v>6930</v>
      </c>
      <c r="F1836" s="23">
        <f t="shared" si="626"/>
        <v>135235</v>
      </c>
      <c r="G1836" s="23">
        <v>0</v>
      </c>
      <c r="J1836" s="41" t="s">
        <v>158</v>
      </c>
      <c r="K1836">
        <f t="shared" si="627"/>
        <v>235200</v>
      </c>
    </row>
    <row r="1837" spans="1:11" ht="15.75" x14ac:dyDescent="0.25">
      <c r="A1837" s="41" t="s">
        <v>145</v>
      </c>
      <c r="B1837" s="23">
        <v>-296922</v>
      </c>
      <c r="C1837" s="20">
        <v>315262.5</v>
      </c>
      <c r="D1837" s="23">
        <f t="shared" si="625"/>
        <v>18340.5</v>
      </c>
      <c r="E1837" s="20">
        <v>24692.499999999996</v>
      </c>
      <c r="F1837" s="23">
        <f t="shared" si="626"/>
        <v>-6351.9999999999964</v>
      </c>
      <c r="G1837" s="23">
        <v>0</v>
      </c>
      <c r="J1837" s="41" t="s">
        <v>97</v>
      </c>
      <c r="K1837">
        <f t="shared" si="627"/>
        <v>301220</v>
      </c>
    </row>
    <row r="1838" spans="1:11" ht="15.75" x14ac:dyDescent="0.25">
      <c r="A1838" s="21" t="s">
        <v>107</v>
      </c>
      <c r="B1838" s="22">
        <f t="shared" ref="B1838:G1838" si="628">SUM(B1829:B1837)</f>
        <v>-694270</v>
      </c>
      <c r="C1838" s="18">
        <f t="shared" si="628"/>
        <v>1270252.5</v>
      </c>
      <c r="D1838" s="23">
        <f t="shared" si="628"/>
        <v>575982.5</v>
      </c>
      <c r="E1838" s="18">
        <f t="shared" si="628"/>
        <v>116785</v>
      </c>
      <c r="F1838" s="23">
        <f t="shared" si="628"/>
        <v>459197.5</v>
      </c>
      <c r="G1838" s="17">
        <f t="shared" si="628"/>
        <v>0</v>
      </c>
      <c r="J1838" s="41" t="s">
        <v>84</v>
      </c>
      <c r="K1838">
        <f t="shared" si="627"/>
        <v>-219810</v>
      </c>
    </row>
    <row r="1839" spans="1:11" ht="15.75" x14ac:dyDescent="0.25">
      <c r="J1839" s="41" t="s">
        <v>70</v>
      </c>
      <c r="K1839">
        <f t="shared" si="627"/>
        <v>300090</v>
      </c>
    </row>
    <row r="1840" spans="1:11" ht="15.75" x14ac:dyDescent="0.25">
      <c r="J1840" s="41" t="s">
        <v>62</v>
      </c>
      <c r="K1840">
        <f t="shared" si="627"/>
        <v>93757</v>
      </c>
    </row>
    <row r="1841" spans="1:16" ht="15.75" x14ac:dyDescent="0.25">
      <c r="J1841" s="41" t="s">
        <v>85</v>
      </c>
      <c r="K1841">
        <f t="shared" si="627"/>
        <v>366263</v>
      </c>
    </row>
    <row r="1842" spans="1:16" ht="15.75" x14ac:dyDescent="0.25">
      <c r="J1842" s="41" t="s">
        <v>142</v>
      </c>
      <c r="K1842">
        <f t="shared" si="627"/>
        <v>-201381.99999999997</v>
      </c>
    </row>
    <row r="1843" spans="1:16" ht="15.75" x14ac:dyDescent="0.25">
      <c r="J1843" s="41" t="s">
        <v>145</v>
      </c>
      <c r="K1843">
        <f t="shared" si="627"/>
        <v>305937</v>
      </c>
    </row>
    <row r="1856" spans="1:16" ht="15.75" x14ac:dyDescent="0.25">
      <c r="A1856" s="107">
        <v>45463</v>
      </c>
      <c r="B1856" s="108"/>
      <c r="C1856" s="108"/>
      <c r="D1856" s="108"/>
      <c r="E1856" s="108"/>
      <c r="F1856" s="108"/>
      <c r="G1856" s="109"/>
      <c r="J1856" s="107">
        <v>45464</v>
      </c>
      <c r="K1856" s="108"/>
      <c r="L1856" s="108"/>
      <c r="M1856" s="108"/>
      <c r="N1856" s="108"/>
      <c r="O1856" s="108"/>
      <c r="P1856" s="109"/>
    </row>
    <row r="1857" spans="1:16" ht="15.75" x14ac:dyDescent="0.25">
      <c r="A1857" s="22" t="s">
        <v>34</v>
      </c>
      <c r="B1857" s="22" t="s">
        <v>104</v>
      </c>
      <c r="C1857" s="22" t="s">
        <v>105</v>
      </c>
      <c r="D1857" s="22" t="s">
        <v>112</v>
      </c>
      <c r="E1857" s="22" t="s">
        <v>106</v>
      </c>
      <c r="F1857" s="21" t="s">
        <v>108</v>
      </c>
      <c r="G1857" s="21" t="s">
        <v>28</v>
      </c>
      <c r="J1857" s="22" t="s">
        <v>34</v>
      </c>
      <c r="K1857" s="22" t="s">
        <v>104</v>
      </c>
      <c r="L1857" s="22" t="s">
        <v>105</v>
      </c>
      <c r="M1857" s="22" t="s">
        <v>112</v>
      </c>
      <c r="N1857" s="22" t="s">
        <v>106</v>
      </c>
      <c r="O1857" s="21" t="s">
        <v>108</v>
      </c>
      <c r="P1857" s="21" t="s">
        <v>28</v>
      </c>
    </row>
    <row r="1858" spans="1:16" ht="15.75" x14ac:dyDescent="0.25">
      <c r="A1858" s="41" t="s">
        <v>100</v>
      </c>
      <c r="B1858" s="23">
        <v>700</v>
      </c>
      <c r="C1858" s="20"/>
      <c r="D1858" s="23">
        <f t="shared" ref="D1858:D1871" si="629">+C1858+B1858</f>
        <v>700</v>
      </c>
      <c r="E1858" s="20"/>
      <c r="F1858" s="23">
        <f t="shared" ref="F1858:F1871" si="630">+B1858+C1858-E1858</f>
        <v>700</v>
      </c>
      <c r="G1858" s="20">
        <v>-503000</v>
      </c>
      <c r="J1858" s="41" t="s">
        <v>100</v>
      </c>
      <c r="K1858" s="23">
        <v>-6500</v>
      </c>
      <c r="L1858" s="20">
        <v>201400</v>
      </c>
      <c r="M1858" s="23">
        <f t="shared" ref="M1858:M1870" si="631">+L1858+K1858</f>
        <v>194900</v>
      </c>
      <c r="N1858" s="20">
        <v>-8600</v>
      </c>
      <c r="O1858" s="23">
        <f t="shared" ref="O1858:O1870" si="632">+K1858+L1858-N1858</f>
        <v>203500</v>
      </c>
      <c r="P1858" s="20">
        <v>-384000</v>
      </c>
    </row>
    <row r="1859" spans="1:16" ht="15.75" x14ac:dyDescent="0.25">
      <c r="A1859" s="41" t="s">
        <v>134</v>
      </c>
      <c r="B1859" s="23">
        <v>10000</v>
      </c>
      <c r="C1859" s="20"/>
      <c r="D1859" s="23">
        <f t="shared" si="629"/>
        <v>10000</v>
      </c>
      <c r="E1859" s="20"/>
      <c r="F1859" s="23">
        <f t="shared" si="630"/>
        <v>10000</v>
      </c>
      <c r="G1859" s="20">
        <v>-549000</v>
      </c>
      <c r="J1859" s="41" t="s">
        <v>134</v>
      </c>
      <c r="K1859" s="23">
        <v>47750</v>
      </c>
      <c r="L1859" s="20">
        <v>149750</v>
      </c>
      <c r="M1859" s="23">
        <f t="shared" si="631"/>
        <v>197500</v>
      </c>
      <c r="N1859" s="20">
        <v>20750</v>
      </c>
      <c r="O1859" s="23">
        <f t="shared" si="632"/>
        <v>176750</v>
      </c>
      <c r="P1859" s="20">
        <v>-526250</v>
      </c>
    </row>
    <row r="1860" spans="1:16" ht="15.75" x14ac:dyDescent="0.25">
      <c r="A1860" s="41" t="s">
        <v>158</v>
      </c>
      <c r="B1860" s="23">
        <v>7900</v>
      </c>
      <c r="C1860" s="20"/>
      <c r="D1860" s="23">
        <f t="shared" si="629"/>
        <v>7900</v>
      </c>
      <c r="E1860" s="20"/>
      <c r="F1860" s="23">
        <f t="shared" si="630"/>
        <v>7900</v>
      </c>
      <c r="G1860" s="20">
        <v>-488200</v>
      </c>
      <c r="J1860" s="41" t="s">
        <v>158</v>
      </c>
      <c r="K1860" s="23">
        <v>5825</v>
      </c>
      <c r="L1860" s="20">
        <v>189650</v>
      </c>
      <c r="M1860" s="23">
        <f t="shared" si="631"/>
        <v>195475</v>
      </c>
      <c r="N1860" s="20">
        <v>16150</v>
      </c>
      <c r="O1860" s="23">
        <f t="shared" si="632"/>
        <v>179325</v>
      </c>
      <c r="P1860" s="20">
        <v>-479950</v>
      </c>
    </row>
    <row r="1861" spans="1:16" ht="15.75" x14ac:dyDescent="0.25">
      <c r="A1861" s="41" t="s">
        <v>96</v>
      </c>
      <c r="B1861" s="23">
        <v>-12818</v>
      </c>
      <c r="C1861" s="20"/>
      <c r="D1861" s="23">
        <f t="shared" si="629"/>
        <v>-12818</v>
      </c>
      <c r="E1861" s="20"/>
      <c r="F1861" s="23">
        <f t="shared" si="630"/>
        <v>-12818</v>
      </c>
      <c r="G1861" s="20">
        <v>-587825</v>
      </c>
      <c r="J1861" s="41" t="s">
        <v>96</v>
      </c>
      <c r="K1861" s="23">
        <v>-313906</v>
      </c>
      <c r="L1861" s="20">
        <v>-9537.5</v>
      </c>
      <c r="M1861" s="23">
        <f t="shared" si="631"/>
        <v>-323443.5</v>
      </c>
      <c r="N1861" s="20">
        <v>-26293.75</v>
      </c>
      <c r="O1861" s="23">
        <f t="shared" si="632"/>
        <v>-297149.75</v>
      </c>
      <c r="P1861" s="20">
        <v>-511437.5</v>
      </c>
    </row>
    <row r="1862" spans="1:16" ht="15.75" x14ac:dyDescent="0.25">
      <c r="A1862" s="41" t="s">
        <v>80</v>
      </c>
      <c r="B1862" s="23">
        <v>12700</v>
      </c>
      <c r="C1862" s="20"/>
      <c r="D1862" s="23">
        <f t="shared" si="629"/>
        <v>12700</v>
      </c>
      <c r="E1862" s="20"/>
      <c r="F1862" s="23">
        <f t="shared" si="630"/>
        <v>12700</v>
      </c>
      <c r="G1862" s="20">
        <v>-539400</v>
      </c>
      <c r="J1862" s="41" t="s">
        <v>80</v>
      </c>
      <c r="K1862" s="23">
        <v>13700</v>
      </c>
      <c r="L1862" s="20">
        <v>118000</v>
      </c>
      <c r="M1862" s="23">
        <f t="shared" si="631"/>
        <v>131700</v>
      </c>
      <c r="N1862" s="20">
        <v>700</v>
      </c>
      <c r="O1862" s="23">
        <f t="shared" si="632"/>
        <v>131000</v>
      </c>
      <c r="P1862" s="20">
        <v>-482400</v>
      </c>
    </row>
    <row r="1863" spans="1:16" ht="15.75" x14ac:dyDescent="0.25">
      <c r="A1863" s="41" t="s">
        <v>54</v>
      </c>
      <c r="B1863" s="23">
        <v>6150</v>
      </c>
      <c r="C1863" s="20"/>
      <c r="D1863" s="23">
        <f t="shared" si="629"/>
        <v>6150</v>
      </c>
      <c r="E1863" s="20"/>
      <c r="F1863" s="23">
        <f t="shared" si="630"/>
        <v>6150</v>
      </c>
      <c r="G1863" s="20">
        <v>-541400</v>
      </c>
      <c r="J1863" s="41" t="s">
        <v>54</v>
      </c>
      <c r="K1863" s="23">
        <v>-11400</v>
      </c>
      <c r="L1863" s="20">
        <v>93399.999999999985</v>
      </c>
      <c r="M1863" s="23">
        <f t="shared" si="631"/>
        <v>81999.999999999985</v>
      </c>
      <c r="N1863" s="20">
        <v>33150</v>
      </c>
      <c r="O1863" s="23">
        <f t="shared" si="632"/>
        <v>48849.999999999985</v>
      </c>
      <c r="P1863" s="20">
        <v>-516100</v>
      </c>
    </row>
    <row r="1864" spans="1:16" ht="15.75" x14ac:dyDescent="0.25">
      <c r="A1864" s="41" t="s">
        <v>140</v>
      </c>
      <c r="B1864" s="23">
        <v>44450</v>
      </c>
      <c r="C1864" s="20"/>
      <c r="D1864" s="23">
        <f t="shared" si="629"/>
        <v>44450</v>
      </c>
      <c r="E1864" s="20"/>
      <c r="F1864" s="23">
        <f t="shared" si="630"/>
        <v>44450</v>
      </c>
      <c r="G1864" s="20">
        <v>-571690</v>
      </c>
      <c r="J1864" s="41" t="s">
        <v>140</v>
      </c>
      <c r="K1864" s="23">
        <v>-52220</v>
      </c>
      <c r="L1864" s="20">
        <v>81760</v>
      </c>
      <c r="M1864" s="23">
        <f t="shared" si="631"/>
        <v>29540</v>
      </c>
      <c r="N1864" s="20">
        <v>13790</v>
      </c>
      <c r="O1864" s="23">
        <f t="shared" si="632"/>
        <v>15750</v>
      </c>
      <c r="P1864" s="20">
        <v>-577570</v>
      </c>
    </row>
    <row r="1865" spans="1:16" ht="15.75" x14ac:dyDescent="0.25">
      <c r="A1865" s="41" t="s">
        <v>15</v>
      </c>
      <c r="B1865" s="23">
        <v>-17000</v>
      </c>
      <c r="C1865" s="20"/>
      <c r="D1865" s="23">
        <f t="shared" si="629"/>
        <v>-17000</v>
      </c>
      <c r="E1865" s="20"/>
      <c r="F1865" s="23">
        <f t="shared" si="630"/>
        <v>-17000</v>
      </c>
      <c r="G1865" s="20">
        <v>-565500</v>
      </c>
      <c r="J1865" s="41" t="s">
        <v>15</v>
      </c>
      <c r="K1865" s="23">
        <v>-31000</v>
      </c>
      <c r="L1865" s="20">
        <v>195375</v>
      </c>
      <c r="M1865" s="23">
        <f t="shared" si="631"/>
        <v>164375</v>
      </c>
      <c r="N1865" s="20">
        <v>-30000</v>
      </c>
      <c r="O1865" s="23">
        <f t="shared" si="632"/>
        <v>194375</v>
      </c>
      <c r="P1865" s="20">
        <v>-610000</v>
      </c>
    </row>
    <row r="1866" spans="1:16" ht="15.75" x14ac:dyDescent="0.25">
      <c r="A1866" s="41" t="s">
        <v>87</v>
      </c>
      <c r="B1866" s="23">
        <v>-1350</v>
      </c>
      <c r="C1866" s="20"/>
      <c r="D1866" s="23">
        <f t="shared" si="629"/>
        <v>-1350</v>
      </c>
      <c r="E1866" s="20"/>
      <c r="F1866" s="23">
        <f t="shared" si="630"/>
        <v>-1350</v>
      </c>
      <c r="G1866" s="20">
        <v>-550125</v>
      </c>
      <c r="J1866" s="41" t="s">
        <v>87</v>
      </c>
      <c r="K1866" s="23">
        <v>16700</v>
      </c>
      <c r="L1866" s="20">
        <v>18225</v>
      </c>
      <c r="M1866" s="23">
        <f t="shared" si="631"/>
        <v>34925</v>
      </c>
      <c r="N1866" s="20">
        <v>6581.25</v>
      </c>
      <c r="O1866" s="23">
        <f t="shared" si="632"/>
        <v>28343.75</v>
      </c>
      <c r="P1866" s="20">
        <v>-593156.25</v>
      </c>
    </row>
    <row r="1867" spans="1:16" ht="15.75" x14ac:dyDescent="0.25">
      <c r="A1867" s="41" t="s">
        <v>163</v>
      </c>
      <c r="B1867" s="23">
        <v>25575</v>
      </c>
      <c r="C1867" s="20"/>
      <c r="D1867" s="23">
        <f t="shared" si="629"/>
        <v>25575</v>
      </c>
      <c r="E1867" s="20"/>
      <c r="F1867" s="23">
        <f t="shared" si="630"/>
        <v>25575</v>
      </c>
      <c r="G1867" s="20">
        <v>-555500</v>
      </c>
      <c r="J1867" s="41" t="s">
        <v>163</v>
      </c>
      <c r="K1867" s="23">
        <v>1375</v>
      </c>
      <c r="L1867" s="20">
        <v>209000.00000000003</v>
      </c>
      <c r="M1867" s="23">
        <f t="shared" si="631"/>
        <v>210375.00000000003</v>
      </c>
      <c r="N1867" s="20">
        <v>-68750</v>
      </c>
      <c r="O1867" s="23">
        <f t="shared" si="632"/>
        <v>279125</v>
      </c>
      <c r="P1867" s="20">
        <v>-583000</v>
      </c>
    </row>
    <row r="1868" spans="1:16" ht="15.75" x14ac:dyDescent="0.25">
      <c r="A1868" s="41" t="s">
        <v>145</v>
      </c>
      <c r="B1868" s="23">
        <v>38920</v>
      </c>
      <c r="C1868" s="20"/>
      <c r="D1868" s="23">
        <f t="shared" si="629"/>
        <v>38920</v>
      </c>
      <c r="E1868" s="20"/>
      <c r="F1868" s="23">
        <f t="shared" si="630"/>
        <v>38920</v>
      </c>
      <c r="G1868" s="20">
        <v>-652365</v>
      </c>
      <c r="J1868" s="41" t="s">
        <v>145</v>
      </c>
      <c r="K1868" s="23">
        <v>-66762</v>
      </c>
      <c r="L1868" s="20">
        <v>39112.5</v>
      </c>
      <c r="M1868" s="23">
        <f t="shared" si="631"/>
        <v>-27649.5</v>
      </c>
      <c r="N1868" s="20">
        <v>39007.5</v>
      </c>
      <c r="O1868" s="23">
        <f t="shared" si="632"/>
        <v>-66657</v>
      </c>
      <c r="P1868" s="20">
        <v>-499870</v>
      </c>
    </row>
    <row r="1869" spans="1:16" ht="15.75" x14ac:dyDescent="0.25">
      <c r="A1869" s="41" t="s">
        <v>150</v>
      </c>
      <c r="B1869" s="23">
        <v>22155</v>
      </c>
      <c r="C1869" s="20"/>
      <c r="D1869" s="23">
        <f t="shared" si="629"/>
        <v>22155</v>
      </c>
      <c r="E1869" s="20"/>
      <c r="F1869" s="23">
        <f t="shared" si="630"/>
        <v>22155</v>
      </c>
      <c r="G1869" s="23">
        <v>-588525</v>
      </c>
      <c r="J1869" s="41" t="s">
        <v>150</v>
      </c>
      <c r="K1869" s="23">
        <v>-69720</v>
      </c>
      <c r="L1869" s="20">
        <v>94290</v>
      </c>
      <c r="M1869" s="23">
        <f t="shared" si="631"/>
        <v>24570</v>
      </c>
      <c r="N1869" s="20">
        <v>14910</v>
      </c>
      <c r="O1869" s="23">
        <f t="shared" si="632"/>
        <v>9660</v>
      </c>
      <c r="P1869" s="23">
        <v>-514815</v>
      </c>
    </row>
    <row r="1870" spans="1:16" ht="15.75" x14ac:dyDescent="0.25">
      <c r="A1870" s="41" t="s">
        <v>82</v>
      </c>
      <c r="B1870" s="23">
        <v>63341</v>
      </c>
      <c r="C1870" s="20"/>
      <c r="D1870" s="23">
        <f t="shared" si="629"/>
        <v>63341</v>
      </c>
      <c r="E1870" s="20"/>
      <c r="F1870" s="23">
        <f t="shared" si="630"/>
        <v>63341</v>
      </c>
      <c r="G1870" s="23">
        <v>-507300</v>
      </c>
      <c r="J1870" s="41" t="s">
        <v>82</v>
      </c>
      <c r="K1870" s="23">
        <v>-29972</v>
      </c>
      <c r="L1870" s="20">
        <v>76902.5</v>
      </c>
      <c r="M1870" s="23">
        <f t="shared" si="631"/>
        <v>46930.5</v>
      </c>
      <c r="N1870" s="20">
        <v>35672.5</v>
      </c>
      <c r="O1870" s="23">
        <f t="shared" si="632"/>
        <v>11258</v>
      </c>
      <c r="P1870" s="23">
        <v>-410970</v>
      </c>
    </row>
    <row r="1871" spans="1:16" ht="15.75" x14ac:dyDescent="0.25">
      <c r="A1871" s="41" t="s">
        <v>40</v>
      </c>
      <c r="B1871" s="23">
        <v>-85525</v>
      </c>
      <c r="C1871" s="20"/>
      <c r="D1871" s="23">
        <f t="shared" si="629"/>
        <v>-85525</v>
      </c>
      <c r="E1871" s="20"/>
      <c r="F1871" s="23">
        <f t="shared" si="630"/>
        <v>-85525</v>
      </c>
      <c r="G1871" s="23">
        <v>0</v>
      </c>
      <c r="J1871" s="21" t="s">
        <v>107</v>
      </c>
      <c r="K1871" s="22">
        <f t="shared" ref="K1871:P1871" si="633">SUM(K1858:K1870)</f>
        <v>-496130</v>
      </c>
      <c r="L1871" s="18">
        <f t="shared" si="633"/>
        <v>1457327.5</v>
      </c>
      <c r="M1871" s="23">
        <f t="shared" si="633"/>
        <v>961197.5</v>
      </c>
      <c r="N1871" s="18">
        <f t="shared" si="633"/>
        <v>47067.5</v>
      </c>
      <c r="O1871" s="23">
        <f t="shared" si="633"/>
        <v>914130</v>
      </c>
      <c r="P1871" s="17">
        <f t="shared" si="633"/>
        <v>-6689518.75</v>
      </c>
    </row>
    <row r="1872" spans="1:16" ht="15.75" x14ac:dyDescent="0.25">
      <c r="A1872" s="21" t="s">
        <v>107</v>
      </c>
      <c r="B1872" s="22">
        <f t="shared" ref="B1872:G1872" si="634">SUM(B1858:B1871)</f>
        <v>115198</v>
      </c>
      <c r="C1872" s="18">
        <f t="shared" si="634"/>
        <v>0</v>
      </c>
      <c r="D1872" s="23">
        <f t="shared" si="634"/>
        <v>115198</v>
      </c>
      <c r="E1872" s="18">
        <f t="shared" si="634"/>
        <v>0</v>
      </c>
      <c r="F1872" s="23">
        <f t="shared" si="634"/>
        <v>115198</v>
      </c>
      <c r="G1872" s="17">
        <f t="shared" si="634"/>
        <v>-7199830</v>
      </c>
    </row>
    <row r="1878" spans="1:19" ht="15.75" x14ac:dyDescent="0.25">
      <c r="A1878" s="107">
        <v>45467</v>
      </c>
      <c r="B1878" s="108"/>
      <c r="C1878" s="108"/>
      <c r="D1878" s="108"/>
      <c r="E1878" s="108"/>
      <c r="F1878" s="108"/>
      <c r="G1878" s="109"/>
      <c r="J1878" s="107">
        <v>45468</v>
      </c>
      <c r="K1878" s="108"/>
      <c r="L1878" s="108"/>
      <c r="M1878" s="108"/>
      <c r="N1878" s="108"/>
      <c r="O1878" s="108"/>
      <c r="P1878" s="109"/>
    </row>
    <row r="1879" spans="1:19" ht="15.75" x14ac:dyDescent="0.25">
      <c r="A1879" s="22" t="s">
        <v>34</v>
      </c>
      <c r="B1879" s="22" t="s">
        <v>104</v>
      </c>
      <c r="C1879" s="22" t="s">
        <v>105</v>
      </c>
      <c r="D1879" s="22" t="s">
        <v>112</v>
      </c>
      <c r="E1879" s="22" t="s">
        <v>106</v>
      </c>
      <c r="F1879" s="21" t="s">
        <v>108</v>
      </c>
      <c r="G1879" s="21" t="s">
        <v>28</v>
      </c>
      <c r="J1879" s="22" t="s">
        <v>34</v>
      </c>
      <c r="K1879" s="22" t="s">
        <v>104</v>
      </c>
      <c r="L1879" s="22" t="s">
        <v>105</v>
      </c>
      <c r="M1879" s="22" t="s">
        <v>112</v>
      </c>
      <c r="N1879" s="22" t="s">
        <v>106</v>
      </c>
      <c r="O1879" s="21" t="s">
        <v>108</v>
      </c>
      <c r="P1879" s="21" t="s">
        <v>28</v>
      </c>
      <c r="R1879">
        <v>159500</v>
      </c>
      <c r="S1879" t="s">
        <v>134</v>
      </c>
    </row>
    <row r="1880" spans="1:19" ht="15.75" x14ac:dyDescent="0.25">
      <c r="A1880" s="41" t="s">
        <v>100</v>
      </c>
      <c r="B1880" s="23">
        <v>83250</v>
      </c>
      <c r="C1880" s="20">
        <v>-1300.0000000000291</v>
      </c>
      <c r="D1880" s="23">
        <f t="shared" ref="D1880:D1892" si="635">+C1880+B1880</f>
        <v>81949.999999999971</v>
      </c>
      <c r="E1880" s="20">
        <v>41800</v>
      </c>
      <c r="F1880" s="23">
        <f t="shared" ref="F1880:F1892" si="636">+B1880+C1880-E1880</f>
        <v>40149.999999999971</v>
      </c>
      <c r="G1880" s="20">
        <v>0</v>
      </c>
      <c r="J1880" s="41" t="s">
        <v>134</v>
      </c>
      <c r="K1880" s="23">
        <v>-92500</v>
      </c>
      <c r="L1880" s="20">
        <v>159500</v>
      </c>
      <c r="M1880" s="23">
        <f t="shared" ref="M1880:M1888" si="637">+L1880+K1880</f>
        <v>67000</v>
      </c>
      <c r="N1880">
        <v>94500.000000000029</v>
      </c>
      <c r="O1880" s="20">
        <f>-N1880+L1880+K1880</f>
        <v>-27500.000000000029</v>
      </c>
      <c r="P1880" s="20"/>
      <c r="R1880">
        <v>106006.25</v>
      </c>
      <c r="S1880" t="s">
        <v>96</v>
      </c>
    </row>
    <row r="1881" spans="1:19" ht="15.75" x14ac:dyDescent="0.25">
      <c r="A1881" s="41" t="s">
        <v>134</v>
      </c>
      <c r="B1881" s="23">
        <v>-186500</v>
      </c>
      <c r="C1881" s="20">
        <v>201750</v>
      </c>
      <c r="D1881" s="23">
        <f t="shared" si="635"/>
        <v>15250</v>
      </c>
      <c r="E1881" s="20">
        <v>39000</v>
      </c>
      <c r="F1881" s="23">
        <f t="shared" si="636"/>
        <v>-23750</v>
      </c>
      <c r="G1881" s="20">
        <v>-592500</v>
      </c>
      <c r="J1881" s="41" t="s">
        <v>96</v>
      </c>
      <c r="K1881" s="23">
        <v>-27562.5</v>
      </c>
      <c r="L1881" s="20">
        <v>106006.25</v>
      </c>
      <c r="M1881" s="23">
        <f t="shared" si="637"/>
        <v>78443.75</v>
      </c>
      <c r="N1881">
        <v>-103600</v>
      </c>
      <c r="O1881" s="20">
        <f t="shared" ref="O1881:O1889" si="638">-N1881+L1881+K1881</f>
        <v>182043.75</v>
      </c>
      <c r="P1881" s="20"/>
      <c r="R1881">
        <v>164900</v>
      </c>
      <c r="S1881" t="s">
        <v>80</v>
      </c>
    </row>
    <row r="1882" spans="1:19" ht="15.75" x14ac:dyDescent="0.25">
      <c r="A1882" s="41" t="s">
        <v>158</v>
      </c>
      <c r="B1882" s="23">
        <v>-153800</v>
      </c>
      <c r="C1882" s="20">
        <v>-190250</v>
      </c>
      <c r="D1882" s="23">
        <f t="shared" si="635"/>
        <v>-344050</v>
      </c>
      <c r="E1882" s="20">
        <v>33000</v>
      </c>
      <c r="F1882" s="23">
        <f t="shared" si="636"/>
        <v>-377050</v>
      </c>
      <c r="G1882" s="20">
        <v>0</v>
      </c>
      <c r="J1882" s="41" t="s">
        <v>80</v>
      </c>
      <c r="K1882" s="23">
        <v>-174700</v>
      </c>
      <c r="L1882" s="20">
        <v>164900</v>
      </c>
      <c r="M1882" s="23">
        <f t="shared" si="637"/>
        <v>-9800</v>
      </c>
      <c r="N1882">
        <v>14700</v>
      </c>
      <c r="O1882" s="20">
        <f t="shared" si="638"/>
        <v>-24500</v>
      </c>
      <c r="P1882" s="20"/>
      <c r="R1882">
        <v>52150</v>
      </c>
      <c r="S1882" t="s">
        <v>140</v>
      </c>
    </row>
    <row r="1883" spans="1:19" ht="15.75" x14ac:dyDescent="0.25">
      <c r="A1883" s="41" t="s">
        <v>96</v>
      </c>
      <c r="B1883" s="23">
        <v>-121756</v>
      </c>
      <c r="C1883" s="20">
        <v>7875</v>
      </c>
      <c r="D1883" s="23">
        <f t="shared" si="635"/>
        <v>-113881</v>
      </c>
      <c r="E1883" s="20">
        <v>16362.5</v>
      </c>
      <c r="F1883" s="23">
        <f t="shared" si="636"/>
        <v>-130243.5</v>
      </c>
      <c r="G1883" s="20">
        <v>-562012.5</v>
      </c>
      <c r="J1883" s="41" t="s">
        <v>140</v>
      </c>
      <c r="K1883" s="23">
        <v>-155680</v>
      </c>
      <c r="L1883" s="20">
        <v>52150</v>
      </c>
      <c r="M1883" s="23">
        <f t="shared" si="637"/>
        <v>-103530</v>
      </c>
      <c r="N1883">
        <v>-12599.999999999998</v>
      </c>
      <c r="O1883" s="20">
        <f t="shared" si="638"/>
        <v>-90930</v>
      </c>
      <c r="P1883" s="20"/>
      <c r="R1883">
        <v>-45000</v>
      </c>
      <c r="S1883" t="s">
        <v>15</v>
      </c>
    </row>
    <row r="1884" spans="1:19" ht="15.75" x14ac:dyDescent="0.25">
      <c r="A1884" s="41" t="s">
        <v>80</v>
      </c>
      <c r="B1884" s="23">
        <v>-204700</v>
      </c>
      <c r="C1884" s="20">
        <v>131900</v>
      </c>
      <c r="D1884" s="23">
        <f t="shared" si="635"/>
        <v>-72800</v>
      </c>
      <c r="E1884" s="20">
        <v>11700</v>
      </c>
      <c r="F1884" s="23">
        <f t="shared" si="636"/>
        <v>-84500</v>
      </c>
      <c r="G1884" s="20">
        <v>-384700</v>
      </c>
      <c r="J1884" s="41" t="s">
        <v>15</v>
      </c>
      <c r="K1884" s="23">
        <v>-354937</v>
      </c>
      <c r="L1884" s="20">
        <v>-45000</v>
      </c>
      <c r="M1884" s="23">
        <f t="shared" si="637"/>
        <v>-399937</v>
      </c>
      <c r="N1884">
        <v>7750</v>
      </c>
      <c r="O1884" s="20">
        <f t="shared" si="638"/>
        <v>-407687</v>
      </c>
      <c r="P1884" s="20"/>
      <c r="R1884">
        <v>-68850</v>
      </c>
      <c r="S1884" t="s">
        <v>87</v>
      </c>
    </row>
    <row r="1885" spans="1:19" ht="15.75" x14ac:dyDescent="0.25">
      <c r="A1885" s="41" t="s">
        <v>54</v>
      </c>
      <c r="B1885" s="23">
        <v>71600</v>
      </c>
      <c r="C1885" s="20">
        <v>-256850</v>
      </c>
      <c r="D1885" s="23">
        <f t="shared" si="635"/>
        <v>-185250</v>
      </c>
      <c r="E1885" s="20">
        <v>27550</v>
      </c>
      <c r="F1885" s="23">
        <f t="shared" si="636"/>
        <v>-212800</v>
      </c>
      <c r="G1885" s="20">
        <v>0</v>
      </c>
      <c r="J1885" s="41" t="s">
        <v>87</v>
      </c>
      <c r="K1885" s="23">
        <v>193050</v>
      </c>
      <c r="L1885" s="20">
        <v>-68850</v>
      </c>
      <c r="M1885" s="23">
        <f t="shared" si="637"/>
        <v>124200</v>
      </c>
      <c r="N1885">
        <v>1518.75</v>
      </c>
      <c r="O1885" s="20">
        <f t="shared" si="638"/>
        <v>122681.25</v>
      </c>
      <c r="P1885" s="20"/>
      <c r="R1885">
        <v>96250</v>
      </c>
      <c r="S1885" t="s">
        <v>163</v>
      </c>
    </row>
    <row r="1886" spans="1:19" ht="15.75" x14ac:dyDescent="0.25">
      <c r="A1886" s="41" t="s">
        <v>140</v>
      </c>
      <c r="B1886" s="23">
        <v>10640</v>
      </c>
      <c r="C1886" s="20">
        <v>258930</v>
      </c>
      <c r="D1886" s="23">
        <f t="shared" si="635"/>
        <v>269570</v>
      </c>
      <c r="E1886" s="20">
        <v>-16100</v>
      </c>
      <c r="F1886" s="23">
        <f t="shared" si="636"/>
        <v>285670</v>
      </c>
      <c r="G1886" s="20">
        <v>-444360</v>
      </c>
      <c r="J1886" s="41" t="s">
        <v>163</v>
      </c>
      <c r="K1886" s="23">
        <v>-73150</v>
      </c>
      <c r="L1886" s="20">
        <v>96250</v>
      </c>
      <c r="M1886" s="23">
        <f t="shared" si="637"/>
        <v>23100</v>
      </c>
      <c r="N1886">
        <v>2200</v>
      </c>
      <c r="O1886" s="20">
        <f t="shared" si="638"/>
        <v>20900</v>
      </c>
      <c r="P1886" s="20"/>
      <c r="R1886">
        <v>94780.000000000015</v>
      </c>
      <c r="S1886" t="s">
        <v>145</v>
      </c>
    </row>
    <row r="1887" spans="1:19" ht="15.75" x14ac:dyDescent="0.25">
      <c r="A1887" s="41" t="s">
        <v>15</v>
      </c>
      <c r="B1887" s="23">
        <v>696062</v>
      </c>
      <c r="C1887" s="20">
        <v>-719625</v>
      </c>
      <c r="D1887" s="23">
        <f t="shared" si="635"/>
        <v>-23563</v>
      </c>
      <c r="E1887" s="20">
        <v>64875</v>
      </c>
      <c r="F1887" s="23">
        <f t="shared" si="636"/>
        <v>-88438</v>
      </c>
      <c r="G1887" s="20">
        <v>-644500</v>
      </c>
      <c r="J1887" s="41" t="s">
        <v>145</v>
      </c>
      <c r="K1887" s="23">
        <v>-50137</v>
      </c>
      <c r="L1887" s="20">
        <v>94780.000000000015</v>
      </c>
      <c r="M1887" s="23">
        <f t="shared" si="637"/>
        <v>44643.000000000015</v>
      </c>
      <c r="N1887">
        <v>139.99999999999818</v>
      </c>
      <c r="O1887" s="20">
        <f t="shared" si="638"/>
        <v>44503.000000000015</v>
      </c>
      <c r="P1887" s="20"/>
      <c r="R1887">
        <v>52815</v>
      </c>
      <c r="S1887" t="s">
        <v>150</v>
      </c>
    </row>
    <row r="1888" spans="1:19" ht="15.75" x14ac:dyDescent="0.25">
      <c r="A1888" s="41" t="s">
        <v>87</v>
      </c>
      <c r="B1888" s="23">
        <v>-3037</v>
      </c>
      <c r="C1888" s="20">
        <v>159468.75</v>
      </c>
      <c r="D1888" s="23">
        <f t="shared" si="635"/>
        <v>156431.75</v>
      </c>
      <c r="E1888" s="20">
        <v>22950</v>
      </c>
      <c r="F1888" s="23">
        <f t="shared" si="636"/>
        <v>133481.75</v>
      </c>
      <c r="G1888" s="20">
        <v>-536118.75</v>
      </c>
      <c r="J1888" s="41" t="s">
        <v>150</v>
      </c>
      <c r="K1888" s="23">
        <v>-15645</v>
      </c>
      <c r="L1888" s="20">
        <v>52815</v>
      </c>
      <c r="M1888" s="23">
        <f t="shared" si="637"/>
        <v>37170</v>
      </c>
      <c r="N1888">
        <v>39480</v>
      </c>
      <c r="O1888" s="20">
        <f t="shared" si="638"/>
        <v>-2310</v>
      </c>
      <c r="P1888" s="23"/>
    </row>
    <row r="1889" spans="1:16" ht="15.75" x14ac:dyDescent="0.25">
      <c r="A1889" s="41" t="s">
        <v>163</v>
      </c>
      <c r="B1889" s="23">
        <v>-15400</v>
      </c>
      <c r="C1889" s="20">
        <v>15400</v>
      </c>
      <c r="D1889" s="23">
        <f t="shared" si="635"/>
        <v>0</v>
      </c>
      <c r="E1889" s="20">
        <v>19800</v>
      </c>
      <c r="F1889" s="23">
        <f t="shared" si="636"/>
        <v>-19800</v>
      </c>
      <c r="G1889" s="20">
        <v>-571450</v>
      </c>
      <c r="J1889" s="21" t="s">
        <v>107</v>
      </c>
      <c r="K1889" s="22">
        <f>SUM(K1880:K1888)</f>
        <v>-751261.5</v>
      </c>
      <c r="L1889" s="18">
        <f>SUM(L1880:L1888)</f>
        <v>612551.25</v>
      </c>
      <c r="M1889" s="23">
        <f>SUM(M1880:M1888)</f>
        <v>-138710.25</v>
      </c>
      <c r="N1889" s="23">
        <f>SUM(N1880:N1888)</f>
        <v>44088.750000000029</v>
      </c>
      <c r="O1889" s="20">
        <f t="shared" si="638"/>
        <v>-182799</v>
      </c>
      <c r="P1889" s="17">
        <f>SUM(P1880:P1888)</f>
        <v>0</v>
      </c>
    </row>
    <row r="1890" spans="1:16" ht="15.75" x14ac:dyDescent="0.25">
      <c r="A1890" s="41" t="s">
        <v>145</v>
      </c>
      <c r="B1890" s="23">
        <v>-15610</v>
      </c>
      <c r="C1890" s="20">
        <v>179182.5</v>
      </c>
      <c r="D1890" s="23">
        <f t="shared" si="635"/>
        <v>163572.5</v>
      </c>
      <c r="E1890" s="20">
        <v>-41160</v>
      </c>
      <c r="F1890" s="23">
        <f t="shared" si="636"/>
        <v>204732.5</v>
      </c>
      <c r="G1890" s="20">
        <v>-411372.5</v>
      </c>
    </row>
    <row r="1891" spans="1:16" ht="15.75" x14ac:dyDescent="0.25">
      <c r="A1891" s="41" t="s">
        <v>150</v>
      </c>
      <c r="B1891" s="23">
        <v>-3780</v>
      </c>
      <c r="C1891" s="20">
        <v>147525</v>
      </c>
      <c r="D1891" s="23">
        <f t="shared" si="635"/>
        <v>143745</v>
      </c>
      <c r="E1891" s="20">
        <v>46410</v>
      </c>
      <c r="F1891" s="23">
        <f t="shared" si="636"/>
        <v>97335</v>
      </c>
      <c r="G1891" s="23">
        <v>-347655</v>
      </c>
    </row>
    <row r="1892" spans="1:16" ht="15.75" x14ac:dyDescent="0.25">
      <c r="A1892" s="41" t="s">
        <v>82</v>
      </c>
      <c r="B1892" s="23">
        <f>418712-253460</f>
        <v>165252</v>
      </c>
      <c r="C1892" s="20">
        <v>34580</v>
      </c>
      <c r="D1892" s="23">
        <f t="shared" si="635"/>
        <v>199832</v>
      </c>
      <c r="E1892" s="20">
        <v>-62795</v>
      </c>
      <c r="F1892" s="23">
        <f t="shared" si="636"/>
        <v>262627</v>
      </c>
      <c r="G1892" s="23">
        <v>0</v>
      </c>
    </row>
    <row r="1893" spans="1:16" ht="15.75" x14ac:dyDescent="0.25">
      <c r="A1893" s="21" t="s">
        <v>107</v>
      </c>
      <c r="B1893" s="22">
        <f t="shared" ref="B1893" si="639">SUM(B1880:B1892)</f>
        <v>322221</v>
      </c>
      <c r="C1893" s="18">
        <f t="shared" ref="C1893" si="640">SUM(C1880:C1892)</f>
        <v>-31413.75</v>
      </c>
      <c r="D1893" s="23">
        <f t="shared" ref="D1893" si="641">SUM(D1880:D1892)</f>
        <v>290807.25</v>
      </c>
      <c r="E1893" s="18">
        <f t="shared" ref="E1893" si="642">SUM(E1880:E1892)</f>
        <v>203392.5</v>
      </c>
      <c r="F1893" s="23">
        <f t="shared" ref="F1893" si="643">SUM(F1880:F1892)</f>
        <v>87414.75</v>
      </c>
      <c r="G1893" s="17">
        <f t="shared" ref="G1893" si="644">SUM(G1880:G1892)</f>
        <v>-4494668.75</v>
      </c>
    </row>
    <row r="1902" spans="1:16" x14ac:dyDescent="0.25">
      <c r="A1902" s="113">
        <v>45491</v>
      </c>
      <c r="B1902" s="114"/>
      <c r="C1902" s="114"/>
      <c r="D1902" s="114"/>
    </row>
    <row r="1903" spans="1:16" x14ac:dyDescent="0.25">
      <c r="A1903" s="114"/>
      <c r="B1903" s="114"/>
      <c r="C1903" s="114"/>
      <c r="D1903" s="114"/>
    </row>
    <row r="1904" spans="1:16" x14ac:dyDescent="0.25">
      <c r="A1904" s="114"/>
      <c r="B1904" s="114"/>
      <c r="C1904" s="114"/>
      <c r="D1904" s="114"/>
    </row>
    <row r="1905" spans="1:17" x14ac:dyDescent="0.25">
      <c r="A1905" s="114"/>
      <c r="B1905" s="114"/>
      <c r="C1905" s="114"/>
      <c r="D1905" s="114"/>
    </row>
    <row r="1906" spans="1:17" x14ac:dyDescent="0.25">
      <c r="A1906" s="114"/>
      <c r="B1906" s="114"/>
      <c r="C1906" s="114"/>
      <c r="D1906" s="114"/>
    </row>
    <row r="1907" spans="1:17" x14ac:dyDescent="0.25">
      <c r="A1907" s="114"/>
      <c r="B1907" s="114"/>
      <c r="C1907" s="114"/>
      <c r="D1907" s="114"/>
    </row>
    <row r="1910" spans="1:17" ht="15.75" x14ac:dyDescent="0.25">
      <c r="A1910" s="107">
        <v>45491</v>
      </c>
      <c r="B1910" s="108"/>
      <c r="C1910" s="108"/>
      <c r="D1910" s="108"/>
      <c r="E1910" s="108"/>
      <c r="F1910" s="108"/>
      <c r="G1910" s="109"/>
      <c r="J1910" s="107">
        <v>45491</v>
      </c>
      <c r="K1910" s="108"/>
      <c r="L1910" s="108"/>
      <c r="M1910" s="108"/>
      <c r="N1910" s="108"/>
      <c r="O1910" s="108"/>
      <c r="P1910" s="109"/>
    </row>
    <row r="1911" spans="1:17" ht="15.75" x14ac:dyDescent="0.25">
      <c r="A1911" s="22" t="s">
        <v>34</v>
      </c>
      <c r="B1911" s="22" t="s">
        <v>104</v>
      </c>
      <c r="C1911" s="22" t="s">
        <v>105</v>
      </c>
      <c r="D1911" s="22" t="s">
        <v>112</v>
      </c>
      <c r="E1911" s="22" t="s">
        <v>106</v>
      </c>
      <c r="F1911" s="21" t="s">
        <v>108</v>
      </c>
      <c r="G1911" s="21" t="s">
        <v>28</v>
      </c>
      <c r="J1911" s="22" t="s">
        <v>34</v>
      </c>
      <c r="K1911" s="22" t="s">
        <v>104</v>
      </c>
      <c r="L1911" s="22" t="s">
        <v>105</v>
      </c>
      <c r="M1911" s="22" t="s">
        <v>112</v>
      </c>
      <c r="N1911" s="22" t="s">
        <v>106</v>
      </c>
      <c r="O1911" s="21" t="s">
        <v>108</v>
      </c>
      <c r="P1911" s="21" t="s">
        <v>28</v>
      </c>
    </row>
    <row r="1912" spans="1:17" ht="15.75" x14ac:dyDescent="0.25">
      <c r="A1912" s="41" t="s">
        <v>164</v>
      </c>
      <c r="B1912" s="23">
        <v>15650</v>
      </c>
      <c r="C1912" s="20"/>
      <c r="D1912" s="23">
        <f t="shared" ref="D1912:D1921" si="645">+C1912+B1912</f>
        <v>15650</v>
      </c>
      <c r="E1912" s="20"/>
      <c r="F1912" s="23">
        <f t="shared" ref="F1912:F1921" si="646">+B1912+C1912-E1912</f>
        <v>15650</v>
      </c>
      <c r="G1912" s="20">
        <v>-236000</v>
      </c>
      <c r="H1912">
        <v>34.599999999999994</v>
      </c>
      <c r="J1912" s="41" t="s">
        <v>164</v>
      </c>
      <c r="K1912" s="23">
        <v>39500</v>
      </c>
      <c r="L1912" s="20">
        <v>-82000</v>
      </c>
      <c r="M1912" s="23">
        <f t="shared" ref="M1912:M1921" si="647">+L1912+K1912</f>
        <v>-42500</v>
      </c>
      <c r="N1912" s="20"/>
      <c r="O1912" s="23">
        <f t="shared" ref="O1912:O1921" si="648">+K1912+L1912-N1912</f>
        <v>-42500</v>
      </c>
      <c r="P1912" s="20">
        <v>-13000</v>
      </c>
      <c r="Q1912">
        <v>25.7</v>
      </c>
    </row>
    <row r="1913" spans="1:17" ht="15.75" x14ac:dyDescent="0.25">
      <c r="A1913" s="41" t="s">
        <v>19</v>
      </c>
      <c r="B1913" s="23">
        <v>9956</v>
      </c>
      <c r="C1913" s="20"/>
      <c r="D1913" s="23">
        <f t="shared" si="645"/>
        <v>9956</v>
      </c>
      <c r="E1913" s="20"/>
      <c r="F1913" s="23">
        <f t="shared" si="646"/>
        <v>9956</v>
      </c>
      <c r="G1913" s="20">
        <v>-321800</v>
      </c>
      <c r="H1913">
        <v>410.95000000000005</v>
      </c>
      <c r="J1913" s="41" t="s">
        <v>19</v>
      </c>
      <c r="K1913" s="23">
        <v>17100</v>
      </c>
      <c r="L1913" s="20">
        <v>4100</v>
      </c>
      <c r="M1913" s="23">
        <f t="shared" si="647"/>
        <v>21200</v>
      </c>
      <c r="N1913" s="20"/>
      <c r="O1913" s="23">
        <f t="shared" si="648"/>
        <v>21200</v>
      </c>
      <c r="P1913" s="20">
        <v>-210550</v>
      </c>
      <c r="Q1913">
        <v>315</v>
      </c>
    </row>
    <row r="1914" spans="1:17" ht="15.75" x14ac:dyDescent="0.25">
      <c r="A1914" s="41" t="s">
        <v>68</v>
      </c>
      <c r="B1914" s="23">
        <v>57460</v>
      </c>
      <c r="C1914" s="20"/>
      <c r="D1914" s="23">
        <f t="shared" si="645"/>
        <v>57460</v>
      </c>
      <c r="E1914" s="20"/>
      <c r="F1914" s="23">
        <f t="shared" si="646"/>
        <v>57460</v>
      </c>
      <c r="G1914" s="20">
        <v>-132600</v>
      </c>
      <c r="H1914">
        <v>13.75</v>
      </c>
      <c r="J1914" s="41" t="s">
        <v>68</v>
      </c>
      <c r="K1914" s="23">
        <v>2990</v>
      </c>
      <c r="L1914" s="20">
        <v>-37700</v>
      </c>
      <c r="M1914" s="23">
        <f t="shared" si="647"/>
        <v>-34710</v>
      </c>
      <c r="N1914" s="20"/>
      <c r="O1914" s="23">
        <f t="shared" si="648"/>
        <v>-34710</v>
      </c>
      <c r="P1914" s="20">
        <v>-62400</v>
      </c>
      <c r="Q1914">
        <v>10.850000000000001</v>
      </c>
    </row>
    <row r="1915" spans="1:17" ht="15.75" x14ac:dyDescent="0.25">
      <c r="A1915" s="41" t="s">
        <v>100</v>
      </c>
      <c r="B1915" s="23">
        <v>-8200</v>
      </c>
      <c r="C1915" s="20"/>
      <c r="D1915" s="23">
        <f t="shared" si="645"/>
        <v>-8200</v>
      </c>
      <c r="E1915" s="20"/>
      <c r="F1915" s="23">
        <f t="shared" si="646"/>
        <v>-8200</v>
      </c>
      <c r="G1915" s="20">
        <v>-265000</v>
      </c>
      <c r="H1915">
        <v>29.45</v>
      </c>
      <c r="J1915" s="41" t="s">
        <v>100</v>
      </c>
      <c r="K1915" s="23">
        <v>10050</v>
      </c>
      <c r="L1915" s="20">
        <v>127250</v>
      </c>
      <c r="M1915" s="23">
        <f t="shared" si="647"/>
        <v>137300</v>
      </c>
      <c r="N1915" s="20"/>
      <c r="O1915" s="23">
        <f t="shared" si="648"/>
        <v>137300</v>
      </c>
      <c r="P1915" s="20">
        <v>-250750</v>
      </c>
      <c r="Q1915">
        <v>20.45</v>
      </c>
    </row>
    <row r="1916" spans="1:17" ht="15.75" x14ac:dyDescent="0.25">
      <c r="A1916" s="41" t="s">
        <v>131</v>
      </c>
      <c r="B1916" s="23">
        <v>24093</v>
      </c>
      <c r="C1916" s="20"/>
      <c r="D1916" s="23">
        <f t="shared" si="645"/>
        <v>24093</v>
      </c>
      <c r="E1916" s="20"/>
      <c r="F1916" s="23">
        <f t="shared" si="646"/>
        <v>24093</v>
      </c>
      <c r="G1916" s="20">
        <v>-253500</v>
      </c>
      <c r="H1916">
        <v>69.599999999999994</v>
      </c>
      <c r="J1916" s="41" t="s">
        <v>131</v>
      </c>
      <c r="K1916" s="23">
        <v>13406</v>
      </c>
      <c r="L1916" s="20">
        <v>88000</v>
      </c>
      <c r="M1916" s="23">
        <f t="shared" si="647"/>
        <v>101406</v>
      </c>
      <c r="N1916" s="20"/>
      <c r="O1916" s="23">
        <f t="shared" si="648"/>
        <v>101406</v>
      </c>
      <c r="P1916" s="20">
        <v>-321500</v>
      </c>
      <c r="Q1916">
        <v>57.900000000000006</v>
      </c>
    </row>
    <row r="1917" spans="1:17" ht="15.75" x14ac:dyDescent="0.25">
      <c r="A1917" s="41" t="s">
        <v>54</v>
      </c>
      <c r="B1917" s="23">
        <v>-6750</v>
      </c>
      <c r="C1917" s="20"/>
      <c r="D1917" s="23">
        <f t="shared" si="645"/>
        <v>-6750</v>
      </c>
      <c r="E1917" s="20"/>
      <c r="F1917" s="23">
        <f t="shared" si="646"/>
        <v>-6750</v>
      </c>
      <c r="G1917" s="20">
        <v>-276000</v>
      </c>
      <c r="H1917">
        <v>54.65</v>
      </c>
      <c r="J1917" s="41" t="s">
        <v>54</v>
      </c>
      <c r="K1917" s="23">
        <v>11350</v>
      </c>
      <c r="L1917" s="20">
        <v>-68500</v>
      </c>
      <c r="M1917" s="23">
        <f t="shared" si="647"/>
        <v>-57150</v>
      </c>
      <c r="N1917" s="20"/>
      <c r="O1917" s="23">
        <f t="shared" si="648"/>
        <v>-57150</v>
      </c>
      <c r="P1917" s="20">
        <v>-261000</v>
      </c>
      <c r="Q1917">
        <v>42.85</v>
      </c>
    </row>
    <row r="1918" spans="1:17" ht="15.75" x14ac:dyDescent="0.25">
      <c r="A1918" s="41" t="s">
        <v>165</v>
      </c>
      <c r="B1918" s="23">
        <v>-15235</v>
      </c>
      <c r="C1918" s="20"/>
      <c r="D1918" s="23">
        <f t="shared" si="645"/>
        <v>-15235</v>
      </c>
      <c r="E1918" s="20"/>
      <c r="F1918" s="23">
        <f t="shared" si="646"/>
        <v>-15235</v>
      </c>
      <c r="G1918" s="20">
        <v>-280500</v>
      </c>
      <c r="H1918">
        <v>18.850000000000001</v>
      </c>
      <c r="J1918" s="41" t="s">
        <v>165</v>
      </c>
      <c r="K1918" s="23">
        <v>6985</v>
      </c>
      <c r="L1918" s="20">
        <v>-13750</v>
      </c>
      <c r="M1918" s="23">
        <f t="shared" si="647"/>
        <v>-6765</v>
      </c>
      <c r="N1918" s="20"/>
      <c r="O1918" s="23">
        <f t="shared" si="648"/>
        <v>-6765</v>
      </c>
      <c r="P1918" s="20">
        <v>-126500</v>
      </c>
      <c r="Q1918">
        <v>16.3</v>
      </c>
    </row>
    <row r="1919" spans="1:17" ht="15.75" x14ac:dyDescent="0.25">
      <c r="A1919" s="41" t="s">
        <v>158</v>
      </c>
      <c r="B1919" s="23">
        <v>30700</v>
      </c>
      <c r="C1919" s="20"/>
      <c r="D1919" s="23">
        <f t="shared" si="645"/>
        <v>30700</v>
      </c>
      <c r="E1919" s="20"/>
      <c r="F1919" s="23">
        <f t="shared" si="646"/>
        <v>30700</v>
      </c>
      <c r="G1919" s="20">
        <v>-308000</v>
      </c>
      <c r="H1919">
        <v>53.7</v>
      </c>
      <c r="J1919" s="41" t="s">
        <v>158</v>
      </c>
      <c r="K1919" s="23">
        <v>21175</v>
      </c>
      <c r="L1919" s="20">
        <v>9500</v>
      </c>
      <c r="M1919" s="23">
        <f t="shared" si="647"/>
        <v>30675</v>
      </c>
      <c r="N1919" s="20"/>
      <c r="O1919" s="23">
        <f t="shared" si="648"/>
        <v>30675</v>
      </c>
      <c r="P1919" s="20">
        <v>-318250</v>
      </c>
      <c r="Q1919">
        <v>41.2</v>
      </c>
    </row>
    <row r="1920" spans="1:17" ht="15.75" x14ac:dyDescent="0.25">
      <c r="A1920" s="41" t="s">
        <v>119</v>
      </c>
      <c r="B1920" s="23">
        <v>-12698</v>
      </c>
      <c r="C1920" s="20"/>
      <c r="D1920" s="23">
        <f t="shared" si="645"/>
        <v>-12698</v>
      </c>
      <c r="E1920" s="20"/>
      <c r="F1920" s="23">
        <f t="shared" si="646"/>
        <v>-12698</v>
      </c>
      <c r="G1920" s="20">
        <v>-250610.25</v>
      </c>
      <c r="H1920">
        <v>76.400000000000006</v>
      </c>
      <c r="J1920" s="41" t="s">
        <v>119</v>
      </c>
      <c r="K1920" s="23">
        <v>-6206</v>
      </c>
      <c r="L1920" s="20">
        <v>63186.75</v>
      </c>
      <c r="M1920" s="23">
        <f t="shared" si="647"/>
        <v>56980.75</v>
      </c>
      <c r="N1920" s="20"/>
      <c r="O1920" s="23">
        <f t="shared" si="648"/>
        <v>56980.75</v>
      </c>
      <c r="P1920" s="20">
        <v>-191086.5</v>
      </c>
      <c r="Q1920">
        <v>64.900000000000006</v>
      </c>
    </row>
    <row r="1921" spans="1:17" ht="15.75" x14ac:dyDescent="0.25">
      <c r="A1921" s="41" t="s">
        <v>166</v>
      </c>
      <c r="B1921" s="23">
        <v>13800</v>
      </c>
      <c r="C1921" s="20"/>
      <c r="D1921" s="23">
        <f t="shared" si="645"/>
        <v>13800</v>
      </c>
      <c r="E1921" s="20"/>
      <c r="F1921" s="23">
        <f t="shared" si="646"/>
        <v>13800</v>
      </c>
      <c r="G1921" s="20">
        <v>-189450</v>
      </c>
      <c r="H1921">
        <v>63.35</v>
      </c>
      <c r="J1921" s="41" t="s">
        <v>166</v>
      </c>
      <c r="K1921" s="23">
        <v>-46312</v>
      </c>
      <c r="L1921" s="20">
        <v>45900</v>
      </c>
      <c r="M1921" s="23">
        <f t="shared" si="647"/>
        <v>-412</v>
      </c>
      <c r="N1921" s="20"/>
      <c r="O1921" s="23">
        <f t="shared" si="648"/>
        <v>-412</v>
      </c>
      <c r="P1921" s="20">
        <v>-358350</v>
      </c>
      <c r="Q1921">
        <v>58.75</v>
      </c>
    </row>
    <row r="1922" spans="1:17" ht="15.75" x14ac:dyDescent="0.25">
      <c r="A1922" s="21" t="s">
        <v>107</v>
      </c>
      <c r="B1922" s="22">
        <f t="shared" ref="B1922:G1922" si="649">SUM(B1912:B1921)</f>
        <v>108776</v>
      </c>
      <c r="C1922" s="18">
        <f t="shared" si="649"/>
        <v>0</v>
      </c>
      <c r="D1922" s="23">
        <f t="shared" si="649"/>
        <v>108776</v>
      </c>
      <c r="E1922" s="18">
        <f t="shared" si="649"/>
        <v>0</v>
      </c>
      <c r="F1922" s="23">
        <f t="shared" si="649"/>
        <v>108776</v>
      </c>
      <c r="G1922" s="17">
        <f t="shared" si="649"/>
        <v>-2513460.25</v>
      </c>
      <c r="J1922" s="21" t="s">
        <v>107</v>
      </c>
      <c r="K1922" s="22">
        <f t="shared" ref="K1922:P1922" si="650">SUM(K1912:K1921)</f>
        <v>70038</v>
      </c>
      <c r="L1922" s="18">
        <f t="shared" si="650"/>
        <v>135986.75</v>
      </c>
      <c r="M1922" s="23">
        <f t="shared" si="650"/>
        <v>206024.75</v>
      </c>
      <c r="N1922" s="18">
        <f t="shared" si="650"/>
        <v>0</v>
      </c>
      <c r="O1922" s="23">
        <f t="shared" si="650"/>
        <v>206024.75</v>
      </c>
      <c r="P1922" s="17">
        <f t="shared" si="650"/>
        <v>-2113386.5</v>
      </c>
    </row>
    <row r="1925" spans="1:17" ht="15.75" x14ac:dyDescent="0.25">
      <c r="A1925" s="107">
        <v>45491</v>
      </c>
      <c r="B1925" s="108"/>
      <c r="C1925" s="108"/>
      <c r="D1925" s="108"/>
      <c r="E1925" s="108"/>
      <c r="F1925" s="108"/>
      <c r="G1925" s="109"/>
    </row>
    <row r="1926" spans="1:17" ht="15.75" x14ac:dyDescent="0.25">
      <c r="A1926" s="22" t="s">
        <v>34</v>
      </c>
      <c r="B1926" s="22" t="s">
        <v>104</v>
      </c>
      <c r="C1926" s="22" t="s">
        <v>105</v>
      </c>
      <c r="D1926" s="22" t="s">
        <v>112</v>
      </c>
      <c r="E1926" s="22" t="s">
        <v>106</v>
      </c>
      <c r="F1926" s="21" t="s">
        <v>108</v>
      </c>
      <c r="G1926" s="21" t="s">
        <v>28</v>
      </c>
    </row>
    <row r="1927" spans="1:17" ht="15.75" x14ac:dyDescent="0.25">
      <c r="A1927" s="41" t="s">
        <v>164</v>
      </c>
      <c r="B1927" s="23">
        <f>55150-72750</f>
        <v>-17600</v>
      </c>
      <c r="C1927" s="20">
        <v>89499.999999999942</v>
      </c>
      <c r="D1927" s="23">
        <f t="shared" ref="D1927:D1936" si="651">+C1927+B1927</f>
        <v>71899.999999999942</v>
      </c>
      <c r="E1927" s="20"/>
      <c r="F1927" s="23">
        <f t="shared" ref="F1927:F1936" si="652">+B1927+C1927-E1927</f>
        <v>71899.999999999942</v>
      </c>
      <c r="G1927" s="20"/>
      <c r="H1927">
        <v>23.8</v>
      </c>
    </row>
    <row r="1928" spans="1:17" ht="15.75" x14ac:dyDescent="0.25">
      <c r="A1928" s="41" t="s">
        <v>19</v>
      </c>
      <c r="B1928" s="23">
        <v>2837</v>
      </c>
      <c r="C1928" s="20">
        <v>65500</v>
      </c>
      <c r="D1928" s="23">
        <f t="shared" si="651"/>
        <v>68337</v>
      </c>
      <c r="E1928" s="20"/>
      <c r="F1928" s="23">
        <f t="shared" si="652"/>
        <v>68337</v>
      </c>
      <c r="G1928" s="20"/>
      <c r="H1928">
        <v>244.35000000000002</v>
      </c>
    </row>
    <row r="1929" spans="1:17" ht="15.75" x14ac:dyDescent="0.25">
      <c r="A1929" s="41" t="s">
        <v>68</v>
      </c>
      <c r="B1929" s="23">
        <v>5720</v>
      </c>
      <c r="C1929" s="20">
        <v>-3900</v>
      </c>
      <c r="D1929" s="23">
        <f t="shared" si="651"/>
        <v>1820</v>
      </c>
      <c r="E1929" s="20"/>
      <c r="F1929" s="23">
        <f t="shared" si="652"/>
        <v>1820</v>
      </c>
      <c r="G1929" s="20"/>
      <c r="H1929">
        <v>10.3</v>
      </c>
    </row>
    <row r="1930" spans="1:17" ht="15.75" x14ac:dyDescent="0.25">
      <c r="A1930" s="41" t="s">
        <v>100</v>
      </c>
      <c r="B1930" s="23">
        <v>236800</v>
      </c>
      <c r="C1930" s="20">
        <v>-128000</v>
      </c>
      <c r="D1930" s="23">
        <f t="shared" si="651"/>
        <v>108800</v>
      </c>
      <c r="E1930" s="20"/>
      <c r="F1930" s="23">
        <f t="shared" si="652"/>
        <v>108800</v>
      </c>
      <c r="G1930" s="20"/>
      <c r="H1930">
        <v>18.100000000000001</v>
      </c>
    </row>
    <row r="1931" spans="1:17" ht="15.75" x14ac:dyDescent="0.25">
      <c r="A1931" s="41" t="s">
        <v>131</v>
      </c>
      <c r="B1931" s="23">
        <v>-4843</v>
      </c>
      <c r="C1931" s="20">
        <v>-72500</v>
      </c>
      <c r="D1931" s="23">
        <f t="shared" si="651"/>
        <v>-77343</v>
      </c>
      <c r="E1931" s="20"/>
      <c r="F1931" s="23">
        <f t="shared" si="652"/>
        <v>-77343</v>
      </c>
      <c r="G1931" s="20"/>
      <c r="H1931">
        <v>47.9</v>
      </c>
    </row>
    <row r="1932" spans="1:17" ht="15.75" x14ac:dyDescent="0.25">
      <c r="A1932" s="41" t="s">
        <v>54</v>
      </c>
      <c r="B1932" s="23">
        <v>-13850</v>
      </c>
      <c r="C1932" s="20">
        <v>76500</v>
      </c>
      <c r="D1932" s="23">
        <f t="shared" si="651"/>
        <v>62650</v>
      </c>
      <c r="E1932" s="20"/>
      <c r="F1932" s="23">
        <f t="shared" si="652"/>
        <v>62650</v>
      </c>
      <c r="G1932" s="20"/>
      <c r="H1932">
        <v>40</v>
      </c>
    </row>
    <row r="1933" spans="1:17" ht="15.75" x14ac:dyDescent="0.25">
      <c r="A1933" s="41" t="s">
        <v>165</v>
      </c>
      <c r="B1933" s="23">
        <v>-22000</v>
      </c>
      <c r="C1933" s="20">
        <v>10450</v>
      </c>
      <c r="D1933" s="23">
        <f t="shared" si="651"/>
        <v>-11550</v>
      </c>
      <c r="E1933" s="20"/>
      <c r="F1933" s="23">
        <f t="shared" si="652"/>
        <v>-11550</v>
      </c>
      <c r="G1933" s="20"/>
      <c r="H1933">
        <v>14.8</v>
      </c>
    </row>
    <row r="1934" spans="1:17" ht="15.75" x14ac:dyDescent="0.25">
      <c r="A1934" s="41" t="s">
        <v>158</v>
      </c>
      <c r="B1934" s="23">
        <v>-9275</v>
      </c>
      <c r="C1934" s="20">
        <v>60500</v>
      </c>
      <c r="D1934" s="23">
        <f t="shared" si="651"/>
        <v>51225</v>
      </c>
      <c r="E1934" s="20"/>
      <c r="F1934" s="23">
        <f t="shared" si="652"/>
        <v>51225</v>
      </c>
      <c r="G1934" s="20"/>
      <c r="H1934">
        <v>33.6</v>
      </c>
    </row>
    <row r="1935" spans="1:17" ht="15.75" x14ac:dyDescent="0.25">
      <c r="A1935" s="41" t="s">
        <v>119</v>
      </c>
      <c r="B1935" s="23">
        <f>-70919-32356</f>
        <v>-103275</v>
      </c>
      <c r="C1935" s="20">
        <v>511904.25</v>
      </c>
      <c r="D1935" s="23">
        <f t="shared" si="651"/>
        <v>408629.25</v>
      </c>
      <c r="E1935" s="20"/>
      <c r="F1935" s="23">
        <f t="shared" si="652"/>
        <v>408629.25</v>
      </c>
      <c r="G1935" s="20"/>
      <c r="H1935">
        <v>41.75</v>
      </c>
    </row>
    <row r="1936" spans="1:17" ht="15.75" x14ac:dyDescent="0.25">
      <c r="A1936" s="41" t="s">
        <v>166</v>
      </c>
      <c r="B1936" s="23">
        <f>5081+19218</f>
        <v>24299</v>
      </c>
      <c r="C1936" s="20">
        <v>-12000</v>
      </c>
      <c r="D1936" s="23">
        <f t="shared" si="651"/>
        <v>12299</v>
      </c>
      <c r="E1936" s="20"/>
      <c r="F1936" s="23">
        <f t="shared" si="652"/>
        <v>12299</v>
      </c>
      <c r="G1936" s="20"/>
      <c r="H1936">
        <v>52.7</v>
      </c>
    </row>
    <row r="1937" spans="1:17" ht="15.75" x14ac:dyDescent="0.25">
      <c r="A1937" s="21" t="s">
        <v>107</v>
      </c>
      <c r="B1937" s="22">
        <f t="shared" ref="B1937:G1937" si="653">SUM(B1927:B1936)</f>
        <v>98813</v>
      </c>
      <c r="C1937" s="18">
        <f t="shared" si="653"/>
        <v>597954.25</v>
      </c>
      <c r="D1937" s="23">
        <f t="shared" si="653"/>
        <v>696767.25</v>
      </c>
      <c r="E1937" s="18">
        <f t="shared" si="653"/>
        <v>0</v>
      </c>
      <c r="F1937" s="23">
        <f t="shared" si="653"/>
        <v>696767.25</v>
      </c>
      <c r="G1937" s="17">
        <f t="shared" si="653"/>
        <v>0</v>
      </c>
    </row>
    <row r="1942" spans="1:17" x14ac:dyDescent="0.25">
      <c r="A1942" s="115">
        <v>45526</v>
      </c>
      <c r="B1942" s="116"/>
      <c r="C1942" s="116"/>
    </row>
    <row r="1943" spans="1:17" x14ac:dyDescent="0.25">
      <c r="A1943" s="116"/>
      <c r="B1943" s="116"/>
      <c r="C1943" s="116"/>
    </row>
    <row r="1944" spans="1:17" x14ac:dyDescent="0.25">
      <c r="A1944" s="116"/>
      <c r="B1944" s="116"/>
      <c r="C1944" s="116"/>
    </row>
    <row r="1945" spans="1:17" x14ac:dyDescent="0.25">
      <c r="A1945" s="116"/>
      <c r="B1945" s="116"/>
      <c r="C1945" s="116"/>
    </row>
    <row r="1950" spans="1:17" ht="15.75" x14ac:dyDescent="0.25">
      <c r="A1950" s="107">
        <v>45526</v>
      </c>
      <c r="B1950" s="108"/>
      <c r="C1950" s="108"/>
      <c r="D1950" s="108"/>
      <c r="E1950" s="108"/>
      <c r="F1950" s="108"/>
      <c r="G1950" s="109"/>
      <c r="J1950" s="107">
        <v>45527</v>
      </c>
      <c r="K1950" s="108"/>
      <c r="L1950" s="108"/>
      <c r="M1950" s="108"/>
      <c r="N1950" s="108"/>
      <c r="O1950" s="108"/>
      <c r="P1950" s="109"/>
    </row>
    <row r="1951" spans="1:17" ht="15.75" x14ac:dyDescent="0.25">
      <c r="A1951" s="22" t="s">
        <v>34</v>
      </c>
      <c r="B1951" s="22" t="s">
        <v>104</v>
      </c>
      <c r="C1951" s="22" t="s">
        <v>105</v>
      </c>
      <c r="D1951" s="22" t="s">
        <v>112</v>
      </c>
      <c r="E1951" s="22" t="s">
        <v>106</v>
      </c>
      <c r="F1951" s="21" t="s">
        <v>108</v>
      </c>
      <c r="G1951" s="21" t="s">
        <v>28</v>
      </c>
      <c r="J1951" s="22" t="s">
        <v>34</v>
      </c>
      <c r="K1951" s="22" t="s">
        <v>104</v>
      </c>
      <c r="L1951" s="22" t="s">
        <v>105</v>
      </c>
      <c r="M1951" s="22" t="s">
        <v>112</v>
      </c>
      <c r="N1951" s="22" t="s">
        <v>106</v>
      </c>
      <c r="O1951" s="21" t="s">
        <v>108</v>
      </c>
      <c r="P1951" s="21" t="s">
        <v>28</v>
      </c>
    </row>
    <row r="1952" spans="1:17" ht="15.75" x14ac:dyDescent="0.25">
      <c r="A1952" s="41" t="s">
        <v>19</v>
      </c>
      <c r="B1952" s="23">
        <v>-8031</v>
      </c>
      <c r="C1952" s="20"/>
      <c r="D1952" s="23">
        <f t="shared" ref="D1952:D1964" si="654">+C1952+B1952</f>
        <v>-8031</v>
      </c>
      <c r="E1952" s="20"/>
      <c r="F1952" s="23">
        <f t="shared" ref="F1952:F1964" si="655">+B1952+C1952-E1952</f>
        <v>-8031</v>
      </c>
      <c r="G1952" s="20">
        <v>-240350</v>
      </c>
      <c r="H1952" s="69">
        <v>245.35</v>
      </c>
      <c r="J1952" s="41" t="s">
        <v>19</v>
      </c>
      <c r="K1952" s="23">
        <v>28325</v>
      </c>
      <c r="L1952" s="20">
        <v>16850</v>
      </c>
      <c r="M1952" s="23">
        <f t="shared" ref="M1952:M1964" si="656">+L1952+K1952</f>
        <v>45175</v>
      </c>
      <c r="N1952" s="20"/>
      <c r="O1952" s="23">
        <f t="shared" ref="O1952:O1964" si="657">+K1952+L1952-N1952</f>
        <v>45175</v>
      </c>
      <c r="P1952" s="20">
        <v>-364350</v>
      </c>
      <c r="Q1952">
        <v>197.95</v>
      </c>
    </row>
    <row r="1953" spans="1:17" ht="15.75" x14ac:dyDescent="0.25">
      <c r="A1953" s="41" t="s">
        <v>136</v>
      </c>
      <c r="B1953" s="23">
        <v>-14500</v>
      </c>
      <c r="C1953" s="20"/>
      <c r="D1953" s="23">
        <f t="shared" si="654"/>
        <v>-14500</v>
      </c>
      <c r="E1953" s="20"/>
      <c r="F1953" s="23">
        <f t="shared" si="655"/>
        <v>-14500</v>
      </c>
      <c r="G1953" s="20">
        <v>-195000</v>
      </c>
      <c r="H1953" s="69">
        <v>7</v>
      </c>
      <c r="J1953" s="41" t="s">
        <v>136</v>
      </c>
      <c r="K1953" s="23">
        <v>55000</v>
      </c>
      <c r="L1953" s="20">
        <v>58750</v>
      </c>
      <c r="M1953" s="23">
        <f t="shared" si="656"/>
        <v>113750</v>
      </c>
      <c r="N1953" s="20"/>
      <c r="O1953" s="23">
        <f t="shared" si="657"/>
        <v>113750</v>
      </c>
      <c r="P1953" s="20">
        <v>-252500</v>
      </c>
      <c r="Q1953">
        <v>5.6</v>
      </c>
    </row>
    <row r="1954" spans="1:17" ht="15.75" x14ac:dyDescent="0.25">
      <c r="A1954" s="41" t="s">
        <v>167</v>
      </c>
      <c r="B1954" s="23">
        <v>-39300</v>
      </c>
      <c r="C1954" s="20"/>
      <c r="D1954" s="23">
        <f t="shared" si="654"/>
        <v>-39300</v>
      </c>
      <c r="E1954" s="20"/>
      <c r="F1954" s="23">
        <f t="shared" si="655"/>
        <v>-39300</v>
      </c>
      <c r="G1954" s="20">
        <v>-110600</v>
      </c>
      <c r="H1954" s="69">
        <v>67.099999999999994</v>
      </c>
      <c r="J1954" s="41" t="s">
        <v>167</v>
      </c>
      <c r="K1954" s="23">
        <v>8840</v>
      </c>
      <c r="L1954" s="20">
        <v>-3400</v>
      </c>
      <c r="M1954" s="23">
        <f t="shared" si="656"/>
        <v>5440</v>
      </c>
      <c r="N1954" s="20"/>
      <c r="O1954" s="23">
        <f t="shared" si="657"/>
        <v>5440</v>
      </c>
      <c r="P1954" s="20">
        <v>-149700</v>
      </c>
      <c r="Q1954">
        <v>53.5</v>
      </c>
    </row>
    <row r="1955" spans="1:17" ht="15.75" x14ac:dyDescent="0.25">
      <c r="A1955" s="41" t="s">
        <v>100</v>
      </c>
      <c r="B1955" s="23">
        <v>-4700</v>
      </c>
      <c r="C1955" s="20"/>
      <c r="D1955" s="23">
        <f t="shared" si="654"/>
        <v>-4700</v>
      </c>
      <c r="E1955" s="20"/>
      <c r="F1955" s="23">
        <f t="shared" si="655"/>
        <v>-4700</v>
      </c>
      <c r="G1955" s="20">
        <v>-238000</v>
      </c>
      <c r="H1955" s="69">
        <v>16.100000000000001</v>
      </c>
      <c r="J1955" s="41" t="s">
        <v>100</v>
      </c>
      <c r="K1955" s="23">
        <v>1650</v>
      </c>
      <c r="L1955" s="20">
        <v>-72500</v>
      </c>
      <c r="M1955" s="23">
        <f t="shared" si="656"/>
        <v>-70850</v>
      </c>
      <c r="N1955" s="20"/>
      <c r="O1955" s="23">
        <f t="shared" si="657"/>
        <v>-70850</v>
      </c>
      <c r="P1955" s="20">
        <v>-145500</v>
      </c>
      <c r="Q1955">
        <v>13.15</v>
      </c>
    </row>
    <row r="1956" spans="1:17" ht="15.75" x14ac:dyDescent="0.25">
      <c r="A1956" s="41" t="s">
        <v>78</v>
      </c>
      <c r="B1956" s="23">
        <v>-12356</v>
      </c>
      <c r="C1956" s="20"/>
      <c r="D1956" s="23">
        <f t="shared" si="654"/>
        <v>-12356</v>
      </c>
      <c r="E1956" s="20"/>
      <c r="F1956" s="23">
        <f t="shared" si="655"/>
        <v>-12356</v>
      </c>
      <c r="G1956" s="20">
        <v>-148550</v>
      </c>
      <c r="H1956" s="69">
        <v>145.6</v>
      </c>
      <c r="J1956" s="41" t="s">
        <v>78</v>
      </c>
      <c r="K1956" s="23"/>
      <c r="L1956" s="20">
        <v>28700</v>
      </c>
      <c r="M1956" s="23">
        <f t="shared" si="656"/>
        <v>28700</v>
      </c>
      <c r="N1956" s="20"/>
      <c r="O1956" s="23">
        <f t="shared" si="657"/>
        <v>28700</v>
      </c>
      <c r="P1956" s="20">
        <v>-100350</v>
      </c>
      <c r="Q1956">
        <v>115.7</v>
      </c>
    </row>
    <row r="1957" spans="1:17" ht="15.75" x14ac:dyDescent="0.25">
      <c r="A1957" s="41" t="s">
        <v>131</v>
      </c>
      <c r="B1957" s="23">
        <v>-38375</v>
      </c>
      <c r="C1957" s="20"/>
      <c r="D1957" s="23">
        <f t="shared" si="654"/>
        <v>-38375</v>
      </c>
      <c r="E1957" s="20"/>
      <c r="F1957" s="23">
        <f t="shared" si="655"/>
        <v>-38375</v>
      </c>
      <c r="G1957" s="20">
        <v>-87125</v>
      </c>
      <c r="H1957" s="69">
        <v>42.35</v>
      </c>
      <c r="J1957" s="41" t="s">
        <v>131</v>
      </c>
      <c r="K1957" s="23">
        <v>-17250</v>
      </c>
      <c r="L1957" s="20">
        <v>-10875</v>
      </c>
      <c r="M1957" s="23">
        <f t="shared" si="656"/>
        <v>-28125</v>
      </c>
      <c r="N1957" s="20"/>
      <c r="O1957" s="23">
        <f t="shared" si="657"/>
        <v>-28125</v>
      </c>
      <c r="P1957" s="20">
        <v>-268500</v>
      </c>
      <c r="Q1957">
        <v>36.849999999999994</v>
      </c>
    </row>
    <row r="1958" spans="1:17" ht="15.75" x14ac:dyDescent="0.25">
      <c r="A1958" s="41" t="s">
        <v>16</v>
      </c>
      <c r="B1958" s="23">
        <v>51210</v>
      </c>
      <c r="C1958" s="20"/>
      <c r="D1958" s="23">
        <f t="shared" si="654"/>
        <v>51210</v>
      </c>
      <c r="E1958" s="20"/>
      <c r="F1958" s="23">
        <f t="shared" si="655"/>
        <v>51210</v>
      </c>
      <c r="G1958" s="20">
        <v>-131400</v>
      </c>
      <c r="H1958" s="69">
        <v>13.7</v>
      </c>
      <c r="J1958" s="41" t="s">
        <v>16</v>
      </c>
      <c r="K1958" s="23">
        <v>54450</v>
      </c>
      <c r="L1958" s="20">
        <v>-4050</v>
      </c>
      <c r="M1958" s="23">
        <f t="shared" si="656"/>
        <v>50400</v>
      </c>
      <c r="N1958" s="20"/>
      <c r="O1958" s="23">
        <f t="shared" si="657"/>
        <v>50400</v>
      </c>
      <c r="P1958" s="20">
        <v>-9450</v>
      </c>
      <c r="Q1958">
        <v>10.850000000000001</v>
      </c>
    </row>
    <row r="1959" spans="1:17" ht="15.75" x14ac:dyDescent="0.25">
      <c r="A1959" s="41" t="s">
        <v>148</v>
      </c>
      <c r="B1959" s="23">
        <v>-30562</v>
      </c>
      <c r="C1959" s="20"/>
      <c r="D1959" s="23">
        <f t="shared" si="654"/>
        <v>-30562</v>
      </c>
      <c r="E1959" s="20"/>
      <c r="F1959" s="23">
        <f t="shared" si="655"/>
        <v>-30562</v>
      </c>
      <c r="G1959" s="20">
        <v>-118500</v>
      </c>
      <c r="H1959" s="69">
        <v>15</v>
      </c>
      <c r="J1959" s="41" t="s">
        <v>148</v>
      </c>
      <c r="K1959" s="23">
        <v>3000</v>
      </c>
      <c r="L1959" s="20">
        <v>2499.9999999999964</v>
      </c>
      <c r="M1959" s="23">
        <f t="shared" si="656"/>
        <v>5499.9999999999964</v>
      </c>
      <c r="N1959" s="20"/>
      <c r="O1959" s="23">
        <f t="shared" si="657"/>
        <v>5499.9999999999964</v>
      </c>
      <c r="P1959" s="20">
        <v>-223000</v>
      </c>
      <c r="Q1959">
        <v>12.6</v>
      </c>
    </row>
    <row r="1960" spans="1:17" ht="15.75" x14ac:dyDescent="0.25">
      <c r="A1960" s="41" t="s">
        <v>82</v>
      </c>
      <c r="B1960" s="23">
        <v>-17156</v>
      </c>
      <c r="C1960" s="20"/>
      <c r="D1960" s="23">
        <f t="shared" si="654"/>
        <v>-17156</v>
      </c>
      <c r="E1960" s="20"/>
      <c r="F1960" s="23">
        <f t="shared" si="655"/>
        <v>-17156</v>
      </c>
      <c r="G1960" s="20">
        <v>-160020</v>
      </c>
      <c r="H1960" s="69">
        <v>95.15</v>
      </c>
      <c r="J1960" s="41" t="s">
        <v>82</v>
      </c>
      <c r="K1960" s="23">
        <v>25875</v>
      </c>
      <c r="L1960" s="20">
        <v>-37620.000000000015</v>
      </c>
      <c r="M1960" s="23">
        <f t="shared" si="656"/>
        <v>-11745.000000000015</v>
      </c>
      <c r="N1960" s="20"/>
      <c r="O1960" s="23">
        <f t="shared" si="657"/>
        <v>-11745.000000000015</v>
      </c>
      <c r="P1960" s="20">
        <v>-165420</v>
      </c>
      <c r="Q1960">
        <v>81.400000000000006</v>
      </c>
    </row>
    <row r="1961" spans="1:17" ht="15.75" x14ac:dyDescent="0.25">
      <c r="A1961" s="41" t="s">
        <v>140</v>
      </c>
      <c r="B1961" s="23">
        <v>15400</v>
      </c>
      <c r="C1961" s="20"/>
      <c r="D1961" s="23">
        <f t="shared" si="654"/>
        <v>15400</v>
      </c>
      <c r="E1961" s="20"/>
      <c r="F1961" s="23">
        <f t="shared" si="655"/>
        <v>15400</v>
      </c>
      <c r="G1961" s="20">
        <v>-160650</v>
      </c>
      <c r="H1961" s="69">
        <v>20.8</v>
      </c>
      <c r="J1961" s="41" t="s">
        <v>140</v>
      </c>
      <c r="K1961" s="23">
        <v>4480</v>
      </c>
      <c r="L1961" s="20">
        <v>38500</v>
      </c>
      <c r="M1961" s="23">
        <f t="shared" si="656"/>
        <v>42980</v>
      </c>
      <c r="N1961" s="20"/>
      <c r="O1961" s="23">
        <f t="shared" si="657"/>
        <v>42980</v>
      </c>
      <c r="P1961" s="20">
        <v>-327600</v>
      </c>
      <c r="Q1961">
        <v>16.75</v>
      </c>
    </row>
    <row r="1962" spans="1:17" ht="15.75" x14ac:dyDescent="0.25">
      <c r="A1962" s="41" t="s">
        <v>88</v>
      </c>
      <c r="B1962" s="23">
        <v>-4770</v>
      </c>
      <c r="C1962" s="20"/>
      <c r="D1962" s="23">
        <f t="shared" si="654"/>
        <v>-4770</v>
      </c>
      <c r="E1962" s="20"/>
      <c r="F1962" s="23">
        <f t="shared" si="655"/>
        <v>-4770</v>
      </c>
      <c r="G1962" s="20">
        <v>-93375</v>
      </c>
      <c r="H1962" s="69">
        <v>136.05000000000001</v>
      </c>
      <c r="J1962" s="41" t="s">
        <v>88</v>
      </c>
      <c r="K1962" s="23">
        <v>205680</v>
      </c>
      <c r="L1962" s="20">
        <v>-218670</v>
      </c>
      <c r="M1962" s="23">
        <f t="shared" si="656"/>
        <v>-12990</v>
      </c>
      <c r="N1962" s="20"/>
      <c r="O1962" s="23">
        <f t="shared" si="657"/>
        <v>-12990</v>
      </c>
      <c r="P1962" s="20">
        <v>-355500</v>
      </c>
      <c r="Q1962">
        <v>131.19999999999999</v>
      </c>
    </row>
    <row r="1963" spans="1:17" ht="15.75" x14ac:dyDescent="0.25">
      <c r="A1963" s="41" t="s">
        <v>116</v>
      </c>
      <c r="B1963" s="23">
        <v>4492</v>
      </c>
      <c r="C1963" s="20"/>
      <c r="D1963" s="23">
        <f t="shared" si="654"/>
        <v>4492</v>
      </c>
      <c r="E1963" s="20"/>
      <c r="F1963" s="23">
        <f t="shared" si="655"/>
        <v>4492</v>
      </c>
      <c r="G1963" s="23">
        <v>-79440</v>
      </c>
      <c r="H1963" s="69">
        <v>142.14999999999998</v>
      </c>
      <c r="J1963" s="41" t="s">
        <v>116</v>
      </c>
      <c r="K1963" s="23">
        <v>-8370</v>
      </c>
      <c r="L1963" s="20">
        <v>-16980</v>
      </c>
      <c r="M1963" s="23">
        <f t="shared" si="656"/>
        <v>-25350</v>
      </c>
      <c r="N1963" s="20"/>
      <c r="O1963" s="23">
        <f t="shared" si="657"/>
        <v>-25350</v>
      </c>
      <c r="P1963" s="23">
        <v>-252300</v>
      </c>
      <c r="Q1963">
        <v>134.25</v>
      </c>
    </row>
    <row r="1964" spans="1:17" ht="15.75" x14ac:dyDescent="0.25">
      <c r="A1964" s="41" t="s">
        <v>119</v>
      </c>
      <c r="B1964" s="23">
        <v>4578</v>
      </c>
      <c r="C1964" s="20"/>
      <c r="D1964" s="23">
        <f t="shared" si="654"/>
        <v>4578</v>
      </c>
      <c r="E1964" s="20"/>
      <c r="F1964" s="23">
        <f t="shared" si="655"/>
        <v>4578</v>
      </c>
      <c r="G1964" s="23">
        <v>-90964.5</v>
      </c>
      <c r="H1964" s="69">
        <v>47</v>
      </c>
      <c r="J1964" s="41" t="s">
        <v>119</v>
      </c>
      <c r="K1964" s="23">
        <v>33048</v>
      </c>
      <c r="L1964" s="20">
        <v>-57794</v>
      </c>
      <c r="M1964" s="23">
        <f t="shared" si="656"/>
        <v>-24746</v>
      </c>
      <c r="N1964" s="20"/>
      <c r="O1964" s="23">
        <f t="shared" si="657"/>
        <v>-24746</v>
      </c>
      <c r="P1964" s="23">
        <v>-195665.25</v>
      </c>
      <c r="Q1964">
        <v>42</v>
      </c>
    </row>
    <row r="1965" spans="1:17" ht="15.75" x14ac:dyDescent="0.25">
      <c r="A1965" s="21" t="s">
        <v>107</v>
      </c>
      <c r="B1965" s="22">
        <f t="shared" ref="B1965" si="658">SUM(B1952:B1964)</f>
        <v>-94070</v>
      </c>
      <c r="C1965" s="18">
        <f t="shared" ref="C1965:G1965" si="659">SUM(C1952:C1964)</f>
        <v>0</v>
      </c>
      <c r="D1965" s="23">
        <f t="shared" si="659"/>
        <v>-94070</v>
      </c>
      <c r="E1965" s="18">
        <f t="shared" si="659"/>
        <v>0</v>
      </c>
      <c r="F1965" s="23">
        <f t="shared" si="659"/>
        <v>-94070</v>
      </c>
      <c r="G1965" s="17">
        <f t="shared" si="659"/>
        <v>-1853974.5</v>
      </c>
      <c r="J1965" s="21" t="s">
        <v>107</v>
      </c>
      <c r="K1965" s="22">
        <f t="shared" ref="K1965" si="660">SUM(K1952:K1964)</f>
        <v>394728</v>
      </c>
      <c r="L1965" s="18">
        <f t="shared" ref="L1965:P1965" si="661">SUM(L1952:L1964)</f>
        <v>-276589</v>
      </c>
      <c r="M1965" s="23">
        <f t="shared" si="661"/>
        <v>118139</v>
      </c>
      <c r="N1965" s="18">
        <f t="shared" si="661"/>
        <v>0</v>
      </c>
      <c r="O1965" s="23">
        <f t="shared" si="661"/>
        <v>118139</v>
      </c>
      <c r="P1965" s="17">
        <f t="shared" si="661"/>
        <v>-2809835.25</v>
      </c>
    </row>
    <row r="1969" spans="1:7" ht="15.75" x14ac:dyDescent="0.25">
      <c r="A1969" s="107">
        <v>45530</v>
      </c>
      <c r="B1969" s="108"/>
      <c r="C1969" s="108"/>
      <c r="D1969" s="108"/>
      <c r="E1969" s="108"/>
      <c r="F1969" s="108"/>
      <c r="G1969" s="109"/>
    </row>
    <row r="1970" spans="1:7" ht="15.75" x14ac:dyDescent="0.25">
      <c r="A1970" s="22" t="s">
        <v>34</v>
      </c>
      <c r="B1970" s="22" t="s">
        <v>104</v>
      </c>
      <c r="C1970" s="22" t="s">
        <v>105</v>
      </c>
      <c r="D1970" s="22" t="s">
        <v>112</v>
      </c>
      <c r="E1970" s="22" t="s">
        <v>106</v>
      </c>
      <c r="F1970" s="21" t="s">
        <v>108</v>
      </c>
      <c r="G1970" s="21" t="s">
        <v>28</v>
      </c>
    </row>
    <row r="1971" spans="1:7" ht="15.75" x14ac:dyDescent="0.25">
      <c r="A1971" s="41" t="s">
        <v>19</v>
      </c>
      <c r="B1971" s="23">
        <f>-98381+2350</f>
        <v>-96031</v>
      </c>
      <c r="C1971" s="20">
        <v>98250</v>
      </c>
      <c r="D1971" s="23">
        <f t="shared" ref="D1971:D1983" si="662">+C1971+B1971</f>
        <v>2219</v>
      </c>
      <c r="E1971" s="20"/>
      <c r="F1971" s="23">
        <f t="shared" ref="F1971:F1983" si="663">+B1971+C1971-E1971</f>
        <v>2219</v>
      </c>
      <c r="G1971" s="20"/>
    </row>
    <row r="1972" spans="1:7" ht="15.75" x14ac:dyDescent="0.25">
      <c r="A1972" s="41" t="s">
        <v>136</v>
      </c>
      <c r="B1972" s="23">
        <v>-79750</v>
      </c>
      <c r="C1972" s="20">
        <v>121250</v>
      </c>
      <c r="D1972" s="23">
        <f t="shared" si="662"/>
        <v>41500</v>
      </c>
      <c r="E1972" s="20"/>
      <c r="F1972" s="23">
        <f t="shared" si="663"/>
        <v>41500</v>
      </c>
      <c r="G1972" s="20"/>
    </row>
    <row r="1973" spans="1:7" ht="15.75" x14ac:dyDescent="0.25">
      <c r="A1973" s="41" t="s">
        <v>167</v>
      </c>
      <c r="B1973" s="23">
        <v>-39800</v>
      </c>
      <c r="C1973" s="20">
        <v>89100</v>
      </c>
      <c r="D1973" s="23">
        <f t="shared" si="662"/>
        <v>49300</v>
      </c>
      <c r="E1973" s="20"/>
      <c r="F1973" s="23">
        <f t="shared" si="663"/>
        <v>49300</v>
      </c>
      <c r="G1973" s="20"/>
    </row>
    <row r="1974" spans="1:7" ht="15.75" x14ac:dyDescent="0.25">
      <c r="A1974" s="41" t="s">
        <v>100</v>
      </c>
      <c r="B1974" s="23">
        <v>-138700</v>
      </c>
      <c r="C1974" s="20">
        <v>107500</v>
      </c>
      <c r="D1974" s="23">
        <f t="shared" si="662"/>
        <v>-31200</v>
      </c>
      <c r="E1974" s="20"/>
      <c r="F1974" s="23">
        <f t="shared" si="663"/>
        <v>-31200</v>
      </c>
      <c r="G1974" s="20"/>
    </row>
    <row r="1975" spans="1:7" ht="15.75" x14ac:dyDescent="0.25">
      <c r="A1975" s="41" t="s">
        <v>78</v>
      </c>
      <c r="B1975" s="23">
        <v>-40300</v>
      </c>
      <c r="C1975" s="20">
        <v>96050</v>
      </c>
      <c r="D1975" s="23">
        <f t="shared" si="662"/>
        <v>55750</v>
      </c>
      <c r="E1975" s="20"/>
      <c r="F1975" s="23">
        <f t="shared" si="663"/>
        <v>55750</v>
      </c>
      <c r="G1975" s="20"/>
    </row>
    <row r="1976" spans="1:7" ht="15.75" x14ac:dyDescent="0.25">
      <c r="A1976" s="41" t="s">
        <v>131</v>
      </c>
      <c r="B1976" s="23">
        <v>53343</v>
      </c>
      <c r="C1976" s="20">
        <v>-64750</v>
      </c>
      <c r="D1976" s="23">
        <f t="shared" si="662"/>
        <v>-11407</v>
      </c>
      <c r="E1976" s="20"/>
      <c r="F1976" s="23">
        <f t="shared" si="663"/>
        <v>-11407</v>
      </c>
      <c r="G1976" s="20"/>
    </row>
    <row r="1977" spans="1:7" ht="15.75" x14ac:dyDescent="0.25">
      <c r="A1977" s="41" t="s">
        <v>16</v>
      </c>
      <c r="B1977" s="23">
        <f>9900-55530</f>
        <v>-45630</v>
      </c>
      <c r="C1977" s="20">
        <v>36450</v>
      </c>
      <c r="D1977" s="23">
        <f t="shared" si="662"/>
        <v>-9180</v>
      </c>
      <c r="E1977" s="20"/>
      <c r="F1977" s="23">
        <f t="shared" si="663"/>
        <v>-9180</v>
      </c>
      <c r="G1977" s="20"/>
    </row>
    <row r="1978" spans="1:7" ht="15.75" x14ac:dyDescent="0.25">
      <c r="A1978" s="41" t="s">
        <v>148</v>
      </c>
      <c r="B1978" s="23">
        <v>-28312</v>
      </c>
      <c r="C1978" s="20">
        <v>87500</v>
      </c>
      <c r="D1978" s="23">
        <f t="shared" si="662"/>
        <v>59188</v>
      </c>
      <c r="E1978" s="20"/>
      <c r="F1978" s="23">
        <f t="shared" si="663"/>
        <v>59188</v>
      </c>
      <c r="G1978" s="20"/>
    </row>
    <row r="1979" spans="1:7" ht="15.75" x14ac:dyDescent="0.25">
      <c r="A1979" s="41" t="s">
        <v>82</v>
      </c>
      <c r="B1979" s="23">
        <v>-16931</v>
      </c>
      <c r="C1979" s="20">
        <v>45360</v>
      </c>
      <c r="D1979" s="23">
        <f t="shared" si="662"/>
        <v>28429</v>
      </c>
      <c r="E1979" s="20"/>
      <c r="F1979" s="23">
        <f t="shared" si="663"/>
        <v>28429</v>
      </c>
      <c r="G1979" s="20"/>
    </row>
    <row r="1980" spans="1:7" ht="15.75" x14ac:dyDescent="0.25">
      <c r="A1980" s="41" t="s">
        <v>140</v>
      </c>
      <c r="B1980" s="23">
        <v>458080</v>
      </c>
      <c r="C1980" s="20">
        <v>-528500</v>
      </c>
      <c r="D1980" s="23">
        <f t="shared" si="662"/>
        <v>-70420</v>
      </c>
      <c r="E1980" s="20"/>
      <c r="F1980" s="23">
        <f t="shared" si="663"/>
        <v>-70420</v>
      </c>
      <c r="G1980" s="20"/>
    </row>
    <row r="1981" spans="1:7" ht="15.75" x14ac:dyDescent="0.25">
      <c r="A1981" s="41" t="s">
        <v>88</v>
      </c>
      <c r="B1981" s="23">
        <v>-107775</v>
      </c>
      <c r="C1981" s="20">
        <v>175890</v>
      </c>
      <c r="D1981" s="23">
        <f t="shared" si="662"/>
        <v>68115</v>
      </c>
      <c r="E1981" s="20"/>
      <c r="F1981" s="23">
        <f t="shared" si="663"/>
        <v>68115</v>
      </c>
      <c r="G1981" s="20"/>
    </row>
    <row r="1982" spans="1:7" ht="15.75" x14ac:dyDescent="0.25">
      <c r="A1982" s="41" t="s">
        <v>116</v>
      </c>
      <c r="B1982" s="23">
        <v>-78592</v>
      </c>
      <c r="C1982" s="20">
        <v>-60255</v>
      </c>
      <c r="D1982" s="23">
        <f t="shared" si="662"/>
        <v>-138847</v>
      </c>
      <c r="E1982" s="20"/>
      <c r="F1982" s="23">
        <f t="shared" si="663"/>
        <v>-138847</v>
      </c>
      <c r="G1982" s="23"/>
    </row>
    <row r="1983" spans="1:7" ht="15.75" x14ac:dyDescent="0.25">
      <c r="A1983" s="41" t="s">
        <v>119</v>
      </c>
      <c r="B1983" s="23">
        <v>-71326</v>
      </c>
      <c r="C1983" s="20">
        <v>138909.1</v>
      </c>
      <c r="D1983" s="23">
        <f t="shared" si="662"/>
        <v>67583.100000000006</v>
      </c>
      <c r="E1983" s="20"/>
      <c r="F1983" s="23">
        <f t="shared" si="663"/>
        <v>67583.100000000006</v>
      </c>
      <c r="G1983" s="23"/>
    </row>
    <row r="1984" spans="1:7" ht="15.75" x14ac:dyDescent="0.25">
      <c r="A1984" s="21" t="s">
        <v>107</v>
      </c>
      <c r="B1984" s="22">
        <f t="shared" ref="B1984:G1984" si="664">SUM(B1971:B1983)</f>
        <v>-231724</v>
      </c>
      <c r="C1984" s="18">
        <f t="shared" si="664"/>
        <v>342754.1</v>
      </c>
      <c r="D1984" s="23">
        <f t="shared" si="664"/>
        <v>111030.1</v>
      </c>
      <c r="E1984" s="18">
        <f t="shared" si="664"/>
        <v>0</v>
      </c>
      <c r="F1984" s="23">
        <f t="shared" si="664"/>
        <v>111030.1</v>
      </c>
      <c r="G1984" s="17">
        <f t="shared" si="664"/>
        <v>0</v>
      </c>
    </row>
    <row r="1987" spans="1:21" x14ac:dyDescent="0.25">
      <c r="A1987" s="113">
        <v>45552</v>
      </c>
      <c r="B1987" s="114"/>
      <c r="C1987" s="114"/>
      <c r="D1987" s="114"/>
    </row>
    <row r="1988" spans="1:21" x14ac:dyDescent="0.25">
      <c r="A1988" s="114"/>
      <c r="B1988" s="114"/>
      <c r="C1988" s="114"/>
      <c r="D1988" s="114"/>
    </row>
    <row r="1989" spans="1:21" x14ac:dyDescent="0.25">
      <c r="A1989" s="114"/>
      <c r="B1989" s="114"/>
      <c r="C1989" s="114"/>
      <c r="D1989" s="114"/>
    </row>
    <row r="1990" spans="1:21" x14ac:dyDescent="0.25">
      <c r="A1990" s="114"/>
      <c r="B1990" s="114"/>
      <c r="C1990" s="114"/>
      <c r="D1990" s="114"/>
    </row>
    <row r="1991" spans="1:21" x14ac:dyDescent="0.25">
      <c r="A1991" s="114"/>
      <c r="B1991" s="114"/>
      <c r="C1991" s="114"/>
      <c r="D1991" s="114"/>
    </row>
    <row r="1992" spans="1:21" x14ac:dyDescent="0.25">
      <c r="A1992" s="114"/>
      <c r="B1992" s="114"/>
      <c r="C1992" s="114"/>
      <c r="D1992" s="114"/>
    </row>
    <row r="1998" spans="1:21" ht="15.75" x14ac:dyDescent="0.25">
      <c r="A1998" s="107" t="s">
        <v>174</v>
      </c>
      <c r="B1998" s="108"/>
      <c r="C1998" s="108"/>
      <c r="D1998" s="108"/>
      <c r="E1998" s="108"/>
      <c r="F1998" s="108"/>
      <c r="G1998" s="109"/>
      <c r="K1998" s="107" t="s">
        <v>176</v>
      </c>
      <c r="L1998" s="108"/>
      <c r="M1998" s="108"/>
      <c r="N1998" s="108"/>
      <c r="O1998" s="108"/>
      <c r="P1998" s="108"/>
      <c r="Q1998" s="109"/>
    </row>
    <row r="1999" spans="1:21" ht="15.75" x14ac:dyDescent="0.25">
      <c r="A1999" s="22" t="s">
        <v>34</v>
      </c>
      <c r="B1999" s="22" t="s">
        <v>104</v>
      </c>
      <c r="C1999" s="22" t="s">
        <v>105</v>
      </c>
      <c r="D1999" s="22" t="s">
        <v>112</v>
      </c>
      <c r="E1999" s="22" t="s">
        <v>106</v>
      </c>
      <c r="F1999" s="21" t="s">
        <v>108</v>
      </c>
      <c r="G1999" s="21" t="s">
        <v>28</v>
      </c>
      <c r="K1999" s="22" t="s">
        <v>34</v>
      </c>
      <c r="L1999" s="22" t="s">
        <v>104</v>
      </c>
      <c r="M1999" s="22" t="s">
        <v>105</v>
      </c>
      <c r="N1999" s="22" t="s">
        <v>112</v>
      </c>
      <c r="O1999" s="22" t="s">
        <v>106</v>
      </c>
      <c r="P1999" s="21" t="s">
        <v>108</v>
      </c>
      <c r="Q1999" s="21" t="s">
        <v>28</v>
      </c>
    </row>
    <row r="2000" spans="1:21" ht="15.75" x14ac:dyDescent="0.25">
      <c r="A2000" s="41" t="s">
        <v>71</v>
      </c>
      <c r="B2000" s="23">
        <v>8670</v>
      </c>
      <c r="C2000" s="20"/>
      <c r="D2000" s="23">
        <f t="shared" ref="D2000:D2011" si="665">+C2000+B2000</f>
        <v>8670</v>
      </c>
      <c r="E2000" s="20"/>
      <c r="F2000" s="23">
        <f t="shared" ref="F2000:F2011" si="666">+B2000+C2000-E2000</f>
        <v>8670</v>
      </c>
      <c r="G2000" s="20">
        <v>-270895</v>
      </c>
      <c r="H2000">
        <v>17.600000000000001</v>
      </c>
      <c r="K2000" s="41" t="s">
        <v>71</v>
      </c>
      <c r="L2000" s="23">
        <v>18870</v>
      </c>
      <c r="M2000" s="20">
        <v>-45305</v>
      </c>
      <c r="N2000" s="23">
        <f t="shared" ref="N2000:N2011" si="667">+M2000+L2000</f>
        <v>-26435</v>
      </c>
      <c r="O2000" s="20"/>
      <c r="P2000" s="23">
        <f t="shared" ref="P2000:P2011" si="668">+L2000+M2000-O2000</f>
        <v>-26435</v>
      </c>
      <c r="Q2000" s="20">
        <v>-386750</v>
      </c>
      <c r="R2000">
        <v>16.649999999999999</v>
      </c>
      <c r="U2000">
        <f>+F2000+P2000+F2017+P2017+F2036+P2036</f>
        <v>493085</v>
      </c>
    </row>
    <row r="2001" spans="1:21" ht="15.75" x14ac:dyDescent="0.25">
      <c r="A2001" s="41" t="s">
        <v>136</v>
      </c>
      <c r="B2001" s="23">
        <v>17750</v>
      </c>
      <c r="C2001" s="20"/>
      <c r="D2001" s="23">
        <f t="shared" si="665"/>
        <v>17750</v>
      </c>
      <c r="E2001" s="20"/>
      <c r="F2001" s="23">
        <f t="shared" si="666"/>
        <v>17750</v>
      </c>
      <c r="G2001" s="20">
        <v>-375000</v>
      </c>
      <c r="H2001">
        <v>7.9499999999999993</v>
      </c>
      <c r="K2001" s="41" t="s">
        <v>136</v>
      </c>
      <c r="L2001" s="23">
        <v>45500</v>
      </c>
      <c r="M2001" s="20">
        <v>-47500</v>
      </c>
      <c r="N2001" s="23">
        <f t="shared" si="667"/>
        <v>-2000</v>
      </c>
      <c r="O2001" s="20"/>
      <c r="P2001" s="23">
        <f t="shared" si="668"/>
        <v>-2000</v>
      </c>
      <c r="Q2001" s="20">
        <v>-345750</v>
      </c>
      <c r="R2001">
        <v>7.5</v>
      </c>
      <c r="U2001">
        <f t="shared" ref="U2001:U2011" si="669">+F2001+P2001+F2018+P2018+F2037+P2037</f>
        <v>276750</v>
      </c>
    </row>
    <row r="2002" spans="1:21" ht="15.75" x14ac:dyDescent="0.25">
      <c r="A2002" s="41" t="s">
        <v>130</v>
      </c>
      <c r="B2002" s="23">
        <v>-15960</v>
      </c>
      <c r="C2002" s="20"/>
      <c r="D2002" s="23">
        <f t="shared" si="665"/>
        <v>-15960</v>
      </c>
      <c r="E2002" s="20"/>
      <c r="F2002" s="23">
        <f t="shared" si="666"/>
        <v>-15960</v>
      </c>
      <c r="G2002" s="20">
        <v>-274170</v>
      </c>
      <c r="H2002">
        <v>10.25</v>
      </c>
      <c r="K2002" s="41" t="s">
        <v>130</v>
      </c>
      <c r="L2002" s="23">
        <v>-3420</v>
      </c>
      <c r="M2002" s="20">
        <v>-3705</v>
      </c>
      <c r="N2002" s="23">
        <f t="shared" si="667"/>
        <v>-7125</v>
      </c>
      <c r="O2002" s="20"/>
      <c r="P2002" s="23">
        <f t="shared" si="668"/>
        <v>-7125</v>
      </c>
      <c r="Q2002" s="20">
        <v>-286852.5</v>
      </c>
      <c r="R2002">
        <v>9.8000000000000007</v>
      </c>
      <c r="U2002">
        <f t="shared" si="669"/>
        <v>255501.99999999988</v>
      </c>
    </row>
    <row r="2003" spans="1:21" ht="15.75" x14ac:dyDescent="0.25">
      <c r="A2003" s="41" t="s">
        <v>157</v>
      </c>
      <c r="B2003" s="23">
        <v>-5580</v>
      </c>
      <c r="C2003" s="20"/>
      <c r="D2003" s="23">
        <f t="shared" si="665"/>
        <v>-5580</v>
      </c>
      <c r="E2003" s="20"/>
      <c r="F2003" s="23">
        <f t="shared" si="666"/>
        <v>-5580</v>
      </c>
      <c r="G2003" s="20">
        <v>-265950</v>
      </c>
      <c r="H2003">
        <v>12.7</v>
      </c>
      <c r="K2003" s="41" t="s">
        <v>157</v>
      </c>
      <c r="L2003" s="23">
        <v>3960</v>
      </c>
      <c r="M2003" s="20">
        <v>15660</v>
      </c>
      <c r="N2003" s="23">
        <f t="shared" si="667"/>
        <v>19620</v>
      </c>
      <c r="O2003" s="20"/>
      <c r="P2003" s="23">
        <f t="shared" si="668"/>
        <v>19620</v>
      </c>
      <c r="Q2003" s="20">
        <v>-316440</v>
      </c>
      <c r="R2003">
        <v>12.2</v>
      </c>
      <c r="U2003">
        <f t="shared" si="669"/>
        <v>92160</v>
      </c>
    </row>
    <row r="2004" spans="1:21" ht="15.75" x14ac:dyDescent="0.25">
      <c r="A2004" s="41" t="s">
        <v>134</v>
      </c>
      <c r="B2004" s="23">
        <v>-7900</v>
      </c>
      <c r="C2004" s="20"/>
      <c r="D2004" s="23">
        <f t="shared" si="665"/>
        <v>-7900</v>
      </c>
      <c r="E2004" s="20"/>
      <c r="F2004" s="23">
        <f t="shared" si="666"/>
        <v>-7900</v>
      </c>
      <c r="G2004" s="20">
        <v>-237000</v>
      </c>
      <c r="H2004">
        <v>5.45</v>
      </c>
      <c r="K2004" s="41" t="s">
        <v>134</v>
      </c>
      <c r="L2004" s="23">
        <v>-30350</v>
      </c>
      <c r="M2004" s="20">
        <v>-32000</v>
      </c>
      <c r="N2004" s="23">
        <f t="shared" si="667"/>
        <v>-62350</v>
      </c>
      <c r="O2004" s="20"/>
      <c r="P2004" s="23">
        <f t="shared" si="668"/>
        <v>-62350</v>
      </c>
      <c r="Q2004" s="20">
        <v>-355000</v>
      </c>
      <c r="R2004">
        <v>5.4499999999999993</v>
      </c>
      <c r="U2004">
        <f t="shared" si="669"/>
        <v>236549.99999999997</v>
      </c>
    </row>
    <row r="2005" spans="1:21" ht="15.75" x14ac:dyDescent="0.25">
      <c r="A2005" s="41" t="s">
        <v>140</v>
      </c>
      <c r="B2005" s="23">
        <v>-3570</v>
      </c>
      <c r="C2005" s="20"/>
      <c r="D2005" s="23">
        <f t="shared" si="665"/>
        <v>-3570</v>
      </c>
      <c r="E2005" s="20"/>
      <c r="F2005" s="23">
        <f t="shared" si="666"/>
        <v>-3570</v>
      </c>
      <c r="G2005" s="20">
        <v>-314580</v>
      </c>
      <c r="H2005">
        <v>23.2</v>
      </c>
      <c r="K2005" s="41" t="s">
        <v>140</v>
      </c>
      <c r="L2005" s="23">
        <v>-33600</v>
      </c>
      <c r="M2005" s="20">
        <v>-12740</v>
      </c>
      <c r="N2005" s="23">
        <f t="shared" si="667"/>
        <v>-46340</v>
      </c>
      <c r="O2005" s="20"/>
      <c r="P2005" s="23">
        <f t="shared" si="668"/>
        <v>-46340</v>
      </c>
      <c r="Q2005" s="20">
        <v>-382200</v>
      </c>
      <c r="R2005">
        <v>23.65</v>
      </c>
      <c r="U2005">
        <f t="shared" si="669"/>
        <v>202510</v>
      </c>
    </row>
    <row r="2006" spans="1:21" ht="15.75" x14ac:dyDescent="0.25">
      <c r="A2006" s="41" t="s">
        <v>88</v>
      </c>
      <c r="B2006" s="23">
        <v>8115</v>
      </c>
      <c r="C2006" s="20"/>
      <c r="D2006" s="23">
        <f t="shared" si="665"/>
        <v>8115</v>
      </c>
      <c r="E2006" s="20"/>
      <c r="F2006" s="23">
        <f t="shared" si="666"/>
        <v>8115</v>
      </c>
      <c r="G2006" s="20">
        <v>-296115</v>
      </c>
      <c r="H2006">
        <v>159.6</v>
      </c>
      <c r="K2006" s="41" t="s">
        <v>88</v>
      </c>
      <c r="L2006" s="23">
        <v>-11850</v>
      </c>
      <c r="M2006" s="20">
        <v>-225</v>
      </c>
      <c r="N2006" s="23">
        <f t="shared" si="667"/>
        <v>-12075</v>
      </c>
      <c r="O2006" s="20"/>
      <c r="P2006" s="23">
        <f t="shared" si="668"/>
        <v>-12075</v>
      </c>
      <c r="Q2006" s="20">
        <v>-383565</v>
      </c>
      <c r="R2006">
        <v>154.65</v>
      </c>
      <c r="U2006">
        <f t="shared" si="669"/>
        <v>255960</v>
      </c>
    </row>
    <row r="2007" spans="1:21" ht="15.75" x14ac:dyDescent="0.25">
      <c r="A2007" s="41" t="s">
        <v>170</v>
      </c>
      <c r="B2007" s="23">
        <v>-17257</v>
      </c>
      <c r="C2007" s="20"/>
      <c r="D2007" s="23">
        <f t="shared" si="665"/>
        <v>-17257</v>
      </c>
      <c r="E2007" s="20"/>
      <c r="F2007" s="23">
        <f t="shared" si="666"/>
        <v>-17257</v>
      </c>
      <c r="G2007" s="20">
        <v>-308831.25</v>
      </c>
      <c r="H2007">
        <v>5.6</v>
      </c>
      <c r="K2007" s="41" t="s">
        <v>170</v>
      </c>
      <c r="L2007" s="23">
        <v>33491</v>
      </c>
      <c r="M2007" s="20">
        <v>-35392.5</v>
      </c>
      <c r="N2007" s="23">
        <f t="shared" si="667"/>
        <v>-1901.5</v>
      </c>
      <c r="O2007" s="20"/>
      <c r="P2007" s="23">
        <f t="shared" si="668"/>
        <v>-1901.5</v>
      </c>
      <c r="Q2007" s="20">
        <v>-297618.75</v>
      </c>
      <c r="R2007">
        <v>5.3000000000000007</v>
      </c>
      <c r="U2007">
        <f t="shared" si="669"/>
        <v>227711.99999999997</v>
      </c>
    </row>
    <row r="2008" spans="1:21" ht="15.75" x14ac:dyDescent="0.25">
      <c r="A2008" s="41" t="s">
        <v>15</v>
      </c>
      <c r="B2008" s="23">
        <v>17187</v>
      </c>
      <c r="C2008" s="20"/>
      <c r="D2008" s="23">
        <f t="shared" si="665"/>
        <v>17187</v>
      </c>
      <c r="E2008" s="20"/>
      <c r="F2008" s="23">
        <f t="shared" si="666"/>
        <v>17187</v>
      </c>
      <c r="G2008" s="20">
        <v>-264250</v>
      </c>
      <c r="H2008">
        <v>22.75</v>
      </c>
      <c r="K2008" s="41" t="s">
        <v>15</v>
      </c>
      <c r="L2008" s="23">
        <v>-19187</v>
      </c>
      <c r="M2008" s="20">
        <v>41500</v>
      </c>
      <c r="N2008" s="23">
        <f t="shared" si="667"/>
        <v>22313</v>
      </c>
      <c r="O2008" s="20"/>
      <c r="P2008" s="23">
        <f t="shared" si="668"/>
        <v>22313</v>
      </c>
      <c r="Q2008" s="20">
        <v>-328000</v>
      </c>
      <c r="R2008">
        <v>20.700000000000003</v>
      </c>
      <c r="U2008">
        <f t="shared" si="669"/>
        <v>187876</v>
      </c>
    </row>
    <row r="2009" spans="1:21" ht="15.75" x14ac:dyDescent="0.25">
      <c r="A2009" s="41" t="s">
        <v>171</v>
      </c>
      <c r="B2009" s="23">
        <v>-8190</v>
      </c>
      <c r="C2009" s="20"/>
      <c r="D2009" s="23">
        <f t="shared" si="665"/>
        <v>-8190</v>
      </c>
      <c r="E2009" s="20"/>
      <c r="F2009" s="23">
        <f t="shared" si="666"/>
        <v>-8190</v>
      </c>
      <c r="G2009" s="20">
        <v>-218250</v>
      </c>
      <c r="H2009">
        <v>88.25</v>
      </c>
      <c r="K2009" s="41" t="s">
        <v>171</v>
      </c>
      <c r="L2009" s="23">
        <v>-85477</v>
      </c>
      <c r="M2009" s="20">
        <v>24750</v>
      </c>
      <c r="N2009" s="23">
        <f t="shared" si="667"/>
        <v>-60727</v>
      </c>
      <c r="O2009" s="20"/>
      <c r="P2009" s="23">
        <f t="shared" si="668"/>
        <v>-60727</v>
      </c>
      <c r="Q2009" s="20">
        <v>-328125</v>
      </c>
      <c r="R2009">
        <v>84.05</v>
      </c>
      <c r="U2009">
        <f t="shared" si="669"/>
        <v>-42524.000000000015</v>
      </c>
    </row>
    <row r="2010" spans="1:21" ht="15.75" x14ac:dyDescent="0.25">
      <c r="A2010" s="41" t="s">
        <v>85</v>
      </c>
      <c r="B2010" s="23">
        <v>-16387</v>
      </c>
      <c r="C2010" s="20"/>
      <c r="D2010" s="23">
        <f t="shared" si="665"/>
        <v>-16387</v>
      </c>
      <c r="E2010" s="20"/>
      <c r="F2010" s="23">
        <f t="shared" si="666"/>
        <v>-16387</v>
      </c>
      <c r="G2010" s="20">
        <v>-288750</v>
      </c>
      <c r="H2010">
        <v>22.55</v>
      </c>
      <c r="K2010" s="41" t="s">
        <v>85</v>
      </c>
      <c r="L2010" s="23">
        <v>-7875</v>
      </c>
      <c r="M2010" s="20">
        <v>-21750</v>
      </c>
      <c r="N2010" s="23">
        <f t="shared" si="667"/>
        <v>-29625</v>
      </c>
      <c r="O2010" s="20"/>
      <c r="P2010" s="23">
        <f t="shared" si="668"/>
        <v>-29625</v>
      </c>
      <c r="Q2010" s="20">
        <v>-355125</v>
      </c>
      <c r="R2010">
        <v>22.2</v>
      </c>
      <c r="U2010">
        <f t="shared" si="669"/>
        <v>107925</v>
      </c>
    </row>
    <row r="2011" spans="1:21" ht="15.75" x14ac:dyDescent="0.25">
      <c r="A2011" s="41" t="s">
        <v>87</v>
      </c>
      <c r="B2011" s="23">
        <v>1350</v>
      </c>
      <c r="C2011" s="20"/>
      <c r="D2011" s="23">
        <f t="shared" si="665"/>
        <v>1350</v>
      </c>
      <c r="E2011" s="20"/>
      <c r="F2011" s="23">
        <f t="shared" si="666"/>
        <v>1350</v>
      </c>
      <c r="G2011" s="23">
        <v>-279450</v>
      </c>
      <c r="H2011">
        <v>14.75</v>
      </c>
      <c r="K2011" s="41" t="s">
        <v>87</v>
      </c>
      <c r="L2011" s="23">
        <v>-19305</v>
      </c>
      <c r="M2011" s="20">
        <v>-27945</v>
      </c>
      <c r="N2011" s="23">
        <f t="shared" si="667"/>
        <v>-47250</v>
      </c>
      <c r="O2011" s="20"/>
      <c r="P2011" s="23">
        <f t="shared" si="668"/>
        <v>-47250</v>
      </c>
      <c r="Q2011" s="23">
        <v>-375300</v>
      </c>
      <c r="R2011">
        <v>14.3</v>
      </c>
      <c r="U2011">
        <f t="shared" si="669"/>
        <v>-1075746</v>
      </c>
    </row>
    <row r="2012" spans="1:21" ht="15.75" x14ac:dyDescent="0.25">
      <c r="A2012" s="21" t="s">
        <v>107</v>
      </c>
      <c r="B2012" s="22">
        <f t="shared" ref="B2012:G2012" si="670">SUM(B2000:B2011)</f>
        <v>-21772</v>
      </c>
      <c r="C2012" s="18">
        <f t="shared" si="670"/>
        <v>0</v>
      </c>
      <c r="D2012" s="23">
        <f t="shared" si="670"/>
        <v>-21772</v>
      </c>
      <c r="E2012" s="18">
        <f t="shared" si="670"/>
        <v>0</v>
      </c>
      <c r="F2012" s="23">
        <f t="shared" si="670"/>
        <v>-21772</v>
      </c>
      <c r="G2012" s="17">
        <f t="shared" si="670"/>
        <v>-3393241.25</v>
      </c>
      <c r="K2012" s="21" t="s">
        <v>107</v>
      </c>
      <c r="L2012" s="22">
        <f t="shared" ref="L2012" si="671">SUM(L2000:L2011)</f>
        <v>-109243</v>
      </c>
      <c r="M2012" s="18">
        <f>SUM(M2000:M2011)</f>
        <v>-144652.5</v>
      </c>
      <c r="N2012" s="23">
        <f t="shared" ref="N2012" si="672">SUM(N2000:N2011)</f>
        <v>-253895.5</v>
      </c>
      <c r="O2012" s="18">
        <f t="shared" ref="O2012" si="673">SUM(O2000:O2011)</f>
        <v>0</v>
      </c>
      <c r="P2012" s="23">
        <f t="shared" ref="P2012" si="674">SUM(P2000:P2011)</f>
        <v>-253895.5</v>
      </c>
      <c r="Q2012" s="17">
        <f>SUM(Q2000:Q2011)</f>
        <v>-4140726.25</v>
      </c>
      <c r="U2012">
        <f>SUM(U2000:U2011)</f>
        <v>1217760</v>
      </c>
    </row>
    <row r="2015" spans="1:21" ht="15.75" x14ac:dyDescent="0.25">
      <c r="A2015" s="107" t="s">
        <v>175</v>
      </c>
      <c r="B2015" s="108"/>
      <c r="C2015" s="108"/>
      <c r="D2015" s="108"/>
      <c r="E2015" s="108"/>
      <c r="F2015" s="108"/>
      <c r="G2015" s="109"/>
      <c r="K2015" s="107" t="s">
        <v>177</v>
      </c>
      <c r="L2015" s="108"/>
      <c r="M2015" s="108"/>
      <c r="N2015" s="108"/>
      <c r="O2015" s="108"/>
      <c r="P2015" s="108"/>
      <c r="Q2015" s="109"/>
    </row>
    <row r="2016" spans="1:21" ht="15.75" x14ac:dyDescent="0.25">
      <c r="A2016" s="22" t="s">
        <v>34</v>
      </c>
      <c r="B2016" s="22" t="s">
        <v>104</v>
      </c>
      <c r="C2016" s="22" t="s">
        <v>105</v>
      </c>
      <c r="D2016" s="22" t="s">
        <v>112</v>
      </c>
      <c r="E2016" s="22" t="s">
        <v>106</v>
      </c>
      <c r="F2016" s="21" t="s">
        <v>108</v>
      </c>
      <c r="G2016" s="21" t="s">
        <v>28</v>
      </c>
      <c r="K2016" s="22" t="s">
        <v>34</v>
      </c>
      <c r="L2016" s="22" t="s">
        <v>104</v>
      </c>
      <c r="M2016" s="22" t="s">
        <v>105</v>
      </c>
      <c r="N2016" s="22" t="s">
        <v>112</v>
      </c>
      <c r="O2016" s="22" t="s">
        <v>106</v>
      </c>
      <c r="P2016" s="21" t="s">
        <v>108</v>
      </c>
      <c r="Q2016" s="21" t="s">
        <v>28</v>
      </c>
    </row>
    <row r="2017" spans="1:18" ht="15.75" x14ac:dyDescent="0.25">
      <c r="A2017" s="41" t="s">
        <v>71</v>
      </c>
      <c r="B2017" s="23">
        <v>-27880</v>
      </c>
      <c r="C2017" s="20">
        <v>79475</v>
      </c>
      <c r="D2017" s="23">
        <f t="shared" ref="D2017:D2029" si="675">+C2017+B2017</f>
        <v>51595</v>
      </c>
      <c r="E2017" s="20"/>
      <c r="F2017" s="23">
        <f t="shared" ref="F2017:F2029" si="676">+B2017+C2017-E2017</f>
        <v>51595</v>
      </c>
      <c r="G2017" s="20">
        <v>-807075</v>
      </c>
      <c r="H2017">
        <v>14.95</v>
      </c>
      <c r="K2017" s="41" t="s">
        <v>71</v>
      </c>
      <c r="L2017" s="23">
        <v>33490</v>
      </c>
      <c r="M2017" s="20">
        <v>229075</v>
      </c>
      <c r="N2017" s="23">
        <f t="shared" ref="N2017:N2029" si="677">+M2017+L2017</f>
        <v>262565</v>
      </c>
      <c r="O2017" s="20"/>
      <c r="P2017" s="23">
        <f t="shared" ref="P2017:P2029" si="678">+L2017+M2017-O2017</f>
        <v>262565</v>
      </c>
      <c r="Q2017" s="20">
        <v>-680425</v>
      </c>
      <c r="R2017">
        <v>11.149999999999999</v>
      </c>
    </row>
    <row r="2018" spans="1:18" ht="15.75" x14ac:dyDescent="0.25">
      <c r="A2018" s="41" t="s">
        <v>136</v>
      </c>
      <c r="B2018" s="23">
        <v>-29250</v>
      </c>
      <c r="C2018" s="20">
        <v>175000</v>
      </c>
      <c r="D2018" s="23">
        <f t="shared" si="675"/>
        <v>145750</v>
      </c>
      <c r="E2018" s="20"/>
      <c r="F2018" s="23">
        <f t="shared" si="676"/>
        <v>145750</v>
      </c>
      <c r="G2018" s="20">
        <v>-682500</v>
      </c>
      <c r="H2018">
        <v>5.9</v>
      </c>
      <c r="K2018" s="41" t="s">
        <v>136</v>
      </c>
      <c r="L2018" s="23">
        <v>-54750</v>
      </c>
      <c r="M2018" s="20">
        <v>162000</v>
      </c>
      <c r="N2018" s="23">
        <f t="shared" si="677"/>
        <v>107250</v>
      </c>
      <c r="O2018" s="20"/>
      <c r="P2018" s="23">
        <f t="shared" si="678"/>
        <v>107250</v>
      </c>
      <c r="Q2018" s="20">
        <v>-1077500</v>
      </c>
      <c r="R2018">
        <v>4.9000000000000004</v>
      </c>
    </row>
    <row r="2019" spans="1:18" ht="15.75" x14ac:dyDescent="0.25">
      <c r="A2019" s="41" t="s">
        <v>130</v>
      </c>
      <c r="B2019" s="23">
        <v>104025</v>
      </c>
      <c r="C2019" s="20">
        <v>-82792.5</v>
      </c>
      <c r="D2019" s="23">
        <f t="shared" si="675"/>
        <v>21232.5</v>
      </c>
      <c r="E2019" s="20"/>
      <c r="F2019" s="23">
        <f t="shared" si="676"/>
        <v>21232.5</v>
      </c>
      <c r="G2019" s="20">
        <v>-640680</v>
      </c>
      <c r="H2019">
        <v>8.1999999999999993</v>
      </c>
      <c r="K2019" s="41" t="s">
        <v>130</v>
      </c>
      <c r="L2019" s="23">
        <v>-53295</v>
      </c>
      <c r="M2019" s="20">
        <v>268327.5</v>
      </c>
      <c r="N2019" s="23">
        <f t="shared" si="677"/>
        <v>215032.5</v>
      </c>
      <c r="O2019" s="20"/>
      <c r="P2019" s="23">
        <f t="shared" si="678"/>
        <v>215032.5</v>
      </c>
      <c r="Q2019" s="20">
        <v>-807405</v>
      </c>
      <c r="R2019">
        <v>6.3</v>
      </c>
    </row>
    <row r="2020" spans="1:18" ht="15.75" x14ac:dyDescent="0.25">
      <c r="A2020" s="41" t="s">
        <v>157</v>
      </c>
      <c r="B2020" s="23">
        <v>100080</v>
      </c>
      <c r="C2020" s="20">
        <v>-91710</v>
      </c>
      <c r="D2020" s="23">
        <f t="shared" si="675"/>
        <v>8370</v>
      </c>
      <c r="E2020" s="20"/>
      <c r="F2020" s="23">
        <f t="shared" si="676"/>
        <v>8370</v>
      </c>
      <c r="G2020" s="20">
        <v>-530370</v>
      </c>
      <c r="H2020">
        <v>10.95</v>
      </c>
      <c r="K2020" s="41" t="s">
        <v>157</v>
      </c>
      <c r="L2020" s="23">
        <v>-2340</v>
      </c>
      <c r="M2020" s="20">
        <v>115200</v>
      </c>
      <c r="N2020" s="23">
        <f t="shared" si="677"/>
        <v>112860</v>
      </c>
      <c r="O2020" s="20"/>
      <c r="P2020" s="23">
        <f t="shared" si="678"/>
        <v>112860</v>
      </c>
      <c r="Q2020" s="20">
        <v>-494550</v>
      </c>
      <c r="R2020">
        <v>8.15</v>
      </c>
    </row>
    <row r="2021" spans="1:18" ht="15.75" x14ac:dyDescent="0.25">
      <c r="A2021" s="41" t="s">
        <v>134</v>
      </c>
      <c r="B2021" s="23">
        <v>-55400</v>
      </c>
      <c r="C2021" s="20">
        <v>189700</v>
      </c>
      <c r="D2021" s="23">
        <f t="shared" si="675"/>
        <v>134300</v>
      </c>
      <c r="E2021" s="20"/>
      <c r="F2021" s="23">
        <f t="shared" si="676"/>
        <v>134300</v>
      </c>
      <c r="G2021" s="20">
        <v>-640000</v>
      </c>
      <c r="H2021">
        <v>4.4000000000000004</v>
      </c>
      <c r="K2021" s="41" t="s">
        <v>134</v>
      </c>
      <c r="L2021" s="23">
        <v>-24600</v>
      </c>
      <c r="M2021" s="20">
        <v>153499.99999999997</v>
      </c>
      <c r="N2021" s="23">
        <f t="shared" si="677"/>
        <v>128899.99999999997</v>
      </c>
      <c r="O2021" s="20"/>
      <c r="P2021" s="23">
        <f t="shared" si="678"/>
        <v>128899.99999999997</v>
      </c>
      <c r="Q2021" s="20">
        <v>-510000</v>
      </c>
      <c r="R2021">
        <v>3.3</v>
      </c>
    </row>
    <row r="2022" spans="1:18" ht="15.75" x14ac:dyDescent="0.25">
      <c r="A2022" s="41" t="s">
        <v>140</v>
      </c>
      <c r="B2022" s="23">
        <v>-38990</v>
      </c>
      <c r="C2022" s="20">
        <v>144200</v>
      </c>
      <c r="D2022" s="23">
        <f t="shared" si="675"/>
        <v>105210</v>
      </c>
      <c r="E2022" s="20"/>
      <c r="F2022" s="23">
        <f t="shared" si="676"/>
        <v>105210</v>
      </c>
      <c r="G2022" s="20">
        <v>-609560</v>
      </c>
      <c r="H2022">
        <v>19.799999999999997</v>
      </c>
      <c r="K2022" s="41" t="s">
        <v>140</v>
      </c>
      <c r="L2022" s="23">
        <v>-42560</v>
      </c>
      <c r="M2022" s="20">
        <v>206220</v>
      </c>
      <c r="N2022" s="23">
        <f t="shared" si="677"/>
        <v>163660</v>
      </c>
      <c r="O2022" s="20"/>
      <c r="P2022" s="23">
        <f t="shared" si="678"/>
        <v>163660</v>
      </c>
      <c r="Q2022" s="20">
        <v>-550900</v>
      </c>
      <c r="R2022">
        <v>15.850000000000001</v>
      </c>
    </row>
    <row r="2023" spans="1:18" ht="15.75" x14ac:dyDescent="0.25">
      <c r="A2023" s="41" t="s">
        <v>88</v>
      </c>
      <c r="B2023" s="23">
        <v>-106485</v>
      </c>
      <c r="C2023" s="20">
        <v>-8640</v>
      </c>
      <c r="D2023" s="23">
        <f t="shared" si="675"/>
        <v>-115125</v>
      </c>
      <c r="E2023" s="20"/>
      <c r="F2023" s="23">
        <f t="shared" si="676"/>
        <v>-115125</v>
      </c>
      <c r="G2023" s="20">
        <v>-768600</v>
      </c>
      <c r="H2023">
        <v>130.14999999999998</v>
      </c>
      <c r="K2023" s="41" t="s">
        <v>88</v>
      </c>
      <c r="L2023" s="23">
        <v>-101550</v>
      </c>
      <c r="M2023" s="20">
        <v>252000</v>
      </c>
      <c r="N2023" s="23">
        <f t="shared" si="677"/>
        <v>150450</v>
      </c>
      <c r="O2023" s="20"/>
      <c r="P2023" s="23">
        <f t="shared" si="678"/>
        <v>150450</v>
      </c>
      <c r="Q2023" s="20">
        <v>-852600</v>
      </c>
      <c r="R2023">
        <v>106.65</v>
      </c>
    </row>
    <row r="2024" spans="1:18" ht="15.75" x14ac:dyDescent="0.25">
      <c r="A2024" s="41" t="s">
        <v>170</v>
      </c>
      <c r="B2024" s="23">
        <v>-13357</v>
      </c>
      <c r="C2024" s="20">
        <v>-68055</v>
      </c>
      <c r="D2024" s="23">
        <f t="shared" si="675"/>
        <v>-81412</v>
      </c>
      <c r="E2024" s="20"/>
      <c r="F2024" s="23">
        <f t="shared" si="676"/>
        <v>-81412</v>
      </c>
      <c r="G2024" s="20">
        <v>-775125</v>
      </c>
      <c r="H2024">
        <v>4.8499999999999996</v>
      </c>
      <c r="K2024" s="41" t="s">
        <v>170</v>
      </c>
      <c r="L2024" s="23">
        <v>536</v>
      </c>
      <c r="M2024" s="20">
        <v>281823.75</v>
      </c>
      <c r="N2024" s="23">
        <f t="shared" si="677"/>
        <v>282359.75</v>
      </c>
      <c r="O2024" s="20"/>
      <c r="P2024" s="23">
        <f t="shared" si="678"/>
        <v>282359.75</v>
      </c>
      <c r="Q2024" s="20">
        <v>-696150</v>
      </c>
      <c r="R2024">
        <v>3.5999999999999996</v>
      </c>
    </row>
    <row r="2025" spans="1:18" ht="15.75" x14ac:dyDescent="0.25">
      <c r="A2025" s="41" t="s">
        <v>15</v>
      </c>
      <c r="B2025" s="23">
        <v>-51750</v>
      </c>
      <c r="C2025" s="20">
        <v>-115125</v>
      </c>
      <c r="D2025" s="23">
        <f t="shared" si="675"/>
        <v>-166875</v>
      </c>
      <c r="E2025" s="20"/>
      <c r="F2025" s="23">
        <f t="shared" si="676"/>
        <v>-166875</v>
      </c>
      <c r="G2025" s="20">
        <v>-747000</v>
      </c>
      <c r="H2025">
        <v>20.799999999999997</v>
      </c>
      <c r="K2025" s="41" t="s">
        <v>15</v>
      </c>
      <c r="L2025" s="23">
        <v>-97875</v>
      </c>
      <c r="M2025" s="20">
        <v>318375</v>
      </c>
      <c r="N2025" s="23">
        <f t="shared" si="677"/>
        <v>220500</v>
      </c>
      <c r="O2025" s="20"/>
      <c r="P2025" s="23">
        <f t="shared" si="678"/>
        <v>220500</v>
      </c>
      <c r="Q2025" s="20">
        <v>-664500</v>
      </c>
      <c r="R2025">
        <v>14.1</v>
      </c>
    </row>
    <row r="2026" spans="1:18" ht="15.75" x14ac:dyDescent="0.25">
      <c r="A2026" s="41" t="s">
        <v>171</v>
      </c>
      <c r="B2026" s="23">
        <v>-16282</v>
      </c>
      <c r="C2026" s="20">
        <v>42674.999999999985</v>
      </c>
      <c r="D2026" s="23">
        <f t="shared" si="675"/>
        <v>26392.999999999985</v>
      </c>
      <c r="E2026" s="20"/>
      <c r="F2026" s="23">
        <f t="shared" si="676"/>
        <v>26392.999999999985</v>
      </c>
      <c r="G2026" s="20">
        <v>0</v>
      </c>
      <c r="H2026">
        <v>68</v>
      </c>
      <c r="K2026" s="41" t="s">
        <v>171</v>
      </c>
      <c r="L2026" s="23"/>
      <c r="M2026" s="20">
        <v>0</v>
      </c>
      <c r="N2026" s="23">
        <f t="shared" si="677"/>
        <v>0</v>
      </c>
      <c r="O2026" s="20"/>
      <c r="P2026" s="23">
        <f t="shared" si="678"/>
        <v>0</v>
      </c>
      <c r="Q2026" s="20">
        <v>0</v>
      </c>
      <c r="R2026">
        <v>60.1</v>
      </c>
    </row>
    <row r="2027" spans="1:18" ht="15.75" x14ac:dyDescent="0.25">
      <c r="A2027" s="41" t="s">
        <v>85</v>
      </c>
      <c r="B2027" s="23">
        <v>-15975</v>
      </c>
      <c r="C2027" s="20">
        <v>131700</v>
      </c>
      <c r="D2027" s="23">
        <f t="shared" si="675"/>
        <v>115725</v>
      </c>
      <c r="E2027" s="20"/>
      <c r="F2027" s="23">
        <f t="shared" si="676"/>
        <v>115725</v>
      </c>
      <c r="G2027" s="20">
        <v>-527100</v>
      </c>
      <c r="H2027">
        <v>17.95</v>
      </c>
      <c r="K2027" s="41" t="s">
        <v>85</v>
      </c>
      <c r="L2027" s="23">
        <v>75150</v>
      </c>
      <c r="M2027" s="20">
        <v>12450</v>
      </c>
      <c r="N2027" s="23">
        <f t="shared" si="677"/>
        <v>87600</v>
      </c>
      <c r="O2027" s="20"/>
      <c r="P2027" s="23">
        <f t="shared" si="678"/>
        <v>87600</v>
      </c>
      <c r="Q2027" s="20">
        <v>-569400</v>
      </c>
      <c r="R2027">
        <v>15</v>
      </c>
    </row>
    <row r="2028" spans="1:18" ht="15.75" x14ac:dyDescent="0.25">
      <c r="A2028" s="41" t="s">
        <v>87</v>
      </c>
      <c r="B2028" s="23">
        <v>-207765</v>
      </c>
      <c r="C2028" s="20">
        <v>84375</v>
      </c>
      <c r="D2028" s="23">
        <f t="shared" si="675"/>
        <v>-123390</v>
      </c>
      <c r="E2028" s="20"/>
      <c r="F2028" s="23">
        <f t="shared" si="676"/>
        <v>-123390</v>
      </c>
      <c r="G2028" s="23">
        <v>-884925</v>
      </c>
      <c r="H2028">
        <v>13</v>
      </c>
      <c r="K2028" s="41" t="s">
        <v>87</v>
      </c>
      <c r="L2028" s="23">
        <v>-18697</v>
      </c>
      <c r="M2028" s="20">
        <v>410737.5</v>
      </c>
      <c r="N2028" s="23">
        <f t="shared" si="677"/>
        <v>392040.5</v>
      </c>
      <c r="O2028" s="20"/>
      <c r="P2028" s="23">
        <f t="shared" si="678"/>
        <v>392040.5</v>
      </c>
      <c r="Q2028" s="23">
        <v>-683775</v>
      </c>
      <c r="R2028">
        <v>10.050000000000001</v>
      </c>
    </row>
    <row r="2029" spans="1:18" ht="15.75" x14ac:dyDescent="0.25">
      <c r="A2029" s="41" t="s">
        <v>128</v>
      </c>
      <c r="B2029" s="23">
        <v>-3185</v>
      </c>
      <c r="C2029" s="20">
        <v>0</v>
      </c>
      <c r="D2029" s="23">
        <f t="shared" si="675"/>
        <v>-3185</v>
      </c>
      <c r="E2029" s="20"/>
      <c r="F2029" s="23">
        <f t="shared" si="676"/>
        <v>-3185</v>
      </c>
      <c r="G2029" s="23">
        <v>-706550</v>
      </c>
      <c r="H2029">
        <v>15.700000000000001</v>
      </c>
      <c r="K2029" s="41" t="s">
        <v>128</v>
      </c>
      <c r="L2029" s="23">
        <v>-13520</v>
      </c>
      <c r="M2029" s="20">
        <v>125774.99999999997</v>
      </c>
      <c r="N2029" s="23">
        <f t="shared" si="677"/>
        <v>112254.99999999997</v>
      </c>
      <c r="O2029" s="20"/>
      <c r="P2029" s="23">
        <f t="shared" si="678"/>
        <v>112254.99999999997</v>
      </c>
      <c r="Q2029" s="23">
        <v>-748800</v>
      </c>
      <c r="R2029">
        <v>11.850000000000001</v>
      </c>
    </row>
    <row r="2030" spans="1:18" ht="15.75" x14ac:dyDescent="0.25">
      <c r="A2030" s="21" t="s">
        <v>107</v>
      </c>
      <c r="B2030" s="22">
        <f t="shared" ref="B2030:G2030" si="679">SUM(B2017:B2029)</f>
        <v>-362214</v>
      </c>
      <c r="C2030" s="18">
        <f t="shared" si="679"/>
        <v>480802.5</v>
      </c>
      <c r="D2030" s="23">
        <f t="shared" si="679"/>
        <v>118588.5</v>
      </c>
      <c r="E2030" s="18">
        <f t="shared" si="679"/>
        <v>0</v>
      </c>
      <c r="F2030" s="23">
        <f t="shared" si="679"/>
        <v>118588.5</v>
      </c>
      <c r="G2030" s="17">
        <f t="shared" si="679"/>
        <v>-8319485</v>
      </c>
      <c r="K2030" s="21" t="s">
        <v>107</v>
      </c>
      <c r="L2030" s="22">
        <f t="shared" ref="L2030:Q2030" si="680">SUM(L2017:L2029)</f>
        <v>-300011</v>
      </c>
      <c r="M2030" s="18">
        <f t="shared" si="680"/>
        <v>2535483.75</v>
      </c>
      <c r="N2030" s="23">
        <f t="shared" si="680"/>
        <v>2235472.75</v>
      </c>
      <c r="O2030" s="18">
        <f t="shared" si="680"/>
        <v>0</v>
      </c>
      <c r="P2030" s="23">
        <f t="shared" si="680"/>
        <v>2235472.75</v>
      </c>
      <c r="Q2030" s="17">
        <f t="shared" si="680"/>
        <v>-8336005</v>
      </c>
    </row>
    <row r="2034" spans="1:17" ht="15.75" x14ac:dyDescent="0.25">
      <c r="A2034" s="107" t="s">
        <v>178</v>
      </c>
      <c r="B2034" s="108"/>
      <c r="C2034" s="108"/>
      <c r="D2034" s="108"/>
      <c r="E2034" s="108"/>
      <c r="F2034" s="108"/>
      <c r="G2034" s="109"/>
      <c r="K2034" s="107" t="s">
        <v>178</v>
      </c>
      <c r="L2034" s="108"/>
      <c r="M2034" s="108"/>
      <c r="N2034" s="108"/>
      <c r="O2034" s="108"/>
      <c r="P2034" s="108"/>
      <c r="Q2034" s="109"/>
    </row>
    <row r="2035" spans="1:17" ht="15.75" x14ac:dyDescent="0.25">
      <c r="A2035" s="22" t="s">
        <v>34</v>
      </c>
      <c r="B2035" s="22" t="s">
        <v>104</v>
      </c>
      <c r="C2035" s="22" t="s">
        <v>105</v>
      </c>
      <c r="D2035" s="22" t="s">
        <v>112</v>
      </c>
      <c r="E2035" s="22" t="s">
        <v>106</v>
      </c>
      <c r="F2035" s="21" t="s">
        <v>108</v>
      </c>
      <c r="G2035" s="21" t="s">
        <v>28</v>
      </c>
      <c r="K2035" s="22" t="s">
        <v>34</v>
      </c>
      <c r="L2035" s="22" t="s">
        <v>104</v>
      </c>
      <c r="M2035" s="22" t="s">
        <v>105</v>
      </c>
      <c r="N2035" s="22" t="s">
        <v>112</v>
      </c>
      <c r="O2035" s="22" t="s">
        <v>106</v>
      </c>
      <c r="P2035" s="21" t="s">
        <v>108</v>
      </c>
      <c r="Q2035" s="21" t="s">
        <v>28</v>
      </c>
    </row>
    <row r="2036" spans="1:17" ht="15.75" x14ac:dyDescent="0.25">
      <c r="A2036" s="41" t="s">
        <v>71</v>
      </c>
      <c r="B2036" s="23">
        <v>-5185</v>
      </c>
      <c r="C2036" s="20">
        <v>201875</v>
      </c>
      <c r="D2036" s="23">
        <f t="shared" ref="D2036:D2048" si="681">+C2036+B2036</f>
        <v>196690</v>
      </c>
      <c r="E2036" s="20"/>
      <c r="F2036" s="23">
        <f t="shared" ref="F2036:F2048" si="682">+B2036+C2036-E2036</f>
        <v>196690</v>
      </c>
      <c r="G2036" s="20">
        <v>0</v>
      </c>
      <c r="H2036">
        <v>9.3000000000000007</v>
      </c>
      <c r="K2036" s="41" t="s">
        <v>71</v>
      </c>
      <c r="L2036" s="23"/>
      <c r="M2036" s="20">
        <v>0</v>
      </c>
      <c r="N2036" s="23">
        <f t="shared" ref="N2036:N2048" si="683">+M2036+L2036</f>
        <v>0</v>
      </c>
      <c r="O2036" s="20"/>
      <c r="P2036" s="23">
        <f t="shared" ref="P2036:P2048" si="684">+L2036+M2036-O2036</f>
        <v>0</v>
      </c>
      <c r="Q2036" s="20">
        <v>0</v>
      </c>
    </row>
    <row r="2037" spans="1:17" ht="15.75" x14ac:dyDescent="0.25">
      <c r="A2037" s="41" t="s">
        <v>136</v>
      </c>
      <c r="B2037" s="23">
        <v>-204000</v>
      </c>
      <c r="C2037" s="20">
        <v>221500</v>
      </c>
      <c r="D2037" s="23">
        <f t="shared" si="681"/>
        <v>17500</v>
      </c>
      <c r="E2037" s="20"/>
      <c r="F2037" s="23">
        <f t="shared" si="682"/>
        <v>17500</v>
      </c>
      <c r="G2037" s="20">
        <v>-1095000</v>
      </c>
      <c r="H2037">
        <v>4.4000000000000004</v>
      </c>
      <c r="K2037" s="41" t="s">
        <v>136</v>
      </c>
      <c r="L2037" s="23">
        <f>-189000+7500</f>
        <v>-181500</v>
      </c>
      <c r="M2037" s="20">
        <v>172000</v>
      </c>
      <c r="N2037" s="23">
        <f t="shared" si="683"/>
        <v>-9500</v>
      </c>
      <c r="O2037" s="20"/>
      <c r="P2037" s="23">
        <f t="shared" si="684"/>
        <v>-9500</v>
      </c>
      <c r="Q2037" s="20">
        <v>0</v>
      </c>
    </row>
    <row r="2038" spans="1:17" ht="15.75" x14ac:dyDescent="0.25">
      <c r="A2038" s="41" t="s">
        <v>130</v>
      </c>
      <c r="B2038" s="23">
        <v>328462</v>
      </c>
      <c r="C2038" s="20">
        <v>-286140.00000000012</v>
      </c>
      <c r="D2038" s="23">
        <f t="shared" si="681"/>
        <v>42321.999999999884</v>
      </c>
      <c r="E2038" s="20"/>
      <c r="F2038" s="23">
        <f t="shared" si="682"/>
        <v>42321.999999999884</v>
      </c>
      <c r="G2038" s="20">
        <v>0</v>
      </c>
      <c r="H2038">
        <v>5</v>
      </c>
      <c r="K2038" s="41" t="s">
        <v>130</v>
      </c>
      <c r="L2038" s="23"/>
      <c r="M2038" s="20">
        <v>0</v>
      </c>
      <c r="N2038" s="23">
        <f t="shared" si="683"/>
        <v>0</v>
      </c>
      <c r="O2038" s="20"/>
      <c r="P2038" s="23">
        <f t="shared" si="684"/>
        <v>0</v>
      </c>
      <c r="Q2038" s="20">
        <v>0</v>
      </c>
    </row>
    <row r="2039" spans="1:17" ht="15.75" x14ac:dyDescent="0.25">
      <c r="A2039" s="41" t="s">
        <v>157</v>
      </c>
      <c r="B2039" s="23">
        <v>-51120</v>
      </c>
      <c r="C2039" s="20">
        <v>8010</v>
      </c>
      <c r="D2039" s="23">
        <f t="shared" si="681"/>
        <v>-43110</v>
      </c>
      <c r="E2039" s="20"/>
      <c r="F2039" s="23">
        <f t="shared" si="682"/>
        <v>-43110</v>
      </c>
      <c r="G2039" s="20">
        <v>0</v>
      </c>
      <c r="H2039">
        <v>6.95</v>
      </c>
      <c r="K2039" s="41" t="s">
        <v>157</v>
      </c>
      <c r="L2039" s="23"/>
      <c r="M2039" s="20">
        <v>0</v>
      </c>
      <c r="N2039" s="23">
        <f t="shared" si="683"/>
        <v>0</v>
      </c>
      <c r="O2039" s="20"/>
      <c r="P2039" s="23">
        <f t="shared" si="684"/>
        <v>0</v>
      </c>
      <c r="Q2039" s="20">
        <v>0</v>
      </c>
    </row>
    <row r="2040" spans="1:17" ht="15.75" x14ac:dyDescent="0.25">
      <c r="A2040" s="41" t="s">
        <v>134</v>
      </c>
      <c r="B2040" s="23">
        <v>-71200</v>
      </c>
      <c r="C2040" s="20">
        <v>114800</v>
      </c>
      <c r="D2040" s="23">
        <f t="shared" si="681"/>
        <v>43600</v>
      </c>
      <c r="E2040" s="20"/>
      <c r="F2040" s="23">
        <f t="shared" si="682"/>
        <v>43600</v>
      </c>
      <c r="G2040" s="20">
        <v>0</v>
      </c>
      <c r="H2040">
        <v>2.7</v>
      </c>
      <c r="K2040" s="41" t="s">
        <v>134</v>
      </c>
      <c r="L2040" s="23"/>
      <c r="M2040" s="20">
        <v>0</v>
      </c>
      <c r="N2040" s="23">
        <f t="shared" si="683"/>
        <v>0</v>
      </c>
      <c r="O2040" s="20"/>
      <c r="P2040" s="23">
        <f t="shared" si="684"/>
        <v>0</v>
      </c>
      <c r="Q2040" s="20">
        <v>0</v>
      </c>
    </row>
    <row r="2041" spans="1:17" ht="15.75" x14ac:dyDescent="0.25">
      <c r="A2041" s="41" t="s">
        <v>140</v>
      </c>
      <c r="B2041" s="23">
        <v>-74130</v>
      </c>
      <c r="C2041" s="20">
        <v>57680.000000000015</v>
      </c>
      <c r="D2041" s="23">
        <f t="shared" si="681"/>
        <v>-16449.999999999985</v>
      </c>
      <c r="E2041" s="20"/>
      <c r="F2041" s="23">
        <f t="shared" si="682"/>
        <v>-16449.999999999985</v>
      </c>
      <c r="G2041" s="20">
        <v>0</v>
      </c>
      <c r="H2041">
        <v>14</v>
      </c>
      <c r="K2041" s="41" t="s">
        <v>140</v>
      </c>
      <c r="L2041" s="23"/>
      <c r="M2041" s="20">
        <v>0</v>
      </c>
      <c r="N2041" s="23">
        <f t="shared" si="683"/>
        <v>0</v>
      </c>
      <c r="O2041" s="20"/>
      <c r="P2041" s="23">
        <f t="shared" si="684"/>
        <v>0</v>
      </c>
      <c r="Q2041" s="20">
        <v>0</v>
      </c>
    </row>
    <row r="2042" spans="1:17" ht="15.75" x14ac:dyDescent="0.25">
      <c r="A2042" s="41" t="s">
        <v>88</v>
      </c>
      <c r="B2042" s="23">
        <f>-223830-42390</f>
        <v>-266220</v>
      </c>
      <c r="C2042" s="20">
        <v>490815</v>
      </c>
      <c r="D2042" s="23">
        <f t="shared" si="681"/>
        <v>224595</v>
      </c>
      <c r="E2042" s="20"/>
      <c r="F2042" s="23">
        <f t="shared" si="682"/>
        <v>224595</v>
      </c>
      <c r="G2042" s="20">
        <v>0</v>
      </c>
      <c r="H2042">
        <v>87</v>
      </c>
      <c r="K2042" s="41" t="s">
        <v>88</v>
      </c>
      <c r="L2042" s="23"/>
      <c r="M2042" s="20">
        <v>0</v>
      </c>
      <c r="N2042" s="23">
        <f t="shared" si="683"/>
        <v>0</v>
      </c>
      <c r="O2042" s="20"/>
      <c r="P2042" s="23">
        <f t="shared" si="684"/>
        <v>0</v>
      </c>
      <c r="Q2042" s="20">
        <v>0</v>
      </c>
    </row>
    <row r="2043" spans="1:17" ht="15.75" x14ac:dyDescent="0.25">
      <c r="A2043" s="41" t="s">
        <v>170</v>
      </c>
      <c r="B2043" s="23">
        <v>-111881</v>
      </c>
      <c r="C2043" s="20">
        <v>157803.74999999997</v>
      </c>
      <c r="D2043" s="23">
        <f t="shared" si="681"/>
        <v>45922.749999999971</v>
      </c>
      <c r="E2043" s="20"/>
      <c r="F2043" s="23">
        <f t="shared" si="682"/>
        <v>45922.749999999971</v>
      </c>
      <c r="G2043" s="20">
        <v>0</v>
      </c>
      <c r="H2043">
        <v>3.15</v>
      </c>
      <c r="K2043" s="41" t="s">
        <v>170</v>
      </c>
      <c r="L2043" s="23"/>
      <c r="M2043" s="20">
        <v>0</v>
      </c>
      <c r="N2043" s="23">
        <f t="shared" si="683"/>
        <v>0</v>
      </c>
      <c r="O2043" s="20"/>
      <c r="P2043" s="23">
        <f t="shared" si="684"/>
        <v>0</v>
      </c>
      <c r="Q2043" s="20">
        <v>0</v>
      </c>
    </row>
    <row r="2044" spans="1:17" ht="15.75" x14ac:dyDescent="0.25">
      <c r="A2044" s="41" t="s">
        <v>15</v>
      </c>
      <c r="B2044" s="23">
        <v>-225062</v>
      </c>
      <c r="C2044" s="20">
        <v>310375</v>
      </c>
      <c r="D2044" s="23">
        <f t="shared" si="681"/>
        <v>85313</v>
      </c>
      <c r="E2044" s="20"/>
      <c r="F2044" s="23">
        <f t="shared" si="682"/>
        <v>85313</v>
      </c>
      <c r="G2044" s="20">
        <v>-775000</v>
      </c>
      <c r="H2044">
        <v>11.399999999999999</v>
      </c>
      <c r="K2044" s="41" t="s">
        <v>15</v>
      </c>
      <c r="L2044" s="23">
        <v>-304437</v>
      </c>
      <c r="M2044" s="20">
        <v>313875</v>
      </c>
      <c r="N2044" s="23">
        <f t="shared" si="683"/>
        <v>9438</v>
      </c>
      <c r="O2044" s="20"/>
      <c r="P2044" s="23">
        <f t="shared" si="684"/>
        <v>9438</v>
      </c>
      <c r="Q2044" s="20">
        <v>0</v>
      </c>
    </row>
    <row r="2045" spans="1:17" ht="15.75" x14ac:dyDescent="0.25">
      <c r="A2045" s="41" t="s">
        <v>171</v>
      </c>
      <c r="B2045" s="23"/>
      <c r="C2045" s="20">
        <v>0</v>
      </c>
      <c r="D2045" s="23">
        <f t="shared" si="681"/>
        <v>0</v>
      </c>
      <c r="E2045" s="20"/>
      <c r="F2045" s="23">
        <f t="shared" si="682"/>
        <v>0</v>
      </c>
      <c r="G2045" s="20">
        <v>0</v>
      </c>
      <c r="H2045">
        <v>54.4</v>
      </c>
      <c r="K2045" s="41" t="s">
        <v>171</v>
      </c>
      <c r="L2045" s="23"/>
      <c r="M2045" s="20">
        <v>0</v>
      </c>
      <c r="N2045" s="23">
        <f t="shared" si="683"/>
        <v>0</v>
      </c>
      <c r="O2045" s="20"/>
      <c r="P2045" s="23">
        <f t="shared" si="684"/>
        <v>0</v>
      </c>
      <c r="Q2045" s="20">
        <v>0</v>
      </c>
    </row>
    <row r="2046" spans="1:17" ht="15.75" x14ac:dyDescent="0.25">
      <c r="A2046" s="41" t="s">
        <v>85</v>
      </c>
      <c r="B2046" s="23">
        <v>304387</v>
      </c>
      <c r="C2046" s="20">
        <v>-342000</v>
      </c>
      <c r="D2046" s="23">
        <f t="shared" si="681"/>
        <v>-37613</v>
      </c>
      <c r="E2046" s="20"/>
      <c r="F2046" s="23">
        <f t="shared" si="682"/>
        <v>-37613</v>
      </c>
      <c r="G2046" s="20">
        <v>-465000</v>
      </c>
      <c r="H2046">
        <v>13.25</v>
      </c>
      <c r="K2046" s="41" t="s">
        <v>85</v>
      </c>
      <c r="L2046" s="23">
        <v>-57525</v>
      </c>
      <c r="M2046" s="20">
        <v>45750</v>
      </c>
      <c r="N2046" s="23">
        <f t="shared" si="683"/>
        <v>-11775</v>
      </c>
      <c r="O2046" s="20"/>
      <c r="P2046" s="23">
        <f t="shared" si="684"/>
        <v>-11775</v>
      </c>
      <c r="Q2046" s="20">
        <v>0</v>
      </c>
    </row>
    <row r="2047" spans="1:17" ht="15.75" x14ac:dyDescent="0.25">
      <c r="A2047" s="41" t="s">
        <v>87</v>
      </c>
      <c r="B2047" s="23">
        <f>-290047-12690</f>
        <v>-302737</v>
      </c>
      <c r="C2047" s="20">
        <v>-198112.49999999994</v>
      </c>
      <c r="D2047" s="23">
        <f t="shared" si="681"/>
        <v>-500849.49999999994</v>
      </c>
      <c r="E2047" s="20"/>
      <c r="F2047" s="23">
        <f t="shared" si="682"/>
        <v>-500849.49999999994</v>
      </c>
      <c r="G2047" s="23">
        <v>-661500</v>
      </c>
      <c r="H2047">
        <v>9.4499999999999993</v>
      </c>
      <c r="K2047" s="41" t="s">
        <v>87</v>
      </c>
      <c r="L2047" s="23">
        <v>-226597</v>
      </c>
      <c r="M2047" s="20">
        <v>-571050</v>
      </c>
      <c r="N2047" s="23">
        <f t="shared" si="683"/>
        <v>-797647</v>
      </c>
      <c r="O2047" s="20"/>
      <c r="P2047" s="23">
        <f t="shared" si="684"/>
        <v>-797647</v>
      </c>
      <c r="Q2047" s="23">
        <v>0</v>
      </c>
    </row>
    <row r="2048" spans="1:17" ht="15.75" x14ac:dyDescent="0.25">
      <c r="A2048" s="41" t="s">
        <v>128</v>
      </c>
      <c r="B2048" s="23">
        <v>-131235</v>
      </c>
      <c r="C2048" s="20">
        <v>212550</v>
      </c>
      <c r="D2048" s="23">
        <f t="shared" si="681"/>
        <v>81315</v>
      </c>
      <c r="E2048" s="20"/>
      <c r="F2048" s="23">
        <f t="shared" si="682"/>
        <v>81315</v>
      </c>
      <c r="G2048" s="23">
        <v>0</v>
      </c>
      <c r="H2048">
        <v>10.45</v>
      </c>
      <c r="K2048" s="41" t="s">
        <v>128</v>
      </c>
      <c r="L2048" s="23"/>
      <c r="M2048" s="20">
        <v>0</v>
      </c>
      <c r="N2048" s="23">
        <f t="shared" si="683"/>
        <v>0</v>
      </c>
      <c r="O2048" s="20"/>
      <c r="P2048" s="23">
        <f t="shared" si="684"/>
        <v>0</v>
      </c>
      <c r="Q2048" s="23">
        <v>0</v>
      </c>
    </row>
    <row r="2049" spans="1:17" ht="15.75" x14ac:dyDescent="0.25">
      <c r="A2049" s="21" t="s">
        <v>107</v>
      </c>
      <c r="B2049" s="22">
        <f t="shared" ref="B2049:G2049" si="685">SUM(B2036:B2048)</f>
        <v>-809921</v>
      </c>
      <c r="C2049" s="18">
        <f t="shared" si="685"/>
        <v>949156.25</v>
      </c>
      <c r="D2049" s="23">
        <f t="shared" si="685"/>
        <v>139235.24999999994</v>
      </c>
      <c r="E2049" s="18">
        <f t="shared" si="685"/>
        <v>0</v>
      </c>
      <c r="F2049" s="23">
        <f t="shared" si="685"/>
        <v>139235.24999999994</v>
      </c>
      <c r="G2049" s="17">
        <f t="shared" si="685"/>
        <v>-2996500</v>
      </c>
      <c r="K2049" s="21" t="s">
        <v>107</v>
      </c>
      <c r="L2049" s="22">
        <f t="shared" ref="L2049:Q2049" si="686">SUM(L2036:L2048)</f>
        <v>-770059</v>
      </c>
      <c r="M2049" s="18">
        <f t="shared" si="686"/>
        <v>-39425</v>
      </c>
      <c r="N2049" s="23">
        <f t="shared" si="686"/>
        <v>-809484</v>
      </c>
      <c r="O2049" s="18">
        <f t="shared" si="686"/>
        <v>0</v>
      </c>
      <c r="P2049" s="23">
        <f t="shared" si="686"/>
        <v>-809484</v>
      </c>
      <c r="Q2049" s="17">
        <f t="shared" si="686"/>
        <v>0</v>
      </c>
    </row>
    <row r="2057" spans="1:17" x14ac:dyDescent="0.25">
      <c r="A2057" s="117">
        <v>45582</v>
      </c>
      <c r="B2057" s="118"/>
      <c r="C2057" s="118"/>
      <c r="D2057" s="118"/>
    </row>
    <row r="2058" spans="1:17" x14ac:dyDescent="0.25">
      <c r="A2058" s="118"/>
      <c r="B2058" s="118"/>
      <c r="C2058" s="118"/>
      <c r="D2058" s="118"/>
    </row>
    <row r="2059" spans="1:17" x14ac:dyDescent="0.25">
      <c r="A2059" s="118"/>
      <c r="B2059" s="118"/>
      <c r="C2059" s="118"/>
      <c r="D2059" s="118"/>
    </row>
    <row r="2060" spans="1:17" x14ac:dyDescent="0.25">
      <c r="A2060" s="118"/>
      <c r="B2060" s="118"/>
      <c r="C2060" s="118"/>
      <c r="D2060" s="118"/>
    </row>
    <row r="2061" spans="1:17" x14ac:dyDescent="0.25">
      <c r="A2061" s="118"/>
      <c r="B2061" s="118"/>
      <c r="C2061" s="118"/>
      <c r="D2061" s="118"/>
    </row>
    <row r="2062" spans="1:17" x14ac:dyDescent="0.25">
      <c r="A2062" s="118"/>
      <c r="B2062" s="118"/>
      <c r="C2062" s="118"/>
      <c r="D2062" s="118"/>
    </row>
    <row r="2066" spans="1:19" ht="15.75" x14ac:dyDescent="0.25">
      <c r="A2066" s="107" t="s">
        <v>179</v>
      </c>
      <c r="B2066" s="108"/>
      <c r="C2066" s="108"/>
      <c r="D2066" s="108"/>
      <c r="E2066" s="108"/>
      <c r="F2066" s="108"/>
      <c r="G2066" s="109"/>
      <c r="J2066" s="107" t="s">
        <v>180</v>
      </c>
      <c r="K2066" s="108"/>
      <c r="L2066" s="108"/>
      <c r="M2066" s="108"/>
      <c r="N2066" s="108"/>
      <c r="O2066" s="108"/>
      <c r="P2066" s="109"/>
    </row>
    <row r="2067" spans="1:19" ht="15.75" x14ac:dyDescent="0.25">
      <c r="A2067" s="22" t="s">
        <v>34</v>
      </c>
      <c r="B2067" s="22" t="s">
        <v>104</v>
      </c>
      <c r="C2067" s="22" t="s">
        <v>105</v>
      </c>
      <c r="D2067" s="22" t="s">
        <v>112</v>
      </c>
      <c r="E2067" s="22" t="s">
        <v>106</v>
      </c>
      <c r="F2067" s="21" t="s">
        <v>108</v>
      </c>
      <c r="G2067" s="21" t="s">
        <v>28</v>
      </c>
      <c r="J2067" s="22" t="s">
        <v>34</v>
      </c>
      <c r="K2067" s="22" t="s">
        <v>104</v>
      </c>
      <c r="L2067" s="22" t="s">
        <v>105</v>
      </c>
      <c r="M2067" s="22" t="s">
        <v>112</v>
      </c>
      <c r="N2067" s="22" t="s">
        <v>106</v>
      </c>
      <c r="O2067" s="21" t="s">
        <v>108</v>
      </c>
      <c r="P2067" s="21" t="s">
        <v>28</v>
      </c>
    </row>
    <row r="2068" spans="1:19" ht="15.75" x14ac:dyDescent="0.25">
      <c r="A2068" s="41" t="s">
        <v>71</v>
      </c>
      <c r="B2068" s="23">
        <v>11475</v>
      </c>
      <c r="C2068" s="20"/>
      <c r="D2068" s="23">
        <f t="shared" ref="D2068:D2077" si="687">+C2068+B2068</f>
        <v>11475</v>
      </c>
      <c r="E2068" s="20"/>
      <c r="F2068" s="23">
        <f t="shared" ref="F2068:F2077" si="688">+B2068+C2068-E2068</f>
        <v>11475</v>
      </c>
      <c r="G2068" s="20">
        <v>-238425</v>
      </c>
      <c r="H2068">
        <v>398.65</v>
      </c>
      <c r="J2068" s="41" t="s">
        <v>19</v>
      </c>
      <c r="K2068" s="23">
        <v>3018</v>
      </c>
      <c r="L2068" s="20">
        <v>96300</v>
      </c>
      <c r="M2068" s="23">
        <f t="shared" ref="M2068:M2077" si="689">+L2068+K2068</f>
        <v>99318</v>
      </c>
      <c r="N2068" s="20"/>
      <c r="O2068" s="23">
        <f t="shared" ref="O2068:O2077" si="690">+K2068+L2068-N2068</f>
        <v>99318</v>
      </c>
      <c r="P2068" s="20">
        <v>-437750</v>
      </c>
      <c r="Q2068">
        <v>336.1</v>
      </c>
      <c r="S2068">
        <f>+M2068+D2084+M2084+D2100+O2100+F2117+O2117</f>
        <v>-243106.5</v>
      </c>
    </row>
    <row r="2069" spans="1:19" ht="15.75" x14ac:dyDescent="0.25">
      <c r="A2069" s="41" t="s">
        <v>102</v>
      </c>
      <c r="B2069" s="23">
        <v>-4015</v>
      </c>
      <c r="C2069" s="20"/>
      <c r="D2069" s="23">
        <f t="shared" si="687"/>
        <v>-4015</v>
      </c>
      <c r="E2069" s="20"/>
      <c r="F2069" s="23">
        <f t="shared" si="688"/>
        <v>-4015</v>
      </c>
      <c r="G2069" s="20">
        <v>-303105</v>
      </c>
      <c r="H2069">
        <v>21.4</v>
      </c>
      <c r="J2069" s="41" t="s">
        <v>71</v>
      </c>
      <c r="K2069" s="23">
        <v>13515</v>
      </c>
      <c r="L2069" s="20">
        <v>65025</v>
      </c>
      <c r="M2069" s="23">
        <f t="shared" si="689"/>
        <v>78540</v>
      </c>
      <c r="N2069" s="20"/>
      <c r="O2069" s="23">
        <f t="shared" si="690"/>
        <v>78540</v>
      </c>
      <c r="P2069" s="20">
        <v>-483650</v>
      </c>
      <c r="Q2069">
        <v>19.3</v>
      </c>
      <c r="S2069">
        <f t="shared" ref="S2069:S2077" si="691">+M2069+D2085+M2085+D2101+O2101+F2118+O2118</f>
        <v>-154445</v>
      </c>
    </row>
    <row r="2070" spans="1:19" ht="15.75" x14ac:dyDescent="0.25">
      <c r="A2070" s="41" t="s">
        <v>19</v>
      </c>
      <c r="B2070" s="23">
        <v>15450</v>
      </c>
      <c r="C2070" s="20"/>
      <c r="D2070" s="23">
        <f t="shared" si="687"/>
        <v>15450</v>
      </c>
      <c r="E2070" s="20"/>
      <c r="F2070" s="23">
        <f t="shared" si="688"/>
        <v>15450</v>
      </c>
      <c r="G2070" s="20">
        <v>-245250</v>
      </c>
      <c r="H2070">
        <v>19.899999999999999</v>
      </c>
      <c r="J2070" s="41" t="s">
        <v>148</v>
      </c>
      <c r="K2070" s="23">
        <v>-6375</v>
      </c>
      <c r="L2070" s="20">
        <v>57750</v>
      </c>
      <c r="M2070" s="23">
        <f t="shared" si="689"/>
        <v>51375</v>
      </c>
      <c r="N2070" s="20"/>
      <c r="O2070" s="23">
        <f t="shared" si="690"/>
        <v>51375</v>
      </c>
      <c r="P2070" s="20">
        <v>-479000</v>
      </c>
      <c r="Q2070">
        <v>17.100000000000001</v>
      </c>
      <c r="S2070">
        <f t="shared" si="691"/>
        <v>-115937</v>
      </c>
    </row>
    <row r="2071" spans="1:19" ht="15.75" x14ac:dyDescent="0.25">
      <c r="A2071" s="41" t="s">
        <v>62</v>
      </c>
      <c r="B2071" s="23">
        <v>5190</v>
      </c>
      <c r="C2071" s="20"/>
      <c r="D2071" s="23">
        <f t="shared" si="687"/>
        <v>5190</v>
      </c>
      <c r="E2071" s="20"/>
      <c r="F2071" s="23">
        <f t="shared" si="688"/>
        <v>5190</v>
      </c>
      <c r="G2071" s="20">
        <v>-309900</v>
      </c>
      <c r="H2071">
        <v>193.4</v>
      </c>
      <c r="J2071" s="41" t="s">
        <v>88</v>
      </c>
      <c r="K2071" s="23">
        <v>-20400</v>
      </c>
      <c r="L2071" s="20">
        <v>26700</v>
      </c>
      <c r="M2071" s="23">
        <f t="shared" si="689"/>
        <v>6300</v>
      </c>
      <c r="N2071" s="20"/>
      <c r="O2071" s="23">
        <f t="shared" si="690"/>
        <v>6300</v>
      </c>
      <c r="P2071" s="20">
        <v>-520140</v>
      </c>
      <c r="Q2071">
        <v>186.55</v>
      </c>
      <c r="S2071">
        <f t="shared" si="691"/>
        <v>-1080255</v>
      </c>
    </row>
    <row r="2072" spans="1:19" ht="15.75" x14ac:dyDescent="0.25">
      <c r="A2072" s="41" t="s">
        <v>39</v>
      </c>
      <c r="B2072" s="23">
        <v>10350</v>
      </c>
      <c r="C2072" s="20"/>
      <c r="D2072" s="23">
        <f t="shared" si="687"/>
        <v>10350</v>
      </c>
      <c r="E2072" s="20"/>
      <c r="F2072" s="23">
        <f t="shared" si="688"/>
        <v>10350</v>
      </c>
      <c r="G2072" s="20">
        <v>-221100</v>
      </c>
      <c r="H2072">
        <v>33.85</v>
      </c>
      <c r="J2072" s="41" t="s">
        <v>96</v>
      </c>
      <c r="K2072" s="23">
        <v>6606</v>
      </c>
      <c r="L2072" s="20">
        <v>82600</v>
      </c>
      <c r="M2072" s="23">
        <f t="shared" si="689"/>
        <v>89206</v>
      </c>
      <c r="N2072" s="20"/>
      <c r="O2072" s="23">
        <f t="shared" si="690"/>
        <v>89206</v>
      </c>
      <c r="P2072" s="20">
        <v>-533400</v>
      </c>
      <c r="Q2072">
        <v>29.1</v>
      </c>
      <c r="S2072">
        <f t="shared" si="691"/>
        <v>-582444</v>
      </c>
    </row>
    <row r="2073" spans="1:19" ht="15.75" x14ac:dyDescent="0.25">
      <c r="A2073" s="41" t="s">
        <v>119</v>
      </c>
      <c r="B2073" s="23">
        <v>-8384</v>
      </c>
      <c r="C2073" s="20"/>
      <c r="D2073" s="23">
        <f t="shared" si="687"/>
        <v>-8384</v>
      </c>
      <c r="E2073" s="20"/>
      <c r="F2073" s="23">
        <f t="shared" si="688"/>
        <v>-8384</v>
      </c>
      <c r="G2073" s="20">
        <v>-202482.5</v>
      </c>
      <c r="H2073">
        <v>25.450000000000003</v>
      </c>
      <c r="J2073" s="41" t="s">
        <v>15</v>
      </c>
      <c r="K2073" s="23">
        <v>-5000</v>
      </c>
      <c r="L2073" s="20">
        <v>32500</v>
      </c>
      <c r="M2073" s="23">
        <f t="shared" si="689"/>
        <v>27500</v>
      </c>
      <c r="N2073" s="20"/>
      <c r="O2073" s="23">
        <f t="shared" si="690"/>
        <v>27500</v>
      </c>
      <c r="P2073" s="20">
        <v>-592000</v>
      </c>
      <c r="Q2073">
        <v>22.65</v>
      </c>
      <c r="S2073">
        <f t="shared" si="691"/>
        <v>-284813</v>
      </c>
    </row>
    <row r="2074" spans="1:19" ht="15.75" x14ac:dyDescent="0.25">
      <c r="A2074" s="41" t="s">
        <v>88</v>
      </c>
      <c r="B2074" s="23">
        <v>-8895</v>
      </c>
      <c r="C2074" s="20"/>
      <c r="D2074" s="23">
        <f t="shared" si="687"/>
        <v>-8895</v>
      </c>
      <c r="E2074" s="20"/>
      <c r="F2074" s="23">
        <f t="shared" si="688"/>
        <v>-8895</v>
      </c>
      <c r="G2074" s="20">
        <v>-204300</v>
      </c>
      <c r="H2074">
        <v>344.85</v>
      </c>
      <c r="J2074" s="41" t="s">
        <v>62</v>
      </c>
      <c r="K2074" s="23">
        <v>-8092</v>
      </c>
      <c r="L2074" s="20">
        <v>69525</v>
      </c>
      <c r="M2074" s="23">
        <f t="shared" si="689"/>
        <v>61433</v>
      </c>
      <c r="N2074" s="20"/>
      <c r="O2074" s="23">
        <f t="shared" si="690"/>
        <v>61433</v>
      </c>
      <c r="P2074" s="20">
        <v>-597975</v>
      </c>
      <c r="Q2074">
        <v>301.35000000000002</v>
      </c>
      <c r="S2074">
        <f t="shared" si="691"/>
        <v>-361094.5</v>
      </c>
    </row>
    <row r="2075" spans="1:19" ht="15.75" x14ac:dyDescent="0.25">
      <c r="A2075" s="41" t="s">
        <v>15</v>
      </c>
      <c r="B2075" s="23">
        <v>-437</v>
      </c>
      <c r="C2075" s="20"/>
      <c r="D2075" s="23">
        <f t="shared" si="687"/>
        <v>-437</v>
      </c>
      <c r="E2075" s="20"/>
      <c r="F2075" s="23">
        <f t="shared" si="688"/>
        <v>-437</v>
      </c>
      <c r="G2075" s="20">
        <v>-243000</v>
      </c>
      <c r="H2075">
        <v>62.099999999999994</v>
      </c>
      <c r="J2075" s="41" t="s">
        <v>119</v>
      </c>
      <c r="K2075" s="23">
        <f>-58974+203</f>
        <v>-58771</v>
      </c>
      <c r="L2075" s="20">
        <v>-1933.25</v>
      </c>
      <c r="M2075" s="23">
        <f t="shared" si="689"/>
        <v>-60704.25</v>
      </c>
      <c r="N2075" s="20"/>
      <c r="O2075" s="23">
        <f t="shared" si="690"/>
        <v>-60704.25</v>
      </c>
      <c r="P2075" s="20">
        <v>-507345.85</v>
      </c>
      <c r="Q2075">
        <v>61.55</v>
      </c>
      <c r="S2075">
        <f t="shared" si="691"/>
        <v>-277655.19999999995</v>
      </c>
    </row>
    <row r="2076" spans="1:19" ht="15.75" x14ac:dyDescent="0.25">
      <c r="A2076" s="41" t="s">
        <v>148</v>
      </c>
      <c r="B2076" s="23">
        <v>-4375</v>
      </c>
      <c r="C2076" s="20"/>
      <c r="D2076" s="23">
        <f t="shared" si="687"/>
        <v>-4375</v>
      </c>
      <c r="E2076" s="20"/>
      <c r="F2076" s="23">
        <f t="shared" si="688"/>
        <v>-4375</v>
      </c>
      <c r="G2076" s="20">
        <v>-265000</v>
      </c>
      <c r="H2076">
        <v>37.950000000000003</v>
      </c>
      <c r="J2076" s="41" t="s">
        <v>102</v>
      </c>
      <c r="K2076" s="23">
        <v>13915</v>
      </c>
      <c r="L2076" s="20">
        <v>93060</v>
      </c>
      <c r="M2076" s="23">
        <f t="shared" si="689"/>
        <v>106975</v>
      </c>
      <c r="N2076" s="20"/>
      <c r="O2076" s="23">
        <f t="shared" si="690"/>
        <v>106975</v>
      </c>
      <c r="P2076" s="20">
        <v>-523930</v>
      </c>
      <c r="Q2076">
        <v>32.400000000000006</v>
      </c>
      <c r="S2076">
        <f t="shared" si="691"/>
        <v>194149.99999999994</v>
      </c>
    </row>
    <row r="2077" spans="1:19" ht="15.75" x14ac:dyDescent="0.25">
      <c r="A2077" s="41" t="s">
        <v>96</v>
      </c>
      <c r="B2077" s="23">
        <v>-27693</v>
      </c>
      <c r="C2077" s="20"/>
      <c r="D2077" s="23">
        <f t="shared" si="687"/>
        <v>-27693</v>
      </c>
      <c r="E2077" s="20"/>
      <c r="F2077" s="23">
        <f t="shared" si="688"/>
        <v>-27693</v>
      </c>
      <c r="G2077" s="20">
        <v>-228200</v>
      </c>
      <c r="H2077">
        <v>80.349999999999994</v>
      </c>
      <c r="J2077" s="41" t="s">
        <v>39</v>
      </c>
      <c r="K2077" s="23">
        <v>-4590</v>
      </c>
      <c r="L2077" s="20">
        <v>53250</v>
      </c>
      <c r="M2077" s="23">
        <f t="shared" si="689"/>
        <v>48660</v>
      </c>
      <c r="N2077" s="20"/>
      <c r="O2077" s="23">
        <f t="shared" si="690"/>
        <v>48660</v>
      </c>
      <c r="P2077" s="20">
        <v>-503100</v>
      </c>
      <c r="Q2077">
        <v>69.7</v>
      </c>
      <c r="S2077">
        <f t="shared" si="691"/>
        <v>-431460</v>
      </c>
    </row>
    <row r="2078" spans="1:19" ht="15.75" x14ac:dyDescent="0.25">
      <c r="A2078" s="21" t="s">
        <v>107</v>
      </c>
      <c r="B2078" s="22">
        <f t="shared" ref="B2078:G2078" si="692">SUM(B2068:B2077)</f>
        <v>-11334</v>
      </c>
      <c r="C2078" s="18">
        <f t="shared" si="692"/>
        <v>0</v>
      </c>
      <c r="D2078" s="23">
        <f t="shared" si="692"/>
        <v>-11334</v>
      </c>
      <c r="E2078" s="18">
        <f t="shared" si="692"/>
        <v>0</v>
      </c>
      <c r="F2078" s="23">
        <f t="shared" si="692"/>
        <v>-11334</v>
      </c>
      <c r="G2078" s="17">
        <f t="shared" si="692"/>
        <v>-2460762.5</v>
      </c>
      <c r="J2078" s="21" t="s">
        <v>107</v>
      </c>
      <c r="K2078" s="22">
        <f t="shared" ref="K2078:P2078" si="693">SUM(K2068:K2077)</f>
        <v>-66174</v>
      </c>
      <c r="L2078" s="18">
        <f t="shared" si="693"/>
        <v>574776.75</v>
      </c>
      <c r="M2078" s="23">
        <f t="shared" si="693"/>
        <v>508602.75</v>
      </c>
      <c r="N2078" s="18">
        <f t="shared" si="693"/>
        <v>0</v>
      </c>
      <c r="O2078" s="23">
        <f t="shared" si="693"/>
        <v>508602.75</v>
      </c>
      <c r="P2078" s="17">
        <f t="shared" si="693"/>
        <v>-5178290.8499999996</v>
      </c>
    </row>
    <row r="2082" spans="1:19" ht="15.75" x14ac:dyDescent="0.25">
      <c r="A2082" s="107" t="s">
        <v>181</v>
      </c>
      <c r="B2082" s="108"/>
      <c r="C2082" s="108"/>
      <c r="D2082" s="108"/>
      <c r="E2082" s="108"/>
      <c r="F2082" s="108"/>
      <c r="G2082" s="109"/>
      <c r="J2082" s="107" t="s">
        <v>182</v>
      </c>
      <c r="K2082" s="108"/>
      <c r="L2082" s="108"/>
      <c r="M2082" s="108"/>
      <c r="N2082" s="108"/>
      <c r="O2082" s="108"/>
      <c r="P2082" s="109"/>
    </row>
    <row r="2083" spans="1:19" ht="15.75" x14ac:dyDescent="0.25">
      <c r="A2083" s="22" t="s">
        <v>34</v>
      </c>
      <c r="B2083" s="22" t="s">
        <v>104</v>
      </c>
      <c r="C2083" s="22" t="s">
        <v>105</v>
      </c>
      <c r="D2083" s="22" t="s">
        <v>112</v>
      </c>
      <c r="E2083" s="22" t="s">
        <v>106</v>
      </c>
      <c r="F2083" s="21" t="s">
        <v>108</v>
      </c>
      <c r="G2083" s="21" t="s">
        <v>28</v>
      </c>
      <c r="J2083" s="22" t="s">
        <v>34</v>
      </c>
      <c r="K2083" s="22" t="s">
        <v>104</v>
      </c>
      <c r="L2083" s="22" t="s">
        <v>105</v>
      </c>
      <c r="M2083" s="22" t="s">
        <v>112</v>
      </c>
      <c r="N2083" s="22" t="s">
        <v>106</v>
      </c>
      <c r="O2083" s="21" t="s">
        <v>108</v>
      </c>
      <c r="P2083" s="21" t="s">
        <v>28</v>
      </c>
    </row>
    <row r="2084" spans="1:19" ht="15.75" x14ac:dyDescent="0.25">
      <c r="A2084" s="41" t="s">
        <v>19</v>
      </c>
      <c r="B2084" s="23">
        <v>199356</v>
      </c>
      <c r="C2084" s="20">
        <v>-472400</v>
      </c>
      <c r="D2084" s="23">
        <f t="shared" ref="D2084:D2093" si="694">+C2084+B2084</f>
        <v>-273044</v>
      </c>
      <c r="E2084" s="20"/>
      <c r="F2084" s="23">
        <f t="shared" ref="F2084:F2093" si="695">+B2084+C2084-E2084</f>
        <v>-273044</v>
      </c>
      <c r="G2084" s="20">
        <v>-437750</v>
      </c>
      <c r="H2084">
        <v>352.1</v>
      </c>
      <c r="J2084" s="41" t="s">
        <v>19</v>
      </c>
      <c r="K2084" s="23">
        <v>33087</v>
      </c>
      <c r="L2084" s="20">
        <v>51837.5</v>
      </c>
      <c r="M2084" s="23">
        <f t="shared" ref="M2084:M2093" si="696">+L2084+K2084</f>
        <v>84924.5</v>
      </c>
      <c r="N2084" s="20"/>
      <c r="O2084" s="23">
        <f t="shared" ref="O2084:O2093" si="697">+K2084+L2084-N2084</f>
        <v>84924.5</v>
      </c>
      <c r="P2084" s="20">
        <v>-754400</v>
      </c>
      <c r="Q2084">
        <v>316.5</v>
      </c>
    </row>
    <row r="2085" spans="1:19" ht="15.75" x14ac:dyDescent="0.25">
      <c r="A2085" s="41" t="s">
        <v>71</v>
      </c>
      <c r="B2085" s="23">
        <v>-41650</v>
      </c>
      <c r="C2085" s="20">
        <v>23715</v>
      </c>
      <c r="D2085" s="23">
        <f t="shared" si="694"/>
        <v>-17935</v>
      </c>
      <c r="E2085" s="20"/>
      <c r="F2085" s="23">
        <f t="shared" si="695"/>
        <v>-17935</v>
      </c>
      <c r="G2085" s="20">
        <v>-483650</v>
      </c>
      <c r="H2085">
        <v>18.700000000000003</v>
      </c>
      <c r="J2085" s="41" t="s">
        <v>71</v>
      </c>
      <c r="K2085" s="23">
        <v>29580</v>
      </c>
      <c r="L2085" s="20">
        <v>-89760</v>
      </c>
      <c r="M2085" s="23">
        <f t="shared" si="696"/>
        <v>-60180</v>
      </c>
      <c r="N2085" s="20"/>
      <c r="O2085" s="23">
        <f t="shared" si="697"/>
        <v>-60180</v>
      </c>
      <c r="P2085" s="20">
        <v>-819400</v>
      </c>
      <c r="Q2085">
        <v>19</v>
      </c>
      <c r="S2085" s="44"/>
    </row>
    <row r="2086" spans="1:19" ht="15.75" x14ac:dyDescent="0.25">
      <c r="A2086" s="41" t="s">
        <v>148</v>
      </c>
      <c r="B2086" s="23">
        <v>-18937</v>
      </c>
      <c r="C2086" s="20">
        <v>-118500</v>
      </c>
      <c r="D2086" s="23">
        <f t="shared" si="694"/>
        <v>-137437</v>
      </c>
      <c r="E2086" s="20"/>
      <c r="F2086" s="23">
        <f t="shared" si="695"/>
        <v>-137437</v>
      </c>
      <c r="G2086" s="20">
        <v>-479000</v>
      </c>
      <c r="H2086">
        <v>19.100000000000001</v>
      </c>
      <c r="J2086" s="41" t="s">
        <v>148</v>
      </c>
      <c r="K2086" s="23">
        <v>-5937</v>
      </c>
      <c r="L2086" s="20">
        <v>-4875</v>
      </c>
      <c r="M2086" s="23">
        <f t="shared" si="696"/>
        <v>-10812</v>
      </c>
      <c r="N2086" s="20"/>
      <c r="O2086" s="23">
        <f t="shared" si="697"/>
        <v>-10812</v>
      </c>
      <c r="P2086" s="20">
        <v>-763000</v>
      </c>
      <c r="Q2086">
        <v>18.549999999999997</v>
      </c>
    </row>
    <row r="2087" spans="1:19" ht="15.75" x14ac:dyDescent="0.25">
      <c r="A2087" s="41" t="s">
        <v>88</v>
      </c>
      <c r="B2087" s="23">
        <v>-59760</v>
      </c>
      <c r="C2087" s="20">
        <v>-135825</v>
      </c>
      <c r="D2087" s="23">
        <f t="shared" si="694"/>
        <v>-195585</v>
      </c>
      <c r="E2087" s="20"/>
      <c r="F2087" s="23">
        <f t="shared" si="695"/>
        <v>-195585</v>
      </c>
      <c r="G2087" s="20">
        <v>-520140</v>
      </c>
      <c r="H2087">
        <v>190.35</v>
      </c>
      <c r="J2087" s="41" t="s">
        <v>88</v>
      </c>
      <c r="K2087" s="23">
        <v>10065</v>
      </c>
      <c r="L2087" s="20">
        <v>720</v>
      </c>
      <c r="M2087" s="23">
        <f t="shared" si="696"/>
        <v>10785</v>
      </c>
      <c r="N2087" s="20"/>
      <c r="O2087" s="23">
        <f t="shared" si="697"/>
        <v>10785</v>
      </c>
      <c r="P2087" s="20">
        <v>-673350</v>
      </c>
      <c r="Q2087">
        <v>187.5</v>
      </c>
    </row>
    <row r="2088" spans="1:19" ht="15.75" x14ac:dyDescent="0.25">
      <c r="A2088" s="41" t="s">
        <v>96</v>
      </c>
      <c r="B2088" s="23">
        <v>127268</v>
      </c>
      <c r="C2088" s="20">
        <v>-339500</v>
      </c>
      <c r="D2088" s="23">
        <f t="shared" si="694"/>
        <v>-212232</v>
      </c>
      <c r="E2088" s="20"/>
      <c r="F2088" s="23">
        <f t="shared" si="695"/>
        <v>-212232</v>
      </c>
      <c r="G2088" s="20">
        <v>-533400</v>
      </c>
      <c r="H2088">
        <v>29.3</v>
      </c>
      <c r="J2088" s="41" t="s">
        <v>96</v>
      </c>
      <c r="K2088" s="23">
        <v>119393</v>
      </c>
      <c r="L2088" s="20">
        <v>-156975</v>
      </c>
      <c r="M2088" s="23">
        <f t="shared" si="696"/>
        <v>-37582</v>
      </c>
      <c r="N2088" s="20"/>
      <c r="O2088" s="23">
        <f t="shared" si="697"/>
        <v>-37582</v>
      </c>
      <c r="P2088" s="20">
        <v>-735700</v>
      </c>
      <c r="Q2088">
        <v>27.25</v>
      </c>
    </row>
    <row r="2089" spans="1:19" ht="15.75" x14ac:dyDescent="0.25">
      <c r="A2089" s="41" t="s">
        <v>15</v>
      </c>
      <c r="B2089" s="23">
        <v>-118125</v>
      </c>
      <c r="C2089" s="20">
        <v>-86500</v>
      </c>
      <c r="D2089" s="23">
        <f t="shared" si="694"/>
        <v>-204625</v>
      </c>
      <c r="E2089" s="20"/>
      <c r="F2089" s="23">
        <f t="shared" si="695"/>
        <v>-204625</v>
      </c>
      <c r="G2089" s="20">
        <v>-592000</v>
      </c>
      <c r="H2089">
        <v>23.9</v>
      </c>
      <c r="J2089" s="41" t="s">
        <v>15</v>
      </c>
      <c r="K2089" s="23">
        <v>23750</v>
      </c>
      <c r="L2089" s="20">
        <v>41000</v>
      </c>
      <c r="M2089" s="23">
        <f t="shared" si="696"/>
        <v>64750</v>
      </c>
      <c r="N2089" s="20"/>
      <c r="O2089" s="23">
        <f t="shared" si="697"/>
        <v>64750</v>
      </c>
      <c r="P2089" s="20">
        <v>-580500</v>
      </c>
      <c r="Q2089">
        <v>22.549999999999997</v>
      </c>
    </row>
    <row r="2090" spans="1:19" ht="15.75" x14ac:dyDescent="0.25">
      <c r="A2090" s="41" t="s">
        <v>62</v>
      </c>
      <c r="B2090" s="23">
        <v>17055</v>
      </c>
      <c r="C2090" s="20">
        <v>-168420</v>
      </c>
      <c r="D2090" s="23">
        <f t="shared" si="694"/>
        <v>-151365</v>
      </c>
      <c r="E2090" s="20"/>
      <c r="F2090" s="23">
        <f t="shared" si="695"/>
        <v>-151365</v>
      </c>
      <c r="G2090" s="20">
        <v>-597975</v>
      </c>
      <c r="H2090">
        <v>303.05</v>
      </c>
      <c r="J2090" s="41" t="s">
        <v>62</v>
      </c>
      <c r="K2090" s="23">
        <v>258975</v>
      </c>
      <c r="L2090" s="20">
        <v>-273375</v>
      </c>
      <c r="M2090" s="23">
        <f t="shared" si="696"/>
        <v>-14400</v>
      </c>
      <c r="N2090" s="20"/>
      <c r="O2090" s="23">
        <f t="shared" si="697"/>
        <v>-14400</v>
      </c>
      <c r="P2090" s="20">
        <v>-834675</v>
      </c>
      <c r="Q2090">
        <v>289.64999999999998</v>
      </c>
    </row>
    <row r="2091" spans="1:19" ht="15.75" x14ac:dyDescent="0.25">
      <c r="A2091" s="41" t="s">
        <v>119</v>
      </c>
      <c r="B2091" s="23">
        <v>15527</v>
      </c>
      <c r="C2091" s="20">
        <v>-127452.05</v>
      </c>
      <c r="D2091" s="23">
        <f t="shared" si="694"/>
        <v>-111925.05</v>
      </c>
      <c r="E2091" s="20"/>
      <c r="F2091" s="23">
        <f t="shared" si="695"/>
        <v>-111925.05</v>
      </c>
      <c r="G2091" s="20">
        <v>-507345.85</v>
      </c>
      <c r="H2091">
        <v>62.949999999999996</v>
      </c>
      <c r="J2091" s="41" t="s">
        <v>119</v>
      </c>
      <c r="K2091" s="23">
        <v>112026</v>
      </c>
      <c r="L2091" s="20">
        <v>-111660.44999999997</v>
      </c>
      <c r="M2091" s="23">
        <f t="shared" si="696"/>
        <v>365.55000000003201</v>
      </c>
      <c r="N2091" s="20"/>
      <c r="O2091" s="23">
        <f t="shared" si="697"/>
        <v>365.55000000003201</v>
      </c>
      <c r="P2091" s="20">
        <v>-509767.5</v>
      </c>
      <c r="Q2091">
        <v>60.75</v>
      </c>
    </row>
    <row r="2092" spans="1:19" ht="15.75" x14ac:dyDescent="0.25">
      <c r="A2092" s="41" t="s">
        <v>102</v>
      </c>
      <c r="B2092" s="23">
        <v>-16940</v>
      </c>
      <c r="C2092" s="20">
        <v>-20295</v>
      </c>
      <c r="D2092" s="23">
        <f t="shared" si="694"/>
        <v>-37235</v>
      </c>
      <c r="E2092" s="20"/>
      <c r="F2092" s="23">
        <f t="shared" si="695"/>
        <v>-37235</v>
      </c>
      <c r="G2092" s="20">
        <v>-523930</v>
      </c>
      <c r="H2092">
        <v>32.349999999999994</v>
      </c>
      <c r="J2092" s="41" t="s">
        <v>102</v>
      </c>
      <c r="K2092" s="23">
        <v>68172</v>
      </c>
      <c r="L2092" s="20">
        <v>-161260</v>
      </c>
      <c r="M2092" s="23">
        <f t="shared" si="696"/>
        <v>-93088</v>
      </c>
      <c r="N2092" s="20"/>
      <c r="O2092" s="23">
        <f t="shared" si="697"/>
        <v>-93088</v>
      </c>
      <c r="P2092" s="20">
        <v>-713900</v>
      </c>
      <c r="Q2092">
        <v>31.450000000000003</v>
      </c>
    </row>
    <row r="2093" spans="1:19" ht="15.75" x14ac:dyDescent="0.25">
      <c r="A2093" s="41" t="s">
        <v>39</v>
      </c>
      <c r="B2093" s="23">
        <v>78750</v>
      </c>
      <c r="C2093" s="20">
        <v>-102660</v>
      </c>
      <c r="D2093" s="23">
        <f t="shared" si="694"/>
        <v>-23910</v>
      </c>
      <c r="E2093" s="20"/>
      <c r="F2093" s="23">
        <f t="shared" si="695"/>
        <v>-23910</v>
      </c>
      <c r="G2093" s="20">
        <v>-503100</v>
      </c>
      <c r="H2093">
        <v>66.849999999999994</v>
      </c>
      <c r="J2093" s="41" t="s">
        <v>39</v>
      </c>
      <c r="K2093" s="23">
        <v>52380</v>
      </c>
      <c r="L2093" s="20">
        <v>36480</v>
      </c>
      <c r="M2093" s="23">
        <f t="shared" si="696"/>
        <v>88860</v>
      </c>
      <c r="N2093" s="20"/>
      <c r="O2093" s="23">
        <f t="shared" si="697"/>
        <v>88860</v>
      </c>
      <c r="P2093" s="20">
        <v>-579210</v>
      </c>
      <c r="Q2093">
        <v>63.15</v>
      </c>
    </row>
    <row r="2094" spans="1:19" ht="15.75" x14ac:dyDescent="0.25">
      <c r="A2094" s="21" t="s">
        <v>107</v>
      </c>
      <c r="B2094" s="22">
        <f t="shared" ref="B2094:G2094" si="698">SUM(B2084:B2093)</f>
        <v>182544</v>
      </c>
      <c r="C2094" s="18">
        <f t="shared" si="698"/>
        <v>-1547837.05</v>
      </c>
      <c r="D2094" s="23">
        <f t="shared" si="698"/>
        <v>-1365293.05</v>
      </c>
      <c r="E2094" s="18">
        <f t="shared" si="698"/>
        <v>0</v>
      </c>
      <c r="F2094" s="23">
        <f t="shared" si="698"/>
        <v>-1365293.05</v>
      </c>
      <c r="G2094" s="17">
        <f t="shared" si="698"/>
        <v>-5178290.8499999996</v>
      </c>
      <c r="J2094" s="21" t="s">
        <v>107</v>
      </c>
      <c r="K2094" s="22">
        <f t="shared" ref="K2094:P2094" si="699">SUM(K2084:K2093)</f>
        <v>701491</v>
      </c>
      <c r="L2094" s="18">
        <f t="shared" si="699"/>
        <v>-667867.94999999995</v>
      </c>
      <c r="M2094" s="23">
        <f t="shared" si="699"/>
        <v>33623.050000000032</v>
      </c>
      <c r="N2094" s="18">
        <f t="shared" si="699"/>
        <v>0</v>
      </c>
      <c r="O2094" s="23">
        <f t="shared" si="699"/>
        <v>33623.050000000032</v>
      </c>
      <c r="P2094" s="17">
        <f t="shared" si="699"/>
        <v>-6963902.5</v>
      </c>
    </row>
    <row r="2098" spans="1:17" ht="15.75" x14ac:dyDescent="0.25">
      <c r="A2098" s="107" t="s">
        <v>183</v>
      </c>
      <c r="B2098" s="108"/>
      <c r="C2098" s="108"/>
      <c r="D2098" s="108"/>
      <c r="E2098" s="108"/>
      <c r="F2098" s="108"/>
      <c r="G2098" s="109"/>
      <c r="J2098" s="107" t="s">
        <v>184</v>
      </c>
      <c r="K2098" s="108"/>
      <c r="L2098" s="108"/>
      <c r="M2098" s="108"/>
      <c r="N2098" s="108"/>
      <c r="O2098" s="108"/>
      <c r="P2098" s="109"/>
    </row>
    <row r="2099" spans="1:17" ht="15.75" x14ac:dyDescent="0.25">
      <c r="A2099" s="22" t="s">
        <v>34</v>
      </c>
      <c r="B2099" s="22" t="s">
        <v>104</v>
      </c>
      <c r="C2099" s="22" t="s">
        <v>105</v>
      </c>
      <c r="D2099" s="22" t="s">
        <v>112</v>
      </c>
      <c r="E2099" s="22" t="s">
        <v>106</v>
      </c>
      <c r="F2099" s="21" t="s">
        <v>108</v>
      </c>
      <c r="G2099" s="21" t="s">
        <v>28</v>
      </c>
      <c r="J2099" s="22" t="s">
        <v>34</v>
      </c>
      <c r="K2099" s="22" t="s">
        <v>104</v>
      </c>
      <c r="L2099" s="22" t="s">
        <v>105</v>
      </c>
      <c r="M2099" s="22" t="s">
        <v>112</v>
      </c>
      <c r="N2099" s="22" t="s">
        <v>106</v>
      </c>
      <c r="O2099" s="21" t="s">
        <v>108</v>
      </c>
      <c r="P2099" s="21" t="s">
        <v>28</v>
      </c>
    </row>
    <row r="2100" spans="1:17" ht="15.75" x14ac:dyDescent="0.25">
      <c r="A2100" s="41" t="s">
        <v>19</v>
      </c>
      <c r="B2100" s="23">
        <v>478851</v>
      </c>
      <c r="C2100" s="20">
        <v>-634650</v>
      </c>
      <c r="D2100" s="23">
        <f t="shared" ref="D2100:D2109" si="700">+C2100+B2100</f>
        <v>-155799</v>
      </c>
      <c r="E2100" s="20"/>
      <c r="F2100" s="23">
        <f t="shared" ref="F2100:F2109" si="701">+B2100+C2100-E2100</f>
        <v>-155799</v>
      </c>
      <c r="G2100" s="20">
        <v>-468450</v>
      </c>
      <c r="H2100">
        <v>315.95</v>
      </c>
      <c r="J2100" s="41" t="s">
        <v>19</v>
      </c>
      <c r="K2100" s="23">
        <v>-137456</v>
      </c>
      <c r="L2100" s="20">
        <v>118250</v>
      </c>
      <c r="M2100" s="23">
        <f t="shared" ref="M2100:M2109" si="702">+L2100+K2100</f>
        <v>-19206</v>
      </c>
      <c r="N2100" s="20"/>
      <c r="O2100" s="23">
        <f t="shared" ref="O2100:O2109" si="703">+K2100+L2100-N2100</f>
        <v>-19206</v>
      </c>
      <c r="P2100" s="20">
        <v>-468450</v>
      </c>
      <c r="Q2100">
        <v>286.35000000000002</v>
      </c>
    </row>
    <row r="2101" spans="1:17" ht="15.75" x14ac:dyDescent="0.25">
      <c r="A2101" s="41" t="s">
        <v>71</v>
      </c>
      <c r="B2101" s="23">
        <v>-55420</v>
      </c>
      <c r="C2101" s="20">
        <v>-95880</v>
      </c>
      <c r="D2101" s="23">
        <f t="shared" si="700"/>
        <v>-151300</v>
      </c>
      <c r="E2101" s="20"/>
      <c r="F2101" s="23">
        <f t="shared" si="701"/>
        <v>-151300</v>
      </c>
      <c r="G2101" s="20">
        <v>-444550</v>
      </c>
      <c r="H2101">
        <v>18.75</v>
      </c>
      <c r="J2101" s="41" t="s">
        <v>71</v>
      </c>
      <c r="K2101" s="23">
        <v>2550</v>
      </c>
      <c r="L2101" s="20">
        <v>117640</v>
      </c>
      <c r="M2101" s="23">
        <f t="shared" si="702"/>
        <v>120190</v>
      </c>
      <c r="N2101" s="20"/>
      <c r="O2101" s="23">
        <f t="shared" si="703"/>
        <v>120190</v>
      </c>
      <c r="P2101" s="20">
        <v>-444550</v>
      </c>
      <c r="Q2101">
        <v>17.45</v>
      </c>
    </row>
    <row r="2102" spans="1:17" ht="15.75" x14ac:dyDescent="0.25">
      <c r="A2102" s="41" t="s">
        <v>148</v>
      </c>
      <c r="B2102" s="23">
        <v>-6500</v>
      </c>
      <c r="C2102" s="20">
        <v>41125</v>
      </c>
      <c r="D2102" s="23">
        <f t="shared" si="700"/>
        <v>34625</v>
      </c>
      <c r="E2102" s="20"/>
      <c r="F2102" s="23">
        <f t="shared" si="701"/>
        <v>34625</v>
      </c>
      <c r="G2102" s="20">
        <v>-581500</v>
      </c>
      <c r="H2102">
        <v>18</v>
      </c>
      <c r="J2102" s="41" t="s">
        <v>148</v>
      </c>
      <c r="K2102" s="23">
        <v>80687</v>
      </c>
      <c r="L2102" s="20">
        <v>-50125</v>
      </c>
      <c r="M2102" s="23">
        <f t="shared" si="702"/>
        <v>30562</v>
      </c>
      <c r="N2102" s="20"/>
      <c r="O2102" s="23">
        <f t="shared" si="703"/>
        <v>30562</v>
      </c>
      <c r="P2102" s="20">
        <v>-581500</v>
      </c>
      <c r="Q2102">
        <v>17.05</v>
      </c>
    </row>
    <row r="2103" spans="1:17" ht="15.75" x14ac:dyDescent="0.25">
      <c r="A2103" s="41" t="s">
        <v>88</v>
      </c>
      <c r="B2103" s="23">
        <v>-48855</v>
      </c>
      <c r="C2103" s="20">
        <v>79770</v>
      </c>
      <c r="D2103" s="23">
        <f t="shared" si="700"/>
        <v>30915</v>
      </c>
      <c r="E2103" s="20"/>
      <c r="F2103" s="23">
        <f t="shared" si="701"/>
        <v>30915</v>
      </c>
      <c r="G2103" s="20">
        <v>-592725</v>
      </c>
      <c r="H2103">
        <v>172.15</v>
      </c>
      <c r="J2103" s="41" t="s">
        <v>88</v>
      </c>
      <c r="K2103" s="23">
        <v>-66555</v>
      </c>
      <c r="L2103" s="20">
        <v>-6105</v>
      </c>
      <c r="M2103" s="23">
        <f t="shared" si="702"/>
        <v>-72660</v>
      </c>
      <c r="N2103" s="20"/>
      <c r="O2103" s="23">
        <f t="shared" si="703"/>
        <v>-72660</v>
      </c>
      <c r="P2103" s="20">
        <v>-592725</v>
      </c>
      <c r="Q2103">
        <v>184.8</v>
      </c>
    </row>
    <row r="2104" spans="1:17" ht="15.75" x14ac:dyDescent="0.25">
      <c r="A2104" s="41" t="s">
        <v>96</v>
      </c>
      <c r="B2104" s="23">
        <v>-156887</v>
      </c>
      <c r="C2104" s="20">
        <v>95900</v>
      </c>
      <c r="D2104" s="23">
        <f t="shared" si="700"/>
        <v>-60987</v>
      </c>
      <c r="E2104" s="20"/>
      <c r="F2104" s="23">
        <f t="shared" si="701"/>
        <v>-60987</v>
      </c>
      <c r="G2104" s="20">
        <v>-487900</v>
      </c>
      <c r="H2104">
        <v>24.15</v>
      </c>
      <c r="J2104" s="41" t="s">
        <v>96</v>
      </c>
      <c r="K2104" s="23">
        <v>-54950</v>
      </c>
      <c r="L2104" s="20">
        <v>98175</v>
      </c>
      <c r="M2104" s="23">
        <f t="shared" si="702"/>
        <v>43225</v>
      </c>
      <c r="N2104" s="20"/>
      <c r="O2104" s="23">
        <f t="shared" si="703"/>
        <v>43225</v>
      </c>
      <c r="P2104" s="20">
        <v>-487900</v>
      </c>
      <c r="Q2104">
        <v>22.85</v>
      </c>
    </row>
    <row r="2105" spans="1:17" ht="15.75" x14ac:dyDescent="0.25">
      <c r="A2105" s="41" t="s">
        <v>15</v>
      </c>
      <c r="B2105" s="23">
        <v>22812</v>
      </c>
      <c r="C2105" s="20">
        <v>41249.999999999971</v>
      </c>
      <c r="D2105" s="23">
        <f t="shared" si="700"/>
        <v>64061.999999999971</v>
      </c>
      <c r="E2105" s="20"/>
      <c r="F2105" s="23">
        <f t="shared" si="701"/>
        <v>64061.999999999971</v>
      </c>
      <c r="G2105" s="20">
        <v>-503625</v>
      </c>
      <c r="H2105">
        <v>21.05</v>
      </c>
      <c r="J2105" s="41" t="s">
        <v>15</v>
      </c>
      <c r="K2105" s="23">
        <v>-101375</v>
      </c>
      <c r="L2105" s="20">
        <v>-44375</v>
      </c>
      <c r="M2105" s="23">
        <f t="shared" si="702"/>
        <v>-145750</v>
      </c>
      <c r="N2105" s="20"/>
      <c r="O2105" s="23">
        <f t="shared" si="703"/>
        <v>-145750</v>
      </c>
      <c r="P2105" s="20">
        <v>-503625</v>
      </c>
      <c r="Q2105">
        <v>22.85</v>
      </c>
    </row>
    <row r="2106" spans="1:17" ht="15.75" x14ac:dyDescent="0.25">
      <c r="A2106" s="41" t="s">
        <v>62</v>
      </c>
      <c r="B2106" s="23">
        <v>-166462</v>
      </c>
      <c r="C2106" s="20">
        <v>-85072.5</v>
      </c>
      <c r="D2106" s="23">
        <f t="shared" si="700"/>
        <v>-251534.5</v>
      </c>
      <c r="E2106" s="20"/>
      <c r="F2106" s="23">
        <f t="shared" si="701"/>
        <v>-251534.5</v>
      </c>
      <c r="G2106" s="20">
        <v>-614025</v>
      </c>
      <c r="H2106">
        <v>279.7</v>
      </c>
      <c r="J2106" s="41" t="s">
        <v>62</v>
      </c>
      <c r="K2106" s="23">
        <v>25282</v>
      </c>
      <c r="L2106" s="20">
        <v>39645</v>
      </c>
      <c r="M2106" s="23">
        <f t="shared" si="702"/>
        <v>64927</v>
      </c>
      <c r="N2106" s="20"/>
      <c r="O2106" s="23">
        <f t="shared" si="703"/>
        <v>64927</v>
      </c>
      <c r="P2106" s="20">
        <v>-614025</v>
      </c>
      <c r="Q2106">
        <v>249.79999999999998</v>
      </c>
    </row>
    <row r="2107" spans="1:17" ht="15.75" x14ac:dyDescent="0.25">
      <c r="A2107" s="41" t="s">
        <v>119</v>
      </c>
      <c r="B2107" s="23">
        <v>-106979</v>
      </c>
      <c r="C2107" s="20">
        <v>72730.899999999994</v>
      </c>
      <c r="D2107" s="23">
        <f t="shared" si="700"/>
        <v>-34248.100000000006</v>
      </c>
      <c r="E2107" s="20"/>
      <c r="F2107" s="23">
        <f t="shared" si="701"/>
        <v>-34248.100000000006</v>
      </c>
      <c r="G2107" s="20">
        <v>-469739.05</v>
      </c>
      <c r="H2107">
        <v>51.5</v>
      </c>
      <c r="J2107" s="41" t="s">
        <v>119</v>
      </c>
      <c r="K2107" s="23">
        <v>16117</v>
      </c>
      <c r="L2107" s="20">
        <v>40740.699999999997</v>
      </c>
      <c r="M2107" s="23">
        <f t="shared" si="702"/>
        <v>56857.7</v>
      </c>
      <c r="N2107" s="20"/>
      <c r="O2107" s="23">
        <f t="shared" si="703"/>
        <v>56857.7</v>
      </c>
      <c r="P2107" s="20">
        <v>-469739.05</v>
      </c>
      <c r="Q2107">
        <v>48.55</v>
      </c>
    </row>
    <row r="2108" spans="1:17" ht="15.75" x14ac:dyDescent="0.25">
      <c r="A2108" s="41" t="s">
        <v>102</v>
      </c>
      <c r="B2108" s="23">
        <v>-60747</v>
      </c>
      <c r="C2108" s="20">
        <v>207460</v>
      </c>
      <c r="D2108" s="23">
        <f t="shared" si="700"/>
        <v>146713</v>
      </c>
      <c r="E2108" s="20"/>
      <c r="F2108" s="23">
        <f t="shared" si="701"/>
        <v>146713</v>
      </c>
      <c r="G2108" s="20">
        <v>-515350</v>
      </c>
      <c r="H2108">
        <v>27.15</v>
      </c>
      <c r="J2108" s="41" t="s">
        <v>102</v>
      </c>
      <c r="K2108" s="23">
        <v>-58025</v>
      </c>
      <c r="L2108" s="20">
        <v>56540</v>
      </c>
      <c r="M2108" s="23">
        <f t="shared" si="702"/>
        <v>-1485</v>
      </c>
      <c r="N2108" s="20"/>
      <c r="O2108" s="23">
        <f t="shared" si="703"/>
        <v>-1485</v>
      </c>
      <c r="P2108" s="20">
        <v>-515350</v>
      </c>
      <c r="Q2108">
        <v>24.549999999999997</v>
      </c>
    </row>
    <row r="2109" spans="1:17" ht="15.75" x14ac:dyDescent="0.25">
      <c r="A2109" s="41" t="s">
        <v>39</v>
      </c>
      <c r="B2109" s="23">
        <v>-146820</v>
      </c>
      <c r="C2109" s="20">
        <v>-145860</v>
      </c>
      <c r="D2109" s="23">
        <f t="shared" si="700"/>
        <v>-292680</v>
      </c>
      <c r="E2109" s="20"/>
      <c r="F2109" s="23">
        <f t="shared" si="701"/>
        <v>-292680</v>
      </c>
      <c r="G2109" s="20">
        <v>-508650</v>
      </c>
      <c r="H2109">
        <v>74.349999999999994</v>
      </c>
      <c r="J2109" s="41" t="s">
        <v>39</v>
      </c>
      <c r="K2109" s="23">
        <v>-72570</v>
      </c>
      <c r="L2109" s="20">
        <v>-10980</v>
      </c>
      <c r="M2109" s="23">
        <f t="shared" si="702"/>
        <v>-83550</v>
      </c>
      <c r="N2109" s="20"/>
      <c r="O2109" s="23">
        <f t="shared" si="703"/>
        <v>-83550</v>
      </c>
      <c r="P2109" s="20">
        <v>-508650</v>
      </c>
      <c r="Q2109">
        <v>80.5</v>
      </c>
    </row>
    <row r="2110" spans="1:17" ht="15.75" x14ac:dyDescent="0.25">
      <c r="A2110" s="21" t="s">
        <v>107</v>
      </c>
      <c r="B2110" s="22">
        <f t="shared" ref="B2110:G2110" si="704">SUM(B2100:B2109)</f>
        <v>-247007</v>
      </c>
      <c r="C2110" s="18">
        <f t="shared" si="704"/>
        <v>-423226.6</v>
      </c>
      <c r="D2110" s="23">
        <f t="shared" si="704"/>
        <v>-670233.59999999998</v>
      </c>
      <c r="E2110" s="18">
        <f t="shared" si="704"/>
        <v>0</v>
      </c>
      <c r="F2110" s="23">
        <f t="shared" si="704"/>
        <v>-670233.59999999998</v>
      </c>
      <c r="G2110" s="17">
        <f t="shared" si="704"/>
        <v>-5186514.05</v>
      </c>
      <c r="J2110" s="21" t="s">
        <v>107</v>
      </c>
      <c r="K2110" s="22">
        <f t="shared" ref="K2110:P2110" si="705">SUM(K2100:K2109)</f>
        <v>-366295</v>
      </c>
      <c r="L2110" s="18">
        <f t="shared" si="705"/>
        <v>359405.7</v>
      </c>
      <c r="M2110" s="23">
        <f t="shared" si="705"/>
        <v>-6889.3000000000029</v>
      </c>
      <c r="N2110" s="18">
        <f t="shared" si="705"/>
        <v>0</v>
      </c>
      <c r="O2110" s="23">
        <f t="shared" si="705"/>
        <v>-6889.3000000000029</v>
      </c>
      <c r="P2110" s="17">
        <f t="shared" si="705"/>
        <v>-5186514.05</v>
      </c>
    </row>
    <row r="2115" spans="1:21" ht="15.75" x14ac:dyDescent="0.25">
      <c r="A2115" s="107" t="s">
        <v>185</v>
      </c>
      <c r="B2115" s="108"/>
      <c r="C2115" s="108"/>
      <c r="D2115" s="108"/>
      <c r="E2115" s="108"/>
      <c r="F2115" s="108"/>
      <c r="G2115" s="109"/>
      <c r="J2115" s="107" t="s">
        <v>186</v>
      </c>
      <c r="K2115" s="108"/>
      <c r="L2115" s="108"/>
      <c r="M2115" s="108"/>
      <c r="N2115" s="108"/>
      <c r="O2115" s="108"/>
      <c r="P2115" s="109"/>
    </row>
    <row r="2116" spans="1:21" ht="15.75" x14ac:dyDescent="0.25">
      <c r="A2116" s="22" t="s">
        <v>34</v>
      </c>
      <c r="B2116" s="22" t="s">
        <v>104</v>
      </c>
      <c r="C2116" s="22" t="s">
        <v>105</v>
      </c>
      <c r="D2116" s="22" t="s">
        <v>112</v>
      </c>
      <c r="E2116" s="22" t="s">
        <v>106</v>
      </c>
      <c r="F2116" s="21" t="s">
        <v>108</v>
      </c>
      <c r="G2116" s="21" t="s">
        <v>28</v>
      </c>
      <c r="J2116" s="22" t="s">
        <v>34</v>
      </c>
      <c r="K2116" s="22" t="s">
        <v>104</v>
      </c>
      <c r="L2116" s="22" t="s">
        <v>105</v>
      </c>
      <c r="M2116" s="22" t="s">
        <v>112</v>
      </c>
      <c r="N2116" s="22" t="s">
        <v>106</v>
      </c>
      <c r="O2116" s="21" t="s">
        <v>108</v>
      </c>
      <c r="P2116" s="21" t="s">
        <v>28</v>
      </c>
    </row>
    <row r="2117" spans="1:21" ht="15.75" x14ac:dyDescent="0.25">
      <c r="A2117" s="41" t="s">
        <v>19</v>
      </c>
      <c r="B2117" s="23">
        <v>98700</v>
      </c>
      <c r="C2117" s="20">
        <v>-7150</v>
      </c>
      <c r="D2117" s="23">
        <f t="shared" ref="D2117:D2126" si="706">+C2117+B2117</f>
        <v>91550</v>
      </c>
      <c r="E2117" s="20"/>
      <c r="F2117" s="23">
        <f t="shared" ref="F2117:F2126" si="707">+B2117+C2117-E2117</f>
        <v>91550</v>
      </c>
      <c r="G2117" s="20">
        <v>-468450</v>
      </c>
      <c r="H2117">
        <v>283.10000000000002</v>
      </c>
      <c r="J2117" s="41" t="s">
        <v>19</v>
      </c>
      <c r="K2117" s="23">
        <v>-67050</v>
      </c>
      <c r="L2117" s="20">
        <v>-3800</v>
      </c>
      <c r="M2117" s="23">
        <f t="shared" ref="M2117:M2126" si="708">+L2117+K2117</f>
        <v>-70850</v>
      </c>
      <c r="N2117" s="20"/>
      <c r="O2117" s="23">
        <f t="shared" ref="O2117:O2126" si="709">+K2117+L2117-N2117</f>
        <v>-70850</v>
      </c>
      <c r="P2117" s="20"/>
      <c r="Q2117">
        <v>245.35</v>
      </c>
      <c r="R2117">
        <v>210.2</v>
      </c>
    </row>
    <row r="2118" spans="1:21" ht="15.75" x14ac:dyDescent="0.25">
      <c r="A2118" s="41" t="s">
        <v>71</v>
      </c>
      <c r="B2118" s="23">
        <v>-58820</v>
      </c>
      <c r="C2118" s="20">
        <v>-108460</v>
      </c>
      <c r="D2118" s="23">
        <f t="shared" si="706"/>
        <v>-167280</v>
      </c>
      <c r="E2118" s="20"/>
      <c r="F2118" s="23">
        <f t="shared" si="707"/>
        <v>-167280</v>
      </c>
      <c r="G2118" s="20">
        <v>-444550</v>
      </c>
      <c r="H2118">
        <v>17.45</v>
      </c>
      <c r="J2118" s="41" t="s">
        <v>71</v>
      </c>
      <c r="K2118" s="23">
        <v>-116620</v>
      </c>
      <c r="L2118" s="20">
        <v>160140</v>
      </c>
      <c r="M2118" s="23">
        <f t="shared" si="708"/>
        <v>43520</v>
      </c>
      <c r="N2118" s="20"/>
      <c r="O2118" s="23">
        <f t="shared" si="709"/>
        <v>43520</v>
      </c>
      <c r="P2118" s="20"/>
      <c r="Q2118">
        <v>16.649999999999999</v>
      </c>
      <c r="R2118">
        <v>13.25</v>
      </c>
    </row>
    <row r="2119" spans="1:21" ht="15.75" x14ac:dyDescent="0.25">
      <c r="A2119" s="41" t="s">
        <v>148</v>
      </c>
      <c r="B2119" s="23">
        <v>20750</v>
      </c>
      <c r="C2119" s="20">
        <v>101000</v>
      </c>
      <c r="D2119" s="23">
        <f t="shared" si="706"/>
        <v>121750</v>
      </c>
      <c r="E2119" s="20"/>
      <c r="F2119" s="23">
        <f t="shared" si="707"/>
        <v>121750</v>
      </c>
      <c r="G2119" s="20">
        <v>-581500</v>
      </c>
      <c r="H2119">
        <v>17.05</v>
      </c>
      <c r="J2119" s="41" t="s">
        <v>148</v>
      </c>
      <c r="K2119" s="23">
        <v>168250</v>
      </c>
      <c r="L2119" s="20">
        <v>-374250</v>
      </c>
      <c r="M2119" s="23">
        <f t="shared" si="708"/>
        <v>-206000</v>
      </c>
      <c r="N2119" s="20"/>
      <c r="O2119" s="23">
        <f t="shared" si="709"/>
        <v>-206000</v>
      </c>
      <c r="P2119" s="20"/>
      <c r="Q2119">
        <v>17</v>
      </c>
      <c r="R2119">
        <v>16.5</v>
      </c>
    </row>
    <row r="2120" spans="1:21" ht="15.75" x14ac:dyDescent="0.25">
      <c r="A2120" s="41" t="s">
        <v>88</v>
      </c>
      <c r="B2120" s="23">
        <v>190155</v>
      </c>
      <c r="C2120" s="20">
        <v>-359970</v>
      </c>
      <c r="D2120" s="23">
        <f t="shared" si="706"/>
        <v>-169815</v>
      </c>
      <c r="E2120" s="20"/>
      <c r="F2120" s="23">
        <f t="shared" si="707"/>
        <v>-169815</v>
      </c>
      <c r="G2120" s="20">
        <v>-592725</v>
      </c>
      <c r="H2120">
        <v>184.95</v>
      </c>
      <c r="J2120" s="41" t="s">
        <v>88</v>
      </c>
      <c r="K2120" s="23">
        <v>-243525</v>
      </c>
      <c r="L2120" s="20">
        <v>-446670</v>
      </c>
      <c r="M2120" s="23">
        <f t="shared" si="708"/>
        <v>-690195</v>
      </c>
      <c r="N2120" s="20"/>
      <c r="O2120" s="23">
        <f t="shared" si="709"/>
        <v>-690195</v>
      </c>
      <c r="P2120" s="20"/>
      <c r="Q2120">
        <v>190.85000000000002</v>
      </c>
      <c r="R2120">
        <v>98.4</v>
      </c>
    </row>
    <row r="2121" spans="1:21" ht="15.75" x14ac:dyDescent="0.25">
      <c r="A2121" s="41" t="s">
        <v>96</v>
      </c>
      <c r="B2121" s="23">
        <v>-200112</v>
      </c>
      <c r="C2121" s="20">
        <v>-166949.99999999994</v>
      </c>
      <c r="D2121" s="23">
        <f t="shared" si="706"/>
        <v>-367061.99999999994</v>
      </c>
      <c r="E2121" s="20"/>
      <c r="F2121" s="23">
        <f t="shared" si="707"/>
        <v>-367061.99999999994</v>
      </c>
      <c r="G2121" s="20">
        <v>-487900</v>
      </c>
      <c r="H2121">
        <v>22.450000000000003</v>
      </c>
      <c r="J2121" s="41" t="s">
        <v>96</v>
      </c>
      <c r="K2121" s="23">
        <v>-202737</v>
      </c>
      <c r="L2121" s="20">
        <v>165725</v>
      </c>
      <c r="M2121" s="23">
        <f t="shared" si="708"/>
        <v>-37012</v>
      </c>
      <c r="N2121" s="20"/>
      <c r="O2121" s="23">
        <f t="shared" si="709"/>
        <v>-37012</v>
      </c>
      <c r="P2121" s="20"/>
      <c r="Q2121">
        <v>22.75</v>
      </c>
      <c r="R2121">
        <v>18.25</v>
      </c>
    </row>
    <row r="2122" spans="1:21" ht="15.75" x14ac:dyDescent="0.25">
      <c r="A2122" s="41" t="s">
        <v>15</v>
      </c>
      <c r="B2122" s="23">
        <v>9812</v>
      </c>
      <c r="C2122" s="20">
        <v>-68125</v>
      </c>
      <c r="D2122" s="23">
        <f t="shared" si="706"/>
        <v>-58313</v>
      </c>
      <c r="E2122" s="20"/>
      <c r="F2122" s="23">
        <f t="shared" si="707"/>
        <v>-58313</v>
      </c>
      <c r="G2122" s="20">
        <v>-503625</v>
      </c>
      <c r="H2122">
        <v>22.45</v>
      </c>
      <c r="J2122" s="41" t="s">
        <v>15</v>
      </c>
      <c r="K2122" s="23">
        <v>-183687</v>
      </c>
      <c r="L2122" s="20">
        <v>151250</v>
      </c>
      <c r="M2122" s="23">
        <f t="shared" si="708"/>
        <v>-32437</v>
      </c>
      <c r="N2122" s="20"/>
      <c r="O2122" s="23">
        <f t="shared" si="709"/>
        <v>-32437</v>
      </c>
      <c r="P2122" s="20"/>
      <c r="Q2122">
        <v>20.399999999999999</v>
      </c>
      <c r="R2122">
        <v>15.85</v>
      </c>
    </row>
    <row r="2123" spans="1:21" ht="15.75" x14ac:dyDescent="0.25">
      <c r="A2123" s="41" t="s">
        <v>62</v>
      </c>
      <c r="B2123" s="23">
        <v>80722</v>
      </c>
      <c r="C2123" s="20">
        <v>-68835</v>
      </c>
      <c r="D2123" s="23">
        <f t="shared" si="706"/>
        <v>11887</v>
      </c>
      <c r="E2123" s="20"/>
      <c r="F2123" s="23">
        <f t="shared" si="707"/>
        <v>11887</v>
      </c>
      <c r="G2123" s="20">
        <v>-614025</v>
      </c>
      <c r="H2123">
        <v>249.79999999999998</v>
      </c>
      <c r="J2123" s="41" t="s">
        <v>62</v>
      </c>
      <c r="K2123" s="23">
        <v>-390292</v>
      </c>
      <c r="L2123" s="20">
        <v>308250</v>
      </c>
      <c r="M2123" s="23">
        <f t="shared" si="708"/>
        <v>-82042</v>
      </c>
      <c r="N2123" s="20"/>
      <c r="O2123" s="23">
        <f t="shared" si="709"/>
        <v>-82042</v>
      </c>
      <c r="P2123" s="20"/>
      <c r="Q2123">
        <v>222.25</v>
      </c>
      <c r="R2123">
        <v>168.25</v>
      </c>
    </row>
    <row r="2124" spans="1:21" ht="15.75" x14ac:dyDescent="0.25">
      <c r="A2124" s="41" t="s">
        <v>119</v>
      </c>
      <c r="B2124" s="23">
        <v>-168274</v>
      </c>
      <c r="C2124" s="20">
        <v>37606.800000000017</v>
      </c>
      <c r="D2124" s="23">
        <f t="shared" si="706"/>
        <v>-130667.19999999998</v>
      </c>
      <c r="E2124" s="20"/>
      <c r="F2124" s="23">
        <f t="shared" si="707"/>
        <v>-130667.19999999998</v>
      </c>
      <c r="G2124" s="20">
        <v>-469739.05</v>
      </c>
      <c r="H2124">
        <v>48.55</v>
      </c>
      <c r="J2124" s="41" t="s">
        <v>119</v>
      </c>
      <c r="K2124" s="23">
        <v>-220960</v>
      </c>
      <c r="L2124" s="20">
        <v>223626.15000000002</v>
      </c>
      <c r="M2124" s="23">
        <f t="shared" si="708"/>
        <v>2666.1500000000233</v>
      </c>
      <c r="N2124" s="20"/>
      <c r="O2124" s="23">
        <f t="shared" si="709"/>
        <v>2666.1500000000233</v>
      </c>
      <c r="P2124" s="20"/>
      <c r="Q2124">
        <v>43.95</v>
      </c>
      <c r="R2124">
        <v>34.5</v>
      </c>
    </row>
    <row r="2125" spans="1:21" ht="15.75" x14ac:dyDescent="0.25">
      <c r="A2125" s="41" t="s">
        <v>102</v>
      </c>
      <c r="B2125" s="23">
        <v>76395</v>
      </c>
      <c r="C2125" s="20">
        <v>-113080.00000000006</v>
      </c>
      <c r="D2125" s="23">
        <f t="shared" si="706"/>
        <v>-36685.000000000058</v>
      </c>
      <c r="E2125" s="20"/>
      <c r="F2125" s="23">
        <f t="shared" si="707"/>
        <v>-36685.000000000058</v>
      </c>
      <c r="G2125" s="20">
        <v>-515350</v>
      </c>
      <c r="H2125">
        <v>24.549999999999997</v>
      </c>
      <c r="J2125" s="41" t="s">
        <v>102</v>
      </c>
      <c r="K2125" s="23">
        <v>91465</v>
      </c>
      <c r="L2125" s="20">
        <v>17490</v>
      </c>
      <c r="M2125" s="23">
        <f t="shared" si="708"/>
        <v>108955</v>
      </c>
      <c r="N2125" s="20"/>
      <c r="O2125" s="23">
        <f t="shared" si="709"/>
        <v>108955</v>
      </c>
      <c r="P2125" s="20"/>
      <c r="Q2125">
        <v>23</v>
      </c>
      <c r="R2125">
        <v>18.55</v>
      </c>
    </row>
    <row r="2126" spans="1:21" ht="15.75" x14ac:dyDescent="0.25">
      <c r="A2126" s="41" t="s">
        <v>39</v>
      </c>
      <c r="B2126" s="23">
        <v>-19590</v>
      </c>
      <c r="C2126" s="20">
        <v>-57390</v>
      </c>
      <c r="D2126" s="23">
        <f t="shared" si="706"/>
        <v>-76980</v>
      </c>
      <c r="E2126" s="20"/>
      <c r="F2126" s="23">
        <f t="shared" si="707"/>
        <v>-76980</v>
      </c>
      <c r="G2126" s="20">
        <v>-508650</v>
      </c>
      <c r="H2126">
        <v>78.800000000000011</v>
      </c>
      <c r="J2126" s="41" t="s">
        <v>39</v>
      </c>
      <c r="K2126" s="23">
        <v>-159270</v>
      </c>
      <c r="L2126" s="20">
        <v>67410</v>
      </c>
      <c r="M2126" s="23">
        <f t="shared" si="708"/>
        <v>-91860</v>
      </c>
      <c r="N2126" s="20"/>
      <c r="O2126" s="23">
        <f t="shared" si="709"/>
        <v>-91860</v>
      </c>
      <c r="P2126" s="20"/>
      <c r="Q2126">
        <v>79.849999999999994</v>
      </c>
      <c r="R2126">
        <v>76.699999999999989</v>
      </c>
      <c r="U2126">
        <v>0</v>
      </c>
    </row>
    <row r="2127" spans="1:21" ht="15.75" x14ac:dyDescent="0.25">
      <c r="A2127" s="21" t="s">
        <v>107</v>
      </c>
      <c r="B2127" s="22">
        <f t="shared" ref="B2127:G2127" si="710">SUM(B2117:B2126)</f>
        <v>29738</v>
      </c>
      <c r="C2127" s="18">
        <f t="shared" si="710"/>
        <v>-811353.2</v>
      </c>
      <c r="D2127" s="23">
        <f t="shared" si="710"/>
        <v>-781615.2</v>
      </c>
      <c r="E2127" s="18">
        <f t="shared" si="710"/>
        <v>0</v>
      </c>
      <c r="F2127" s="23">
        <f t="shared" si="710"/>
        <v>-781615.2</v>
      </c>
      <c r="G2127" s="17">
        <f t="shared" si="710"/>
        <v>-5186514.05</v>
      </c>
      <c r="J2127" s="21" t="s">
        <v>107</v>
      </c>
      <c r="K2127" s="22">
        <f t="shared" ref="K2127:P2127" si="711">SUM(K2117:K2126)</f>
        <v>-1324426</v>
      </c>
      <c r="L2127" s="18">
        <f t="shared" si="711"/>
        <v>269171.15000000002</v>
      </c>
      <c r="M2127" s="23">
        <f t="shared" si="711"/>
        <v>-1055254.8500000001</v>
      </c>
      <c r="N2127" s="18">
        <f t="shared" si="711"/>
        <v>0</v>
      </c>
      <c r="O2127" s="23">
        <f t="shared" si="711"/>
        <v>-1055254.8500000001</v>
      </c>
      <c r="P2127" s="17">
        <f t="shared" si="711"/>
        <v>0</v>
      </c>
    </row>
    <row r="2133" spans="1:29" x14ac:dyDescent="0.25">
      <c r="A2133" s="110">
        <v>45597</v>
      </c>
      <c r="B2133" s="111"/>
      <c r="C2133" s="111"/>
      <c r="D2133" s="111"/>
      <c r="E2133" s="111"/>
    </row>
    <row r="2134" spans="1:29" x14ac:dyDescent="0.25">
      <c r="A2134" s="111"/>
      <c r="B2134" s="111"/>
      <c r="C2134" s="111"/>
      <c r="D2134" s="111"/>
      <c r="E2134" s="111"/>
    </row>
    <row r="2135" spans="1:29" x14ac:dyDescent="0.25">
      <c r="A2135" s="111"/>
      <c r="B2135" s="111"/>
      <c r="C2135" s="111"/>
      <c r="D2135" s="111"/>
      <c r="E2135" s="111"/>
    </row>
    <row r="2136" spans="1:29" x14ac:dyDescent="0.25">
      <c r="A2136" s="111"/>
      <c r="B2136" s="111"/>
      <c r="C2136" s="111"/>
      <c r="D2136" s="111"/>
      <c r="E2136" s="111"/>
    </row>
    <row r="2137" spans="1:29" x14ac:dyDescent="0.25">
      <c r="A2137" s="111"/>
      <c r="B2137" s="111"/>
      <c r="C2137" s="111"/>
      <c r="D2137" s="111"/>
      <c r="E2137" s="111"/>
    </row>
    <row r="2138" spans="1:29" x14ac:dyDescent="0.25">
      <c r="A2138" s="111"/>
      <c r="B2138" s="111"/>
      <c r="C2138" s="111"/>
      <c r="D2138" s="111"/>
      <c r="E2138" s="111"/>
    </row>
    <row r="2143" spans="1:29" ht="15.75" x14ac:dyDescent="0.25">
      <c r="A2143" s="107" t="s">
        <v>189</v>
      </c>
      <c r="B2143" s="108"/>
      <c r="C2143" s="108"/>
      <c r="D2143" s="108"/>
      <c r="E2143" s="108"/>
      <c r="F2143" s="108"/>
      <c r="G2143" s="109"/>
      <c r="J2143" s="107" t="s">
        <v>190</v>
      </c>
      <c r="K2143" s="108"/>
      <c r="L2143" s="108"/>
      <c r="M2143" s="108"/>
      <c r="N2143" s="108"/>
      <c r="O2143" s="108"/>
      <c r="P2143" s="109"/>
      <c r="S2143" s="107" t="s">
        <v>190</v>
      </c>
      <c r="T2143" s="108"/>
      <c r="U2143" s="108"/>
      <c r="V2143" s="108"/>
      <c r="W2143" s="108"/>
      <c r="X2143" s="108"/>
      <c r="Y2143" s="109"/>
      <c r="AB2143" s="103" t="s">
        <v>191</v>
      </c>
      <c r="AC2143" s="104"/>
    </row>
    <row r="2144" spans="1:29" ht="15.75" x14ac:dyDescent="0.25">
      <c r="A2144" s="22" t="s">
        <v>34</v>
      </c>
      <c r="B2144" s="22" t="s">
        <v>104</v>
      </c>
      <c r="C2144" s="22" t="s">
        <v>105</v>
      </c>
      <c r="D2144" s="22" t="s">
        <v>112</v>
      </c>
      <c r="E2144" s="22" t="s">
        <v>106</v>
      </c>
      <c r="F2144" s="21" t="s">
        <v>108</v>
      </c>
      <c r="G2144" s="21" t="s">
        <v>28</v>
      </c>
      <c r="J2144" s="22" t="s">
        <v>34</v>
      </c>
      <c r="K2144" s="22" t="s">
        <v>104</v>
      </c>
      <c r="L2144" s="22" t="s">
        <v>105</v>
      </c>
      <c r="M2144" s="22" t="s">
        <v>112</v>
      </c>
      <c r="N2144" s="22" t="s">
        <v>106</v>
      </c>
      <c r="O2144" s="21" t="s">
        <v>108</v>
      </c>
      <c r="P2144" s="21" t="s">
        <v>28</v>
      </c>
      <c r="S2144" s="22" t="s">
        <v>34</v>
      </c>
      <c r="T2144" s="22" t="s">
        <v>104</v>
      </c>
      <c r="U2144" s="22" t="s">
        <v>105</v>
      </c>
      <c r="V2144" s="22" t="s">
        <v>112</v>
      </c>
      <c r="W2144" s="22" t="s">
        <v>106</v>
      </c>
      <c r="X2144" s="21" t="s">
        <v>108</v>
      </c>
      <c r="Y2144" s="21" t="s">
        <v>28</v>
      </c>
      <c r="AB2144" s="22" t="s">
        <v>34</v>
      </c>
      <c r="AC2144" s="22" t="s">
        <v>24</v>
      </c>
    </row>
    <row r="2145" spans="1:33" ht="15.75" x14ac:dyDescent="0.25">
      <c r="A2145" s="41" t="s">
        <v>19</v>
      </c>
      <c r="B2145" s="23">
        <v>-20225</v>
      </c>
      <c r="C2145" s="20"/>
      <c r="D2145" s="23">
        <f t="shared" ref="D2145:D2156" si="712">+C2145+B2145</f>
        <v>-20225</v>
      </c>
      <c r="E2145" s="20"/>
      <c r="F2145" s="23">
        <f t="shared" ref="F2145:F2156" si="713">+B2145+C2145-E2145</f>
        <v>-20225</v>
      </c>
      <c r="G2145" s="20">
        <v>-466150</v>
      </c>
      <c r="H2145">
        <v>259.05</v>
      </c>
      <c r="J2145" s="41" t="s">
        <v>19</v>
      </c>
      <c r="K2145" s="23">
        <v>-30768</v>
      </c>
      <c r="L2145" s="20">
        <v>79950</v>
      </c>
      <c r="M2145" s="23">
        <f t="shared" ref="M2145:M2156" si="714">+L2145+K2145</f>
        <v>49182</v>
      </c>
      <c r="N2145" s="20"/>
      <c r="O2145" s="23">
        <f t="shared" ref="O2145:O2156" si="715">+K2145+L2145-N2145</f>
        <v>49182</v>
      </c>
      <c r="P2145" s="20">
        <v>-512500</v>
      </c>
      <c r="Q2145">
        <v>231.4</v>
      </c>
      <c r="S2145" s="41" t="s">
        <v>19</v>
      </c>
      <c r="T2145" s="23">
        <v>-90450</v>
      </c>
      <c r="U2145" s="20">
        <v>172650</v>
      </c>
      <c r="V2145" s="23">
        <f t="shared" ref="V2145:V2156" si="716">+U2145+T2145</f>
        <v>82200</v>
      </c>
      <c r="W2145" s="20"/>
      <c r="X2145" s="23">
        <f t="shared" ref="X2145:X2156" si="717">+T2145+U2145-W2145</f>
        <v>82200</v>
      </c>
      <c r="Y2145" s="20"/>
      <c r="AB2145" s="41" t="s">
        <v>19</v>
      </c>
      <c r="AC2145" s="23">
        <v>137006</v>
      </c>
      <c r="AE2145" t="s">
        <v>192</v>
      </c>
      <c r="AF2145">
        <v>-1184519</v>
      </c>
    </row>
    <row r="2146" spans="1:33" ht="15.75" x14ac:dyDescent="0.25">
      <c r="A2146" s="41" t="s">
        <v>76</v>
      </c>
      <c r="B2146" s="23">
        <v>-49032</v>
      </c>
      <c r="C2146" s="20"/>
      <c r="D2146" s="23">
        <f t="shared" si="712"/>
        <v>-49032</v>
      </c>
      <c r="E2146" s="20"/>
      <c r="F2146" s="23">
        <f t="shared" si="713"/>
        <v>-49032</v>
      </c>
      <c r="G2146" s="20">
        <v>-388800</v>
      </c>
      <c r="H2146">
        <v>8.1</v>
      </c>
      <c r="J2146" s="41" t="s">
        <v>76</v>
      </c>
      <c r="K2146" s="23">
        <v>6750</v>
      </c>
      <c r="L2146" s="20">
        <v>28080</v>
      </c>
      <c r="M2146" s="23">
        <f t="shared" si="714"/>
        <v>34830</v>
      </c>
      <c r="N2146" s="20"/>
      <c r="O2146" s="23">
        <f t="shared" si="715"/>
        <v>34830</v>
      </c>
      <c r="P2146" s="20">
        <v>-392850</v>
      </c>
      <c r="Q2146">
        <v>7.3</v>
      </c>
      <c r="S2146" s="41" t="s">
        <v>76</v>
      </c>
      <c r="T2146" s="23">
        <v>-32454</v>
      </c>
      <c r="U2146" s="20">
        <v>92340</v>
      </c>
      <c r="V2146" s="23">
        <f t="shared" si="716"/>
        <v>59886</v>
      </c>
      <c r="W2146" s="20"/>
      <c r="X2146" s="23">
        <f t="shared" si="717"/>
        <v>59886</v>
      </c>
      <c r="Y2146" s="20"/>
      <c r="AB2146" s="41" t="s">
        <v>76</v>
      </c>
      <c r="AC2146" s="23">
        <v>39744</v>
      </c>
      <c r="AE2146" t="s">
        <v>193</v>
      </c>
      <c r="AF2146">
        <v>295091</v>
      </c>
    </row>
    <row r="2147" spans="1:33" ht="15.75" x14ac:dyDescent="0.25">
      <c r="A2147" s="41" t="s">
        <v>71</v>
      </c>
      <c r="B2147" s="23">
        <v>-88570</v>
      </c>
      <c r="C2147" s="20"/>
      <c r="D2147" s="23">
        <f t="shared" si="712"/>
        <v>-88570</v>
      </c>
      <c r="E2147" s="20"/>
      <c r="F2147" s="23">
        <f t="shared" si="713"/>
        <v>-88570</v>
      </c>
      <c r="G2147" s="20">
        <v>-340000</v>
      </c>
      <c r="H2147">
        <v>17.25</v>
      </c>
      <c r="J2147" s="41" t="s">
        <v>71</v>
      </c>
      <c r="K2147" s="23">
        <v>11900</v>
      </c>
      <c r="L2147" s="20">
        <v>-8925</v>
      </c>
      <c r="M2147" s="23">
        <f t="shared" si="714"/>
        <v>2975</v>
      </c>
      <c r="N2147" s="20"/>
      <c r="O2147" s="23">
        <f t="shared" si="715"/>
        <v>2975</v>
      </c>
      <c r="P2147" s="20">
        <v>-332775</v>
      </c>
      <c r="Q2147">
        <v>15</v>
      </c>
      <c r="S2147" s="41" t="s">
        <v>71</v>
      </c>
      <c r="T2147" s="23">
        <v>-63155</v>
      </c>
      <c r="U2147" s="20">
        <v>6800</v>
      </c>
      <c r="V2147" s="23">
        <f t="shared" si="716"/>
        <v>-56355</v>
      </c>
      <c r="W2147" s="20"/>
      <c r="X2147" s="23">
        <f t="shared" si="717"/>
        <v>-56355</v>
      </c>
      <c r="Y2147" s="20"/>
      <c r="AB2147" s="41" t="s">
        <v>71</v>
      </c>
      <c r="AC2147" s="23">
        <v>-150450</v>
      </c>
      <c r="AE2147" t="s">
        <v>194</v>
      </c>
      <c r="AF2147">
        <v>-870166</v>
      </c>
    </row>
    <row r="2148" spans="1:33" ht="15.75" x14ac:dyDescent="0.25">
      <c r="A2148" s="41" t="s">
        <v>67</v>
      </c>
      <c r="B2148" s="23">
        <v>-66300</v>
      </c>
      <c r="C2148" s="20"/>
      <c r="D2148" s="23">
        <f t="shared" si="712"/>
        <v>-66300</v>
      </c>
      <c r="E2148" s="20"/>
      <c r="F2148" s="23">
        <f t="shared" si="713"/>
        <v>-66300</v>
      </c>
      <c r="G2148" s="20">
        <v>-438250</v>
      </c>
      <c r="H2148">
        <v>22.85</v>
      </c>
      <c r="J2148" s="41" t="s">
        <v>67</v>
      </c>
      <c r="K2148" s="23">
        <v>-200</v>
      </c>
      <c r="L2148" s="20">
        <v>15500</v>
      </c>
      <c r="M2148" s="23">
        <f t="shared" si="714"/>
        <v>15300</v>
      </c>
      <c r="N2148" s="20"/>
      <c r="O2148" s="23">
        <f t="shared" si="715"/>
        <v>15300</v>
      </c>
      <c r="P2148" s="20">
        <v>-278000</v>
      </c>
      <c r="Q2148">
        <v>18.95</v>
      </c>
      <c r="S2148" s="41" t="s">
        <v>67</v>
      </c>
      <c r="T2148" s="23">
        <v>-118950</v>
      </c>
      <c r="U2148" s="20">
        <v>23250</v>
      </c>
      <c r="V2148" s="23">
        <f t="shared" si="716"/>
        <v>-95700</v>
      </c>
      <c r="W2148" s="20"/>
      <c r="X2148" s="23">
        <f t="shared" si="717"/>
        <v>-95700</v>
      </c>
      <c r="Y2148" s="20"/>
      <c r="AB2148" s="41" t="s">
        <v>67</v>
      </c>
      <c r="AC2148" s="23">
        <v>-121950</v>
      </c>
      <c r="AE2148" t="s">
        <v>132</v>
      </c>
      <c r="AF2148">
        <v>554277</v>
      </c>
    </row>
    <row r="2149" spans="1:33" ht="15.75" x14ac:dyDescent="0.25">
      <c r="A2149" s="41" t="s">
        <v>134</v>
      </c>
      <c r="B2149" s="23">
        <v>1700</v>
      </c>
      <c r="C2149" s="20"/>
      <c r="D2149" s="23">
        <f t="shared" si="712"/>
        <v>1700</v>
      </c>
      <c r="E2149" s="20"/>
      <c r="F2149" s="23">
        <f t="shared" si="713"/>
        <v>1700</v>
      </c>
      <c r="G2149" s="20">
        <v>-460000</v>
      </c>
      <c r="H2149">
        <v>6.95</v>
      </c>
      <c r="J2149" s="41" t="s">
        <v>134</v>
      </c>
      <c r="K2149" s="23">
        <v>-78750</v>
      </c>
      <c r="L2149" s="20">
        <v>-239000</v>
      </c>
      <c r="M2149" s="23">
        <f t="shared" si="714"/>
        <v>-317750</v>
      </c>
      <c r="N2149" s="20"/>
      <c r="O2149" s="23">
        <f t="shared" si="715"/>
        <v>-317750</v>
      </c>
      <c r="P2149" s="20">
        <v>-795000</v>
      </c>
      <c r="Q2149">
        <v>7.25</v>
      </c>
      <c r="S2149" s="41" t="s">
        <v>134</v>
      </c>
      <c r="T2149" s="23">
        <v>-2300</v>
      </c>
      <c r="U2149" s="20">
        <v>183400</v>
      </c>
      <c r="V2149" s="23">
        <f t="shared" si="716"/>
        <v>181100</v>
      </c>
      <c r="W2149" s="20"/>
      <c r="X2149" s="23">
        <f t="shared" si="717"/>
        <v>181100</v>
      </c>
      <c r="Y2149" s="20"/>
      <c r="AB2149" s="41" t="s">
        <v>134</v>
      </c>
      <c r="AC2149" s="23">
        <v>-107350</v>
      </c>
      <c r="AE2149" t="s">
        <v>195</v>
      </c>
      <c r="AF2149">
        <v>1038445</v>
      </c>
    </row>
    <row r="2150" spans="1:33" ht="15.75" x14ac:dyDescent="0.25">
      <c r="A2150" s="41" t="s">
        <v>187</v>
      </c>
      <c r="B2150" s="23">
        <v>-43920</v>
      </c>
      <c r="C2150" s="20"/>
      <c r="D2150" s="23">
        <f t="shared" si="712"/>
        <v>-43920</v>
      </c>
      <c r="E2150" s="20"/>
      <c r="F2150" s="23">
        <f t="shared" si="713"/>
        <v>-43920</v>
      </c>
      <c r="G2150" s="20">
        <v>-478620</v>
      </c>
      <c r="H2150">
        <v>153.80000000000001</v>
      </c>
      <c r="J2150" s="41" t="s">
        <v>187</v>
      </c>
      <c r="K2150" s="23">
        <v>-9757</v>
      </c>
      <c r="L2150" s="20">
        <v>-2745</v>
      </c>
      <c r="M2150" s="23">
        <f t="shared" si="714"/>
        <v>-12502</v>
      </c>
      <c r="N2150" s="20"/>
      <c r="O2150" s="23">
        <f t="shared" si="715"/>
        <v>-12502</v>
      </c>
      <c r="P2150" s="20">
        <v>-508500</v>
      </c>
      <c r="Q2150">
        <v>144.39999999999998</v>
      </c>
      <c r="S2150" s="41" t="s">
        <v>187</v>
      </c>
      <c r="T2150" s="23">
        <v>-26197</v>
      </c>
      <c r="U2150" s="20">
        <v>96750</v>
      </c>
      <c r="V2150" s="23">
        <f t="shared" si="716"/>
        <v>70553</v>
      </c>
      <c r="W2150" s="20"/>
      <c r="X2150" s="23">
        <f t="shared" si="717"/>
        <v>70553</v>
      </c>
      <c r="Y2150" s="20"/>
      <c r="AB2150" s="41" t="s">
        <v>187</v>
      </c>
      <c r="AC2150" s="23">
        <v>36450</v>
      </c>
      <c r="AF2150">
        <f>SUM(AF2145:AF2149)</f>
        <v>-166872</v>
      </c>
    </row>
    <row r="2151" spans="1:33" ht="15.75" x14ac:dyDescent="0.25">
      <c r="A2151" s="41" t="s">
        <v>15</v>
      </c>
      <c r="B2151" s="23">
        <v>-53687</v>
      </c>
      <c r="C2151" s="20"/>
      <c r="D2151" s="23">
        <f t="shared" si="712"/>
        <v>-53687</v>
      </c>
      <c r="E2151" s="20"/>
      <c r="F2151" s="23">
        <f t="shared" si="713"/>
        <v>-53687</v>
      </c>
      <c r="G2151" s="20">
        <v>-363250</v>
      </c>
      <c r="H2151">
        <v>19.899999999999999</v>
      </c>
      <c r="J2151" s="41" t="s">
        <v>15</v>
      </c>
      <c r="K2151" s="23">
        <v>-625</v>
      </c>
      <c r="L2151" s="20">
        <v>2750</v>
      </c>
      <c r="M2151" s="23">
        <f t="shared" si="714"/>
        <v>2125</v>
      </c>
      <c r="N2151" s="20"/>
      <c r="O2151" s="23">
        <f t="shared" si="715"/>
        <v>2125</v>
      </c>
      <c r="P2151" s="20">
        <v>-327500</v>
      </c>
      <c r="Q2151">
        <v>17.05</v>
      </c>
      <c r="S2151" s="41" t="s">
        <v>15</v>
      </c>
      <c r="T2151" s="23">
        <v>795375</v>
      </c>
      <c r="U2151" s="20">
        <v>-816875</v>
      </c>
      <c r="V2151" s="23">
        <f t="shared" si="716"/>
        <v>-21500</v>
      </c>
      <c r="W2151" s="20"/>
      <c r="X2151" s="23">
        <f t="shared" si="717"/>
        <v>-21500</v>
      </c>
      <c r="Y2151" s="20"/>
      <c r="AB2151" s="41" t="s">
        <v>15</v>
      </c>
      <c r="AC2151" s="23">
        <v>-63937</v>
      </c>
    </row>
    <row r="2152" spans="1:33" ht="15.75" x14ac:dyDescent="0.25">
      <c r="A2152" s="41" t="s">
        <v>84</v>
      </c>
      <c r="B2152" s="23">
        <v>-32640</v>
      </c>
      <c r="C2152" s="20"/>
      <c r="D2152" s="23">
        <f t="shared" si="712"/>
        <v>-32640</v>
      </c>
      <c r="E2152" s="20"/>
      <c r="F2152" s="23">
        <f t="shared" si="713"/>
        <v>-32640</v>
      </c>
      <c r="G2152" s="20">
        <v>-330650</v>
      </c>
      <c r="H2152">
        <v>18.700000000000003</v>
      </c>
      <c r="J2152" s="41" t="s">
        <v>84</v>
      </c>
      <c r="K2152" s="23">
        <v>-4420</v>
      </c>
      <c r="L2152" s="20">
        <v>-5950</v>
      </c>
      <c r="M2152" s="23">
        <f t="shared" si="714"/>
        <v>-10370</v>
      </c>
      <c r="N2152" s="20"/>
      <c r="O2152" s="23">
        <f t="shared" si="715"/>
        <v>-10370</v>
      </c>
      <c r="P2152" s="20">
        <v>-407150</v>
      </c>
      <c r="Q2152">
        <v>16.5</v>
      </c>
      <c r="S2152" s="41" t="s">
        <v>84</v>
      </c>
      <c r="T2152" s="23">
        <v>413440</v>
      </c>
      <c r="U2152" s="20">
        <v>-473875</v>
      </c>
      <c r="V2152" s="23">
        <f t="shared" si="716"/>
        <v>-60435</v>
      </c>
      <c r="W2152" s="20"/>
      <c r="X2152" s="23">
        <f t="shared" si="717"/>
        <v>-60435</v>
      </c>
      <c r="Y2152" s="20"/>
      <c r="AB2152" s="41" t="s">
        <v>84</v>
      </c>
      <c r="AC2152" s="23">
        <v>-57545</v>
      </c>
    </row>
    <row r="2153" spans="1:33" ht="15.75" x14ac:dyDescent="0.25">
      <c r="A2153" s="41" t="s">
        <v>111</v>
      </c>
      <c r="B2153" s="23">
        <v>-108701</v>
      </c>
      <c r="C2153" s="20"/>
      <c r="D2153" s="23">
        <f t="shared" si="712"/>
        <v>-108701</v>
      </c>
      <c r="E2153" s="20"/>
      <c r="F2153" s="23">
        <f t="shared" si="713"/>
        <v>-108701</v>
      </c>
      <c r="G2153" s="20">
        <v>-404700</v>
      </c>
      <c r="H2153">
        <v>7.55</v>
      </c>
      <c r="J2153" s="41" t="s">
        <v>111</v>
      </c>
      <c r="K2153" s="23">
        <v>27690</v>
      </c>
      <c r="L2153" s="20">
        <v>-50126</v>
      </c>
      <c r="M2153" s="23">
        <f t="shared" si="714"/>
        <v>-22436</v>
      </c>
      <c r="N2153" s="20"/>
      <c r="O2153" s="23">
        <f t="shared" si="715"/>
        <v>-22436</v>
      </c>
      <c r="P2153" s="20">
        <v>-284000</v>
      </c>
      <c r="Q2153">
        <v>6.75</v>
      </c>
      <c r="S2153" s="41" t="s">
        <v>111</v>
      </c>
      <c r="T2153" s="23">
        <v>29623</v>
      </c>
      <c r="U2153" s="20">
        <v>92300</v>
      </c>
      <c r="V2153" s="23">
        <f t="shared" si="716"/>
        <v>121923</v>
      </c>
      <c r="W2153" s="20"/>
      <c r="X2153" s="23">
        <f t="shared" si="717"/>
        <v>121923</v>
      </c>
      <c r="Y2153" s="20"/>
      <c r="AB2153" s="41" t="s">
        <v>111</v>
      </c>
      <c r="AC2153" s="23">
        <v>38340</v>
      </c>
    </row>
    <row r="2154" spans="1:33" ht="15.75" x14ac:dyDescent="0.25">
      <c r="A2154" s="41" t="s">
        <v>57</v>
      </c>
      <c r="B2154" s="23">
        <v>-93761</v>
      </c>
      <c r="C2154" s="20"/>
      <c r="D2154" s="23">
        <f t="shared" si="712"/>
        <v>-93761</v>
      </c>
      <c r="E2154" s="20"/>
      <c r="F2154" s="23">
        <f t="shared" si="713"/>
        <v>-93761</v>
      </c>
      <c r="G2154" s="20">
        <v>-553575</v>
      </c>
      <c r="H2154">
        <v>60.65</v>
      </c>
      <c r="J2154" s="41" t="s">
        <v>57</v>
      </c>
      <c r="K2154" s="23">
        <v>-4083</v>
      </c>
      <c r="L2154" s="20">
        <v>56100</v>
      </c>
      <c r="M2154" s="23">
        <f t="shared" si="714"/>
        <v>52017</v>
      </c>
      <c r="N2154" s="20"/>
      <c r="O2154" s="23">
        <f t="shared" si="715"/>
        <v>52017</v>
      </c>
      <c r="P2154" s="20">
        <v>-503800</v>
      </c>
      <c r="Q2154">
        <v>57.1</v>
      </c>
      <c r="S2154" s="41" t="s">
        <v>57</v>
      </c>
      <c r="T2154" s="23">
        <v>-4620</v>
      </c>
      <c r="U2154" s="20">
        <v>23650</v>
      </c>
      <c r="V2154" s="23">
        <f t="shared" si="716"/>
        <v>19030</v>
      </c>
      <c r="W2154" s="20"/>
      <c r="X2154" s="23">
        <f t="shared" si="717"/>
        <v>19030</v>
      </c>
      <c r="Y2154" s="20"/>
      <c r="AB2154" s="41" t="s">
        <v>57</v>
      </c>
      <c r="AC2154" s="23">
        <v>83022</v>
      </c>
    </row>
    <row r="2155" spans="1:33" ht="15.75" x14ac:dyDescent="0.25">
      <c r="A2155" s="41" t="s">
        <v>102</v>
      </c>
      <c r="B2155" s="23">
        <v>27087</v>
      </c>
      <c r="C2155" s="20"/>
      <c r="D2155" s="23">
        <f t="shared" si="712"/>
        <v>27087</v>
      </c>
      <c r="E2155" s="20"/>
      <c r="F2155" s="23">
        <f t="shared" si="713"/>
        <v>27087</v>
      </c>
      <c r="G2155" s="20">
        <v>-278300</v>
      </c>
      <c r="H2155">
        <v>26.55</v>
      </c>
      <c r="J2155" s="41" t="s">
        <v>102</v>
      </c>
      <c r="K2155" s="23">
        <v>3850</v>
      </c>
      <c r="L2155" s="20">
        <v>41250</v>
      </c>
      <c r="M2155" s="23">
        <f t="shared" si="714"/>
        <v>45100</v>
      </c>
      <c r="N2155" s="20"/>
      <c r="O2155" s="23">
        <f t="shared" si="715"/>
        <v>45100</v>
      </c>
      <c r="P2155" s="20">
        <v>-303050</v>
      </c>
      <c r="Q2155">
        <v>23.85</v>
      </c>
      <c r="S2155" s="41" t="s">
        <v>102</v>
      </c>
      <c r="T2155" s="23">
        <v>13392</v>
      </c>
      <c r="U2155" s="20">
        <v>-1650</v>
      </c>
      <c r="V2155" s="23">
        <f t="shared" si="716"/>
        <v>11742</v>
      </c>
      <c r="W2155" s="20"/>
      <c r="X2155" s="23">
        <f t="shared" si="717"/>
        <v>11742</v>
      </c>
      <c r="Y2155" s="20"/>
      <c r="AB2155" s="41" t="s">
        <v>102</v>
      </c>
      <c r="AC2155" s="23">
        <v>38280</v>
      </c>
    </row>
    <row r="2156" spans="1:33" ht="15.75" x14ac:dyDescent="0.25">
      <c r="A2156" s="41" t="s">
        <v>53</v>
      </c>
      <c r="B2156" s="23">
        <v>-45885</v>
      </c>
      <c r="C2156" s="20"/>
      <c r="D2156" s="23">
        <f t="shared" si="712"/>
        <v>-45885</v>
      </c>
      <c r="E2156" s="20"/>
      <c r="F2156" s="23">
        <f t="shared" si="713"/>
        <v>-45885</v>
      </c>
      <c r="G2156" s="20">
        <v>-349025</v>
      </c>
      <c r="H2156">
        <v>17.95</v>
      </c>
      <c r="J2156" s="41" t="s">
        <v>53</v>
      </c>
      <c r="K2156" s="23">
        <v>-3737</v>
      </c>
      <c r="L2156" s="20">
        <v>17537.5</v>
      </c>
      <c r="M2156" s="23">
        <f t="shared" si="714"/>
        <v>13800.5</v>
      </c>
      <c r="N2156" s="20"/>
      <c r="O2156" s="23">
        <f t="shared" si="715"/>
        <v>13800.5</v>
      </c>
      <c r="P2156" s="20">
        <v>-353625</v>
      </c>
      <c r="Q2156">
        <v>16.600000000000001</v>
      </c>
      <c r="S2156" s="41" t="s">
        <v>53</v>
      </c>
      <c r="T2156" s="23">
        <v>-2070</v>
      </c>
      <c r="U2156" s="20">
        <v>65550</v>
      </c>
      <c r="V2156" s="23">
        <f t="shared" si="716"/>
        <v>63480</v>
      </c>
      <c r="W2156" s="20"/>
      <c r="X2156" s="23">
        <f t="shared" si="717"/>
        <v>63480</v>
      </c>
      <c r="Y2156" s="20"/>
      <c r="AB2156" s="41" t="s">
        <v>53</v>
      </c>
      <c r="AC2156" s="23">
        <v>48654</v>
      </c>
    </row>
    <row r="2157" spans="1:33" ht="15.75" x14ac:dyDescent="0.25">
      <c r="A2157" s="21" t="s">
        <v>107</v>
      </c>
      <c r="B2157" s="22">
        <f t="shared" ref="B2157:G2157" si="718">SUM(B2145:B2156)</f>
        <v>-573934</v>
      </c>
      <c r="C2157" s="18">
        <f t="shared" si="718"/>
        <v>0</v>
      </c>
      <c r="D2157" s="23">
        <f t="shared" si="718"/>
        <v>-573934</v>
      </c>
      <c r="E2157" s="18">
        <f t="shared" si="718"/>
        <v>0</v>
      </c>
      <c r="F2157" s="23">
        <f t="shared" si="718"/>
        <v>-573934</v>
      </c>
      <c r="G2157" s="17">
        <f t="shared" si="718"/>
        <v>-4851320</v>
      </c>
      <c r="J2157" s="21" t="s">
        <v>107</v>
      </c>
      <c r="K2157" s="22">
        <f t="shared" ref="K2157" si="719">SUM(K2145:K2156)</f>
        <v>-82150</v>
      </c>
      <c r="L2157" s="18">
        <f t="shared" ref="L2157" si="720">SUM(L2145:L2156)</f>
        <v>-65578.5</v>
      </c>
      <c r="M2157" s="23">
        <f t="shared" ref="M2157" si="721">SUM(M2145:M2156)</f>
        <v>-147728.5</v>
      </c>
      <c r="N2157" s="18">
        <f t="shared" ref="N2157" si="722">SUM(N2145:N2156)</f>
        <v>0</v>
      </c>
      <c r="O2157" s="23">
        <f t="shared" ref="O2157" si="723">SUM(O2145:O2156)</f>
        <v>-147728.5</v>
      </c>
      <c r="P2157" s="17">
        <f t="shared" ref="P2157" si="724">SUM(P2145:P2156)</f>
        <v>-4998750</v>
      </c>
      <c r="S2157" s="21" t="s">
        <v>107</v>
      </c>
      <c r="T2157" s="22">
        <f t="shared" ref="T2157:Y2157" si="725">SUM(T2145:T2156)</f>
        <v>911634</v>
      </c>
      <c r="U2157" s="18">
        <f t="shared" si="725"/>
        <v>-535710</v>
      </c>
      <c r="V2157" s="23">
        <f t="shared" si="725"/>
        <v>375924</v>
      </c>
      <c r="W2157" s="18">
        <f t="shared" si="725"/>
        <v>0</v>
      </c>
      <c r="X2157" s="23">
        <f t="shared" si="725"/>
        <v>375924</v>
      </c>
      <c r="Y2157" s="17">
        <f t="shared" si="725"/>
        <v>0</v>
      </c>
      <c r="AB2157" s="21" t="s">
        <v>107</v>
      </c>
      <c r="AC2157" s="22">
        <f t="shared" ref="AC2157" si="726">SUM(AC2145:AC2156)</f>
        <v>-79736</v>
      </c>
    </row>
    <row r="2158" spans="1:33" x14ac:dyDescent="0.25">
      <c r="AC2158">
        <f>+AC2157+AF2150</f>
        <v>-246608</v>
      </c>
    </row>
    <row r="2159" spans="1:33" x14ac:dyDescent="0.25">
      <c r="AG2159">
        <f>27823/64.7</f>
        <v>430.03091190108188</v>
      </c>
    </row>
  </sheetData>
  <sortState ref="J257:P280">
    <sortCondition descending="1" ref="M255:M278"/>
  </sortState>
  <mergeCells count="252">
    <mergeCell ref="A535:D537"/>
    <mergeCell ref="A539:G539"/>
    <mergeCell ref="J869:P869"/>
    <mergeCell ref="A1147:G1147"/>
    <mergeCell ref="A999:G999"/>
    <mergeCell ref="A1019:G1019"/>
    <mergeCell ref="J1019:P1019"/>
    <mergeCell ref="A1047:G1047"/>
    <mergeCell ref="K1127:Q1127"/>
    <mergeCell ref="A1068:G1068"/>
    <mergeCell ref="A1086:G1086"/>
    <mergeCell ref="J1068:P1068"/>
    <mergeCell ref="J1047:P1047"/>
    <mergeCell ref="A1037:F1041"/>
    <mergeCell ref="A1127:G1127"/>
    <mergeCell ref="A1103:G1103"/>
    <mergeCell ref="J1086:P1086"/>
    <mergeCell ref="A580:G580"/>
    <mergeCell ref="A559:G559"/>
    <mergeCell ref="A740:R743"/>
    <mergeCell ref="J723:P723"/>
    <mergeCell ref="J685:P685"/>
    <mergeCell ref="J600:P600"/>
    <mergeCell ref="J580:P580"/>
    <mergeCell ref="R1047:X1047"/>
    <mergeCell ref="R1068:X1068"/>
    <mergeCell ref="A917:G917"/>
    <mergeCell ref="A912:F915"/>
    <mergeCell ref="K1268:Q1268"/>
    <mergeCell ref="A1473:G1473"/>
    <mergeCell ref="A1203:G1203"/>
    <mergeCell ref="K1184:Q1184"/>
    <mergeCell ref="A1184:G1184"/>
    <mergeCell ref="A979:G979"/>
    <mergeCell ref="A973:C976"/>
    <mergeCell ref="A1222:G1222"/>
    <mergeCell ref="J1362:P1362"/>
    <mergeCell ref="C1242:E1244"/>
    <mergeCell ref="A1382:G1382"/>
    <mergeCell ref="J1382:P1382"/>
    <mergeCell ref="A1455:G1455"/>
    <mergeCell ref="K1247:Q1247"/>
    <mergeCell ref="J999:P999"/>
    <mergeCell ref="B1120:E1123"/>
    <mergeCell ref="K1166:Q1166"/>
    <mergeCell ref="A1166:G1166"/>
    <mergeCell ref="K1203:Q1203"/>
    <mergeCell ref="K1308:Q1308"/>
    <mergeCell ref="A841:F844"/>
    <mergeCell ref="J706:P706"/>
    <mergeCell ref="A706:G706"/>
    <mergeCell ref="A685:G685"/>
    <mergeCell ref="A665:G665"/>
    <mergeCell ref="A645:G645"/>
    <mergeCell ref="A638:D640"/>
    <mergeCell ref="A621:G621"/>
    <mergeCell ref="A762:G762"/>
    <mergeCell ref="A822:G822"/>
    <mergeCell ref="A890:G890"/>
    <mergeCell ref="A782:G782"/>
    <mergeCell ref="A337:G337"/>
    <mergeCell ref="J645:P645"/>
    <mergeCell ref="R762:X762"/>
    <mergeCell ref="A802:G802"/>
    <mergeCell ref="A847:G847"/>
    <mergeCell ref="J802:P802"/>
    <mergeCell ref="A744:G744"/>
    <mergeCell ref="S423:Y423"/>
    <mergeCell ref="J744:P744"/>
    <mergeCell ref="A490:G490"/>
    <mergeCell ref="R490:X490"/>
    <mergeCell ref="J443:P443"/>
    <mergeCell ref="R782:X782"/>
    <mergeCell ref="R802:X802"/>
    <mergeCell ref="J847:P847"/>
    <mergeCell ref="J762:P762"/>
    <mergeCell ref="J423:P423"/>
    <mergeCell ref="J513:P513"/>
    <mergeCell ref="J559:P559"/>
    <mergeCell ref="A465:D469"/>
    <mergeCell ref="A443:G443"/>
    <mergeCell ref="A472:G472"/>
    <mergeCell ref="A600:G600"/>
    <mergeCell ref="R472:X472"/>
    <mergeCell ref="V1:AA1"/>
    <mergeCell ref="W200:AB200"/>
    <mergeCell ref="J472:P472"/>
    <mergeCell ref="J490:P490"/>
    <mergeCell ref="A513:G513"/>
    <mergeCell ref="A391:G391"/>
    <mergeCell ref="S323:Y323"/>
    <mergeCell ref="H252:N252"/>
    <mergeCell ref="J307:P307"/>
    <mergeCell ref="J323:P323"/>
    <mergeCell ref="J403:P403"/>
    <mergeCell ref="A281:G281"/>
    <mergeCell ref="A423:G423"/>
    <mergeCell ref="A374:G374"/>
    <mergeCell ref="A362:G362"/>
    <mergeCell ref="P254:U254"/>
    <mergeCell ref="A349:G349"/>
    <mergeCell ref="A403:G403"/>
    <mergeCell ref="J362:P362"/>
    <mergeCell ref="J337:P337"/>
    <mergeCell ref="S337:Y337"/>
    <mergeCell ref="A307:G307"/>
    <mergeCell ref="A383:B384"/>
    <mergeCell ref="A323:G323"/>
    <mergeCell ref="A251:F251"/>
    <mergeCell ref="A172:F172"/>
    <mergeCell ref="A200:F200"/>
    <mergeCell ref="A221:F221"/>
    <mergeCell ref="P200:U200"/>
    <mergeCell ref="H200:N200"/>
    <mergeCell ref="H173:N173"/>
    <mergeCell ref="O1:T1"/>
    <mergeCell ref="P14:U14"/>
    <mergeCell ref="P34:U34"/>
    <mergeCell ref="P60:U60"/>
    <mergeCell ref="H59:N59"/>
    <mergeCell ref="P121:U121"/>
    <mergeCell ref="H34:N34"/>
    <mergeCell ref="H96:N96"/>
    <mergeCell ref="P96:U96"/>
    <mergeCell ref="A1:E1"/>
    <mergeCell ref="G1:M1"/>
    <mergeCell ref="A75:F75"/>
    <mergeCell ref="A59:F59"/>
    <mergeCell ref="A34:F34"/>
    <mergeCell ref="A14:F14"/>
    <mergeCell ref="A96:F96"/>
    <mergeCell ref="A121:F121"/>
    <mergeCell ref="A147:F147"/>
    <mergeCell ref="H75:N75"/>
    <mergeCell ref="H147:N147"/>
    <mergeCell ref="H121:N121"/>
    <mergeCell ref="S349:Y349"/>
    <mergeCell ref="S403:Y403"/>
    <mergeCell ref="J349:P349"/>
    <mergeCell ref="J539:P539"/>
    <mergeCell ref="J664:P664"/>
    <mergeCell ref="J822:P822"/>
    <mergeCell ref="S847:Y847"/>
    <mergeCell ref="P75:U75"/>
    <mergeCell ref="S362:Y362"/>
    <mergeCell ref="P147:U147"/>
    <mergeCell ref="H221:N221"/>
    <mergeCell ref="P222:U222"/>
    <mergeCell ref="P173:U173"/>
    <mergeCell ref="H14:N14"/>
    <mergeCell ref="R1086:X1086"/>
    <mergeCell ref="K1147:Q1147"/>
    <mergeCell ref="A956:G956"/>
    <mergeCell ref="A869:G869"/>
    <mergeCell ref="A937:G937"/>
    <mergeCell ref="A1268:G1268"/>
    <mergeCell ref="A1247:G1247"/>
    <mergeCell ref="W254:AB254"/>
    <mergeCell ref="R1019:X1019"/>
    <mergeCell ref="R999:X999"/>
    <mergeCell ref="R979:X979"/>
    <mergeCell ref="J937:P937"/>
    <mergeCell ref="J956:P956"/>
    <mergeCell ref="J890:P890"/>
    <mergeCell ref="J979:P979"/>
    <mergeCell ref="J917:P917"/>
    <mergeCell ref="S937:Y937"/>
    <mergeCell ref="S890:Y890"/>
    <mergeCell ref="S917:Y917"/>
    <mergeCell ref="S869:Y869"/>
    <mergeCell ref="S307:Y307"/>
    <mergeCell ref="J782:P782"/>
    <mergeCell ref="S443:Y443"/>
    <mergeCell ref="S1805:Y1805"/>
    <mergeCell ref="A1805:G1805"/>
    <mergeCell ref="J1782:P1782"/>
    <mergeCell ref="A1782:G1782"/>
    <mergeCell ref="F1775:I1780"/>
    <mergeCell ref="A1664:G1664"/>
    <mergeCell ref="S1362:Y1362"/>
    <mergeCell ref="K1554:Q1554"/>
    <mergeCell ref="A1554:G1554"/>
    <mergeCell ref="K1579:Q1579"/>
    <mergeCell ref="K1645:Q1645"/>
    <mergeCell ref="K1625:Q1625"/>
    <mergeCell ref="A1625:G1625"/>
    <mergeCell ref="K1605:Q1605"/>
    <mergeCell ref="A1517:F1522"/>
    <mergeCell ref="A1527:G1527"/>
    <mergeCell ref="A1605:G1605"/>
    <mergeCell ref="S1782:Y1782"/>
    <mergeCell ref="S1382:Y1382"/>
    <mergeCell ref="K1527:Q1527"/>
    <mergeCell ref="A1437:G1437"/>
    <mergeCell ref="J1455:P1455"/>
    <mergeCell ref="J1437:P1437"/>
    <mergeCell ref="J1399:P1399"/>
    <mergeCell ref="A2066:G2066"/>
    <mergeCell ref="J2115:P2115"/>
    <mergeCell ref="J2066:P2066"/>
    <mergeCell ref="A2034:G2034"/>
    <mergeCell ref="K1998:Q1998"/>
    <mergeCell ref="J2082:P2082"/>
    <mergeCell ref="A1950:G1950"/>
    <mergeCell ref="A1987:D1992"/>
    <mergeCell ref="A1998:G1998"/>
    <mergeCell ref="A1925:G1925"/>
    <mergeCell ref="J1950:P1950"/>
    <mergeCell ref="J1878:P1878"/>
    <mergeCell ref="A1878:G1878"/>
    <mergeCell ref="A1856:G1856"/>
    <mergeCell ref="J1910:P1910"/>
    <mergeCell ref="A1942:C1945"/>
    <mergeCell ref="A1969:G1969"/>
    <mergeCell ref="A2057:D2062"/>
    <mergeCell ref="J1419:P1419"/>
    <mergeCell ref="A1419:G1419"/>
    <mergeCell ref="A1351:F1356"/>
    <mergeCell ref="A1329:G1329"/>
    <mergeCell ref="A1753:G1753"/>
    <mergeCell ref="A1579:G1579"/>
    <mergeCell ref="J1714:P1714"/>
    <mergeCell ref="A1910:G1910"/>
    <mergeCell ref="A1902:D1907"/>
    <mergeCell ref="J1856:P1856"/>
    <mergeCell ref="A1827:G1827"/>
    <mergeCell ref="J1805:P1805"/>
    <mergeCell ref="A1645:G1645"/>
    <mergeCell ref="K1222:Q1222"/>
    <mergeCell ref="A1362:G1362"/>
    <mergeCell ref="J1473:P1473"/>
    <mergeCell ref="A1308:G1308"/>
    <mergeCell ref="K1289:Q1289"/>
    <mergeCell ref="S2143:Y2143"/>
    <mergeCell ref="J2143:P2143"/>
    <mergeCell ref="A2133:E2138"/>
    <mergeCell ref="A2115:G2115"/>
    <mergeCell ref="A2098:G2098"/>
    <mergeCell ref="A2082:G2082"/>
    <mergeCell ref="K2034:Q2034"/>
    <mergeCell ref="K2015:Q2015"/>
    <mergeCell ref="A2015:G2015"/>
    <mergeCell ref="A2143:G2143"/>
    <mergeCell ref="J2098:P2098"/>
    <mergeCell ref="A1289:G1289"/>
    <mergeCell ref="J1753:P1753"/>
    <mergeCell ref="J1733:P1733"/>
    <mergeCell ref="A1733:G1733"/>
    <mergeCell ref="A1714:G1714"/>
    <mergeCell ref="J1696:P1696"/>
    <mergeCell ref="A1686:F1691"/>
    <mergeCell ref="A1696:G16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workbookViewId="0">
      <selection activeCell="E8" sqref="E8"/>
    </sheetView>
  </sheetViews>
  <sheetFormatPr defaultRowHeight="15" x14ac:dyDescent="0.25"/>
  <cols>
    <col min="1" max="1" width="14" bestFit="1" customWidth="1"/>
    <col min="2" max="2" width="13.28515625" bestFit="1" customWidth="1"/>
    <col min="3" max="4" width="10.42578125" bestFit="1" customWidth="1"/>
    <col min="5" max="5" width="9.140625" style="2"/>
    <col min="12" max="12" width="10.28515625" customWidth="1"/>
    <col min="14" max="14" width="14" bestFit="1" customWidth="1"/>
  </cols>
  <sheetData>
    <row r="1" spans="1:23" x14ac:dyDescent="0.25">
      <c r="C1" s="86" t="s">
        <v>196</v>
      </c>
      <c r="D1" s="87" t="s">
        <v>168</v>
      </c>
    </row>
    <row r="2" spans="1:23" x14ac:dyDescent="0.25">
      <c r="M2" s="2"/>
      <c r="W2">
        <v>6000</v>
      </c>
    </row>
    <row r="3" spans="1:23" x14ac:dyDescent="0.25">
      <c r="A3" t="str">
        <f>+MAIN!$A$18</f>
        <v>ABB</v>
      </c>
      <c r="B3" s="63">
        <f>RTD("nest.scriprtd",,"nse_fo|"&amp;A3&amp;""&amp;$C$1&amp;""&amp;$D$1&amp;"","LTP")</f>
        <v>7613.65</v>
      </c>
      <c r="C3">
        <f>CEILING(B3,+MAIN!$D$18)</f>
        <v>7700</v>
      </c>
      <c r="D3" s="63">
        <f>RTD("nest.scriprtd",,"nse_fo|"&amp;A3&amp;""&amp;$C$1&amp;""&amp;C3&amp;"CE","LTP")</f>
        <v>144</v>
      </c>
      <c r="E3" s="63">
        <f>RTD("nest.scriprtd",,"nse_fo|"&amp;A3&amp;""&amp;$C$1&amp;""&amp;C3&amp;"PE","LTP")</f>
        <v>221.2</v>
      </c>
      <c r="F3">
        <f>+D3+E3</f>
        <v>365.2</v>
      </c>
      <c r="I3" t="str">
        <f>+MAIN!$A$153</f>
        <v>LAURUSLABS</v>
      </c>
      <c r="J3" s="63">
        <f>RTD("nest.scriprtd",,"nse_fo|"&amp;I3&amp;""&amp;$C$1&amp;""&amp;$D$1&amp;"","LTP")</f>
        <v>574.4</v>
      </c>
      <c r="K3">
        <f>CEILING(J3,+MAIN!$D$153)</f>
        <v>580</v>
      </c>
      <c r="L3" s="63">
        <f>RTD("nest.scriprtd",,"nse_fo|"&amp;I3&amp;""&amp;$C$1&amp;""&amp;K3&amp;"CE","LTP")</f>
        <v>14.05</v>
      </c>
      <c r="M3" s="63">
        <f>RTD("nest.scriprtd",,"nse_fo|"&amp;I3&amp;""&amp;$C$1&amp;""&amp;K3&amp;"PE","LTP")</f>
        <v>18.75</v>
      </c>
      <c r="N3">
        <f>+L3+M3</f>
        <v>32.799999999999997</v>
      </c>
      <c r="Q3" s="72"/>
      <c r="W3">
        <v>0</v>
      </c>
    </row>
    <row r="4" spans="1:23" x14ac:dyDescent="0.25">
      <c r="C4">
        <f>FLOOR(B3,MAIN!$D$18)</f>
        <v>7600</v>
      </c>
      <c r="D4" s="63">
        <f>RTD("nest.scriprtd",,"nse_fo|"&amp;A3&amp;""&amp;$C$1&amp;""&amp;C4&amp;"CE","LTP")</f>
        <v>191.95</v>
      </c>
      <c r="E4" s="63">
        <f>RTD("nest.scriprtd",,"nse_fo|"&amp;A3&amp;""&amp;$C$1&amp;""&amp;C4&amp;"PE","LTP")</f>
        <v>171</v>
      </c>
      <c r="F4">
        <f>+D4+E4</f>
        <v>362.95</v>
      </c>
      <c r="G4">
        <f>MIN(F3:F4)</f>
        <v>362.95</v>
      </c>
      <c r="H4" s="2"/>
      <c r="K4">
        <f>FLOOR(J3,MAIN!$D$153)</f>
        <v>570</v>
      </c>
      <c r="L4" s="63">
        <f>RTD("nest.scriprtd",,"nse_fo|"&amp;I3&amp;""&amp;$C$1&amp;""&amp;K4&amp;"CE","LTP")</f>
        <v>19.05</v>
      </c>
      <c r="M4" s="63">
        <f>RTD("nest.scriprtd",,"nse_fo|"&amp;I3&amp;""&amp;$C$1&amp;""&amp;K4&amp;"PE","LTP")</f>
        <v>14</v>
      </c>
      <c r="N4">
        <f>+L4+M4</f>
        <v>33.049999999999997</v>
      </c>
      <c r="O4">
        <f>MIN(N3:N4)</f>
        <v>32.799999999999997</v>
      </c>
      <c r="Q4" s="72"/>
      <c r="W4">
        <v>0</v>
      </c>
    </row>
    <row r="5" spans="1:23" x14ac:dyDescent="0.25">
      <c r="Q5" s="72"/>
      <c r="W5">
        <v>0</v>
      </c>
    </row>
    <row r="6" spans="1:23" x14ac:dyDescent="0.25">
      <c r="J6" s="63"/>
      <c r="L6" s="63"/>
      <c r="M6" s="63"/>
      <c r="Q6" s="72"/>
      <c r="W6">
        <v>0</v>
      </c>
    </row>
    <row r="7" spans="1:23" x14ac:dyDescent="0.25">
      <c r="A7" t="str">
        <f>+MAIN!$A$38</f>
        <v>ADANIGREEN</v>
      </c>
      <c r="B7" s="63">
        <f>RTD("nest.scriprtd",,"nse_fo|"&amp;A7&amp;""&amp;$C$1&amp;""&amp;$D$1&amp;"","LTP")</f>
        <v>1218.4000000000001</v>
      </c>
      <c r="C7">
        <f>CEILING(B7,20)</f>
        <v>1220</v>
      </c>
      <c r="D7" s="63">
        <f>RTD("nest.scriprtd",,"nse_fo|"&amp;A7&amp;""&amp;$C$1&amp;""&amp;C7&amp;"CE","LTP")</f>
        <v>67</v>
      </c>
      <c r="E7" s="63">
        <f>RTD("nest.scriprtd",,"nse_fo|"&amp;A7&amp;""&amp;$C$1&amp;""&amp;C7&amp;"PE","LTP")</f>
        <v>68</v>
      </c>
      <c r="F7">
        <f>+D7+E7</f>
        <v>135</v>
      </c>
      <c r="H7" s="2"/>
      <c r="M7" s="2"/>
      <c r="Q7" s="72"/>
      <c r="W7">
        <v>0</v>
      </c>
    </row>
    <row r="8" spans="1:23" x14ac:dyDescent="0.25">
      <c r="C8">
        <f>FLOOR(B7,20)</f>
        <v>1200</v>
      </c>
      <c r="D8" s="63">
        <f>RTD("nest.scriprtd",,"nse_fo|"&amp;A7&amp;""&amp;$C$1&amp;""&amp;C8&amp;"CE","LTP")</f>
        <v>77</v>
      </c>
      <c r="E8" s="63">
        <f>RTD("nest.scriprtd",,"nse_fo|"&amp;A7&amp;""&amp;$C$1&amp;""&amp;C8&amp;"PE","LTP")</f>
        <v>58.8</v>
      </c>
      <c r="F8">
        <f>+D8+E8</f>
        <v>135.80000000000001</v>
      </c>
      <c r="G8">
        <f>MIN(F7:F8)</f>
        <v>135</v>
      </c>
      <c r="I8" t="str">
        <f>+MAIN!$A$173</f>
        <v>MOTHERSON</v>
      </c>
      <c r="J8" s="63">
        <f>RTD("nest.scriprtd",,"nse_fo|"&amp;I8&amp;""&amp;$C$1&amp;""&amp;$D$1&amp;"","LTP")</f>
        <v>166.5</v>
      </c>
      <c r="K8">
        <f>CEILING(J8,+MAIN!$D$173)</f>
        <v>167.5</v>
      </c>
      <c r="L8" s="63">
        <f>RTD("nest.scriprtd",,"nse_fo|"&amp;I8&amp;""&amp;$C$1&amp;""&amp;K8&amp;"CE","LTP")</f>
        <v>4.55</v>
      </c>
      <c r="M8" s="63">
        <f>RTD("nest.scriprtd",,"nse_fo|"&amp;I8&amp;""&amp;$C$1&amp;""&amp;K8&amp;"PE","LTP")</f>
        <v>5.45</v>
      </c>
      <c r="N8">
        <f>+L8+M8</f>
        <v>10</v>
      </c>
      <c r="Q8" s="72"/>
      <c r="W8">
        <v>0</v>
      </c>
    </row>
    <row r="9" spans="1:23" x14ac:dyDescent="0.25">
      <c r="B9" s="63"/>
      <c r="D9" s="63"/>
      <c r="E9" s="63"/>
      <c r="K9">
        <f>FLOOR(J8,MAIN!$D$173)</f>
        <v>165</v>
      </c>
      <c r="L9" s="63">
        <f>RTD("nest.scriprtd",,"nse_fo|"&amp;I8&amp;""&amp;$C$1&amp;""&amp;K9&amp;"CE","LTP")</f>
        <v>5.8</v>
      </c>
      <c r="M9" s="63">
        <f>RTD("nest.scriprtd",,"nse_fo|"&amp;I8&amp;""&amp;$C$1&amp;""&amp;K9&amp;"PE","LTP")</f>
        <v>4.2</v>
      </c>
      <c r="N9">
        <f>+L9+M9</f>
        <v>10</v>
      </c>
      <c r="O9">
        <f>MIN(N8:N9)</f>
        <v>10</v>
      </c>
      <c r="Q9" s="72"/>
      <c r="W9">
        <v>-5000</v>
      </c>
    </row>
    <row r="10" spans="1:23" x14ac:dyDescent="0.25">
      <c r="D10" s="63"/>
      <c r="E10" s="63"/>
      <c r="L10" s="63"/>
      <c r="M10" s="63"/>
      <c r="Q10" s="72"/>
      <c r="W10">
        <v>-9000</v>
      </c>
    </row>
    <row r="11" spans="1:23" x14ac:dyDescent="0.25">
      <c r="Q11" s="72"/>
      <c r="W11">
        <v>-4000</v>
      </c>
    </row>
    <row r="12" spans="1:23" x14ac:dyDescent="0.25">
      <c r="A12" t="str">
        <f>+MAIN!$A$57</f>
        <v>TATAMOTORS</v>
      </c>
      <c r="B12" s="63">
        <f>RTD("nest.scriprtd",,"nse_fo|"&amp;A12&amp;""&amp;$C$1&amp;""&amp;$D$1&amp;"","LTP")</f>
        <v>806.65</v>
      </c>
      <c r="C12">
        <f>CEILING(B12,+MAIN!$D$57)</f>
        <v>810</v>
      </c>
      <c r="D12" s="63">
        <f>RTD("nest.scriprtd",,"nse_fo|"&amp;A12&amp;""&amp;$C$1&amp;""&amp;C12&amp;"CE","LTP")</f>
        <v>17.7</v>
      </c>
      <c r="E12" s="63">
        <f>RTD("nest.scriprtd",,"nse_fo|"&amp;A12&amp;""&amp;$C$1&amp;""&amp;C12&amp;"PE","LTP")</f>
        <v>20.5</v>
      </c>
      <c r="F12">
        <f>+D12+E12</f>
        <v>38.200000000000003</v>
      </c>
      <c r="M12" s="2"/>
      <c r="Q12" s="72"/>
      <c r="W12">
        <v>0</v>
      </c>
    </row>
    <row r="13" spans="1:23" x14ac:dyDescent="0.25">
      <c r="C13">
        <f>FLOOR(B12,MAIN!$D$57)</f>
        <v>800</v>
      </c>
      <c r="D13" s="63">
        <f>RTD("nest.scriprtd",,"nse_fo|"&amp;A12&amp;""&amp;$C$1&amp;""&amp;C13&amp;"CE","LTP")</f>
        <v>22.75</v>
      </c>
      <c r="E13" s="63">
        <f>RTD("nest.scriprtd",,"nse_fo|"&amp;A12&amp;""&amp;$C$1&amp;""&amp;C13&amp;"PE","LTP")</f>
        <v>15.6</v>
      </c>
      <c r="F13">
        <f>+D13+E13</f>
        <v>38.35</v>
      </c>
      <c r="G13">
        <f>MIN(F12:F13)</f>
        <v>38.200000000000003</v>
      </c>
      <c r="I13" t="str">
        <f>+MAIN!$A$192</f>
        <v>MUTHOOTFIN</v>
      </c>
      <c r="J13" s="63">
        <f>RTD("nest.scriprtd",,"nse_fo|"&amp;I13&amp;""&amp;$C$1&amp;""&amp;$D$1&amp;"","LTP")</f>
        <v>1987.15</v>
      </c>
      <c r="K13">
        <f>CEILING(J13,+MAIN!$D$192)</f>
        <v>2000</v>
      </c>
      <c r="L13" s="63">
        <f>RTD("nest.scriprtd",,"nse_fo|"&amp;I13&amp;""&amp;$C$1&amp;""&amp;K13&amp;"CE","LTP")</f>
        <v>43.2</v>
      </c>
      <c r="M13" s="63">
        <f>RTD("nest.scriprtd",,"nse_fo|"&amp;I13&amp;""&amp;$C$1&amp;""&amp;K13&amp;"PE","LTP")</f>
        <v>53.9</v>
      </c>
      <c r="N13">
        <f>+L13+M13</f>
        <v>97.1</v>
      </c>
      <c r="Q13" s="72"/>
      <c r="W13">
        <v>0</v>
      </c>
    </row>
    <row r="14" spans="1:23" x14ac:dyDescent="0.25">
      <c r="K14">
        <f>FLOOR(J13,MAIN!$D$192)</f>
        <v>1980</v>
      </c>
      <c r="L14" s="63">
        <f>RTD("nest.scriprtd",,"nse_fo|"&amp;I13&amp;""&amp;$C$1&amp;""&amp;K14&amp;"CE","LTP")</f>
        <v>52.75</v>
      </c>
      <c r="M14" s="63">
        <f>RTD("nest.scriprtd",,"nse_fo|"&amp;I13&amp;""&amp;$C$1&amp;""&amp;K14&amp;"PE","LTP")</f>
        <v>45.2</v>
      </c>
      <c r="N14">
        <f>+L14+M14</f>
        <v>97.95</v>
      </c>
      <c r="O14">
        <f>MIN(N13:N14)</f>
        <v>97.1</v>
      </c>
      <c r="W14">
        <v>0</v>
      </c>
    </row>
    <row r="15" spans="1:23" x14ac:dyDescent="0.25">
      <c r="J15" s="63"/>
      <c r="L15" s="63"/>
      <c r="M15" s="63"/>
      <c r="W15">
        <v>0</v>
      </c>
    </row>
    <row r="16" spans="1:23" x14ac:dyDescent="0.25">
      <c r="A16" t="str">
        <f>+MAIN!$A$77</f>
        <v>BSOFT</v>
      </c>
      <c r="B16" s="63">
        <f>RTD("nest.scriprtd",,"nse_fo|"&amp;A16&amp;""&amp;$C$1&amp;""&amp;$D$1&amp;"","LTP")</f>
        <v>609.45000000000005</v>
      </c>
      <c r="C16">
        <f>CEILING(B16,+MAIN!$D$77)</f>
        <v>610</v>
      </c>
      <c r="D16" s="63">
        <f>RTD("nest.scriprtd",,"nse_fo|"&amp;A16&amp;""&amp;$C$1&amp;""&amp;C16&amp;"CE","LTP")</f>
        <v>14.85</v>
      </c>
      <c r="E16" s="63">
        <f>RTD("nest.scriprtd",,"nse_fo|"&amp;A16&amp;""&amp;$C$1&amp;""&amp;C16&amp;"PE","LTP")</f>
        <v>15.15</v>
      </c>
      <c r="F16">
        <f>+D16+E16</f>
        <v>30</v>
      </c>
      <c r="M16" s="2"/>
      <c r="W16">
        <v>0</v>
      </c>
    </row>
    <row r="17" spans="1:23" x14ac:dyDescent="0.25">
      <c r="C17">
        <f>FLOOR(B16,MAIN!$D$77)</f>
        <v>600</v>
      </c>
      <c r="D17" s="63">
        <f>RTD("nest.scriprtd",,"nse_fo|"&amp;A16&amp;""&amp;$C$1&amp;""&amp;C17&amp;"CE","LTP")</f>
        <v>20.3</v>
      </c>
      <c r="E17" s="63">
        <f>RTD("nest.scriprtd",,"nse_fo|"&amp;A16&amp;""&amp;$C$1&amp;""&amp;C17&amp;"PE","LTP")</f>
        <v>10.35</v>
      </c>
      <c r="F17">
        <f>+D17+E17</f>
        <v>30.65</v>
      </c>
      <c r="G17">
        <f>MIN(F16:F17)</f>
        <v>30</v>
      </c>
      <c r="I17" t="str">
        <f>+MAIN!$A$212</f>
        <v>TATAMOTORS</v>
      </c>
      <c r="J17" s="63">
        <f>RTD("nest.scriprtd",,"nse_fo|"&amp;I17&amp;""&amp;$C$1&amp;""&amp;$D$1&amp;"","LTP")</f>
        <v>806.65</v>
      </c>
      <c r="K17">
        <f>CEILING(J17,+MAIN!$D$212)</f>
        <v>810</v>
      </c>
      <c r="L17" s="63">
        <f>RTD("nest.scriprtd",,"nse_fo|"&amp;I17&amp;""&amp;$C$1&amp;""&amp;K17&amp;"CE","LTP")</f>
        <v>17.7</v>
      </c>
      <c r="M17" s="63">
        <f>RTD("nest.scriprtd",,"nse_fo|"&amp;I17&amp;""&amp;$C$1&amp;""&amp;K17&amp;"PE","LTP")</f>
        <v>20.5</v>
      </c>
      <c r="N17">
        <f>+L17+M17</f>
        <v>38.200000000000003</v>
      </c>
      <c r="W17">
        <v>0</v>
      </c>
    </row>
    <row r="18" spans="1:23" x14ac:dyDescent="0.25">
      <c r="B18" s="63"/>
      <c r="D18" s="63"/>
      <c r="E18" s="63"/>
      <c r="K18">
        <f>FLOOR(J17,MAIN!$D$212)</f>
        <v>800</v>
      </c>
      <c r="L18" s="63">
        <f>RTD("nest.scriprtd",,"nse_fo|"&amp;I17&amp;""&amp;$C$1&amp;""&amp;K18&amp;"CE","LTP")</f>
        <v>22.75</v>
      </c>
      <c r="M18" s="63">
        <f>RTD("nest.scriprtd",,"nse_fo|"&amp;I17&amp;""&amp;$C$1&amp;""&amp;K18&amp;"PE","LTP")</f>
        <v>15.6</v>
      </c>
      <c r="N18">
        <f>+L18+M18</f>
        <v>38.35</v>
      </c>
      <c r="O18">
        <f>MIN(N17:N18)</f>
        <v>38.200000000000003</v>
      </c>
      <c r="W18">
        <v>4000</v>
      </c>
    </row>
    <row r="19" spans="1:23" x14ac:dyDescent="0.25">
      <c r="D19" s="63"/>
      <c r="E19" s="63"/>
      <c r="L19" s="63"/>
      <c r="M19" s="63"/>
      <c r="W19">
        <v>0</v>
      </c>
    </row>
    <row r="21" spans="1:23" x14ac:dyDescent="0.25">
      <c r="A21" t="str">
        <f>+MAIN!$A$97</f>
        <v>FEDERALBNK</v>
      </c>
      <c r="B21" s="63">
        <f>RTD("nest.scriprtd",,"nse_fo|"&amp;A21&amp;""&amp;$C$1&amp;""&amp;$D$1&amp;"","LTP")</f>
        <v>214.25</v>
      </c>
      <c r="C21">
        <f>CEILING(B21,+MAIN!$D$97)</f>
        <v>215</v>
      </c>
      <c r="D21" s="63">
        <f>RTD("nest.scriprtd",,"nse_fo|"&amp;A21&amp;""&amp;$C$1&amp;""&amp;C21&amp;"CE","LTP")</f>
        <v>4.45</v>
      </c>
      <c r="E21" s="63">
        <f>RTD("nest.scriprtd",,"nse_fo|"&amp;A21&amp;""&amp;$C$1&amp;""&amp;C21&amp;"PE","LTP")</f>
        <v>5.0999999999999996</v>
      </c>
      <c r="F21">
        <f>+D21+E21</f>
        <v>9.5500000000000007</v>
      </c>
      <c r="M21" s="2"/>
    </row>
    <row r="22" spans="1:23" x14ac:dyDescent="0.25">
      <c r="C22">
        <f>FLOOR(B21,MAIN!$D$97)</f>
        <v>212.5</v>
      </c>
      <c r="D22" s="63">
        <f>RTD("nest.scriprtd",,"nse_fo|"&amp;A21&amp;""&amp;$C$1&amp;""&amp;C22&amp;"CE","LTP")</f>
        <v>5.75</v>
      </c>
      <c r="E22" s="63">
        <f>RTD("nest.scriprtd",,"nse_fo|"&amp;A21&amp;""&amp;$C$1&amp;""&amp;C22&amp;"PE","LTP")</f>
        <v>3.9</v>
      </c>
      <c r="F22">
        <f>+D22+E22</f>
        <v>9.65</v>
      </c>
      <c r="G22">
        <f>MIN(F21:F22)</f>
        <v>9.5500000000000007</v>
      </c>
      <c r="I22" t="str">
        <f>+MAIN!$A$229</f>
        <v>VEDL</v>
      </c>
      <c r="J22" s="63">
        <f>RTD("nest.scriprtd",,"nse_fo|"&amp;I22&amp;""&amp;$C$1&amp;""&amp;$D$1&amp;"","LTP")</f>
        <v>490.45</v>
      </c>
      <c r="K22">
        <f>CEILING(J22,+MAIN!$D$229)</f>
        <v>500</v>
      </c>
      <c r="L22" s="63">
        <f>RTD("nest.scriprtd",,"nse_fo|"&amp;I22&amp;""&amp;$C$1&amp;""&amp;K22&amp;"CE","LTP")</f>
        <v>9</v>
      </c>
      <c r="M22" s="63">
        <f>RTD("nest.scriprtd",,"nse_fo|"&amp;I22&amp;""&amp;$C$1&amp;""&amp;K22&amp;"PE","LTP")</f>
        <v>18.25</v>
      </c>
      <c r="N22">
        <f>+L22+M22</f>
        <v>27.25</v>
      </c>
      <c r="W22">
        <v>118800</v>
      </c>
    </row>
    <row r="23" spans="1:23" x14ac:dyDescent="0.25">
      <c r="K23">
        <f>FLOOR(J22,MAIN!$D$229)</f>
        <v>490</v>
      </c>
      <c r="L23" s="63">
        <f>RTD("nest.scriprtd",,"nse_fo|"&amp;I22&amp;""&amp;$C$1&amp;""&amp;K23&amp;"CE","LTP")</f>
        <v>13.25</v>
      </c>
      <c r="M23" s="63">
        <f>RTD("nest.scriprtd",,"nse_fo|"&amp;I22&amp;""&amp;$C$1&amp;""&amp;K23&amp;"PE","LTP")</f>
        <v>12.4</v>
      </c>
      <c r="N23">
        <f>+L23+M23</f>
        <v>25.65</v>
      </c>
      <c r="O23">
        <f>MIN(N22:N23)</f>
        <v>25.65</v>
      </c>
      <c r="W23">
        <v>0</v>
      </c>
    </row>
    <row r="24" spans="1:23" x14ac:dyDescent="0.25">
      <c r="W24">
        <v>0</v>
      </c>
    </row>
    <row r="25" spans="1:23" x14ac:dyDescent="0.25">
      <c r="W25">
        <v>0</v>
      </c>
    </row>
    <row r="26" spans="1:23" x14ac:dyDescent="0.25">
      <c r="A26" t="str">
        <f>+MAIN!$A$116</f>
        <v>HDFCAMC</v>
      </c>
      <c r="B26" s="63">
        <f>RTD("nest.scriprtd",,"nse_fo|"&amp;A26&amp;""&amp;$C$1&amp;""&amp;$D$1&amp;"","LTP")</f>
        <v>4507.25</v>
      </c>
      <c r="C26">
        <f>CEILING(B26,+MAIN!$D$116)</f>
        <v>4550</v>
      </c>
      <c r="D26" s="63">
        <f>RTD("nest.scriprtd",,"nse_fo|"&amp;A26&amp;""&amp;$C$1&amp;""&amp;C26&amp;"CE","LTP")</f>
        <v>85.1</v>
      </c>
      <c r="E26" s="63">
        <f>RTD("nest.scriprtd",,"nse_fo|"&amp;A26&amp;""&amp;$C$1&amp;""&amp;C26&amp;"PE","LTP")</f>
        <v>0</v>
      </c>
      <c r="F26">
        <f>+D26+E26</f>
        <v>85.1</v>
      </c>
      <c r="I26" t="str">
        <f>+MAIN!$A$251</f>
        <v>UPL</v>
      </c>
      <c r="J26" s="63">
        <f>RTD("nest.scriprtd",,"nse_fo|"&amp;I26&amp;""&amp;$C$1&amp;""&amp;$D$1&amp;"","LTP")</f>
        <v>558.04999999999995</v>
      </c>
      <c r="K26">
        <f>CEILING(J26,+MAIN!$D$251)</f>
        <v>560</v>
      </c>
      <c r="L26" s="63">
        <f>RTD("nest.scriprtd",,"nse_fo|"&amp;I26&amp;""&amp;$C$1&amp;""&amp;K26&amp;"CE","LTP")</f>
        <v>12</v>
      </c>
      <c r="M26" s="63">
        <f>RTD("nest.scriprtd",,"nse_fo|"&amp;I26&amp;""&amp;$C$1&amp;""&amp;K26&amp;"PE","LTP")</f>
        <v>13.4</v>
      </c>
      <c r="N26">
        <f>+L26+M26</f>
        <v>25.4</v>
      </c>
      <c r="W26">
        <v>0</v>
      </c>
    </row>
    <row r="27" spans="1:23" x14ac:dyDescent="0.25">
      <c r="C27">
        <f>FLOOR(B26,MAIN!$D$116)</f>
        <v>4500</v>
      </c>
      <c r="D27" s="63">
        <f>RTD("nest.scriprtd",,"nse_fo|"&amp;A26&amp;""&amp;$C$1&amp;""&amp;C27&amp;"CE","LTP")</f>
        <v>109</v>
      </c>
      <c r="E27" s="63">
        <f>RTD("nest.scriprtd",,"nse_fo|"&amp;A26&amp;""&amp;$C$1&amp;""&amp;C27&amp;"PE","LTP")</f>
        <v>100.75</v>
      </c>
      <c r="F27">
        <f>+D27+E27</f>
        <v>209.75</v>
      </c>
      <c r="G27">
        <f>MIN(F26:F27)</f>
        <v>85.1</v>
      </c>
      <c r="K27">
        <f>FLOOR(J26,MAIN!$D$251)</f>
        <v>550</v>
      </c>
      <c r="L27" s="63">
        <f>RTD("nest.scriprtd",,"nse_fo|"&amp;I26&amp;""&amp;$C$1&amp;""&amp;K27&amp;"CE","LTP")</f>
        <v>17.75</v>
      </c>
      <c r="M27" s="63">
        <f>RTD("nest.scriprtd",,"nse_fo|"&amp;I26&amp;""&amp;$C$1&amp;""&amp;K27&amp;"PE","LTP")</f>
        <v>8.75</v>
      </c>
      <c r="N27">
        <f>+L27+M27</f>
        <v>26.5</v>
      </c>
      <c r="O27">
        <f>MIN(N26:N27)</f>
        <v>25.4</v>
      </c>
      <c r="W27">
        <v>-54000</v>
      </c>
    </row>
    <row r="28" spans="1:23" x14ac:dyDescent="0.25">
      <c r="W28">
        <v>-162000</v>
      </c>
    </row>
    <row r="29" spans="1:23" x14ac:dyDescent="0.25">
      <c r="W29">
        <v>-189000</v>
      </c>
    </row>
    <row r="30" spans="1:23" x14ac:dyDescent="0.25">
      <c r="W30">
        <v>0</v>
      </c>
    </row>
    <row r="31" spans="1:23" x14ac:dyDescent="0.25">
      <c r="A31" t="str">
        <f>+MAIN!$A$133</f>
        <v>JUBLFOOD</v>
      </c>
      <c r="B31" s="63">
        <f>RTD("nest.scriprtd",,"nse_fo|"&amp;A31&amp;""&amp;$C$1&amp;""&amp;$D$1&amp;"","LTP")</f>
        <v>694.65</v>
      </c>
      <c r="C31">
        <f>CEILING(B31,+MAIN!$D$133)</f>
        <v>700</v>
      </c>
      <c r="D31" s="63">
        <f>RTD("nest.scriprtd",,"nse_fo|"&amp;A31&amp;""&amp;$C$1&amp;""&amp;C31&amp;"CE","LTP")</f>
        <v>13.85</v>
      </c>
      <c r="E31" s="63">
        <f>RTD("nest.scriprtd",,"nse_fo|"&amp;A31&amp;""&amp;$C$1&amp;""&amp;C31&amp;"PE","LTP")</f>
        <v>19.399999999999999</v>
      </c>
      <c r="F31">
        <f>+D31+E31</f>
        <v>33.25</v>
      </c>
      <c r="J31" s="63"/>
      <c r="L31" s="63"/>
      <c r="M31" s="63"/>
      <c r="W31">
        <v>0</v>
      </c>
    </row>
    <row r="32" spans="1:23" x14ac:dyDescent="0.25">
      <c r="C32">
        <f>FLOOR(B31,MAIN!$D$133)</f>
        <v>690</v>
      </c>
      <c r="D32" s="63">
        <f>RTD("nest.scriprtd",,"nse_fo|"&amp;A31&amp;""&amp;$C$1&amp;""&amp;C32&amp;"CE","LTP")</f>
        <v>18.75</v>
      </c>
      <c r="E32" s="63">
        <f>RTD("nest.scriprtd",,"nse_fo|"&amp;A31&amp;""&amp;$C$1&amp;""&amp;C32&amp;"PE","LTP")</f>
        <v>14.3</v>
      </c>
      <c r="F32">
        <f>+D32+E32</f>
        <v>33.049999999999997</v>
      </c>
      <c r="G32">
        <f>MIN(F31:F32)</f>
        <v>33.049999999999997</v>
      </c>
      <c r="L32" s="63"/>
      <c r="M32" s="63"/>
      <c r="W32">
        <v>0</v>
      </c>
    </row>
    <row r="33" spans="1:23" x14ac:dyDescent="0.25">
      <c r="W33">
        <v>0</v>
      </c>
    </row>
    <row r="34" spans="1:23" x14ac:dyDescent="0.25">
      <c r="W34">
        <v>108000</v>
      </c>
    </row>
    <row r="35" spans="1:23" x14ac:dyDescent="0.25">
      <c r="W35">
        <v>0</v>
      </c>
    </row>
    <row r="36" spans="1:23" x14ac:dyDescent="0.25">
      <c r="W36">
        <v>0</v>
      </c>
    </row>
    <row r="37" spans="1:23" x14ac:dyDescent="0.25">
      <c r="W37">
        <v>0</v>
      </c>
    </row>
    <row r="38" spans="1:23" x14ac:dyDescent="0.25">
      <c r="A38" t="s">
        <v>135</v>
      </c>
      <c r="B38" s="63">
        <f>RTD("nest.scriprtd",,"nse_fo|"&amp;A38&amp;""&amp;$C$1&amp;""&amp;$D$1&amp;"","LTP")</f>
        <v>24726.9</v>
      </c>
      <c r="C38">
        <f>CEILING(B38,50)</f>
        <v>24750</v>
      </c>
      <c r="D38" s="63">
        <f>RTD("nest.scriprtd",,"nse_fo|"&amp;A38&amp;""&amp;$C$1&amp;""&amp;C38&amp;"CE","LTP")</f>
        <v>279.89999999999998</v>
      </c>
      <c r="E38" s="63">
        <f>RTD("nest.scriprtd",,"nse_fo|"&amp;A38&amp;""&amp;$C$1&amp;""&amp;C38&amp;"PE","LTP")</f>
        <v>306.95</v>
      </c>
      <c r="F38">
        <f>+D38+E38</f>
        <v>586.84999999999991</v>
      </c>
      <c r="I38">
        <f>215.63+199.85</f>
        <v>415.48</v>
      </c>
      <c r="W38">
        <v>0</v>
      </c>
    </row>
    <row r="39" spans="1:23" x14ac:dyDescent="0.25">
      <c r="C39">
        <f>FLOOR(B38,50)</f>
        <v>24700</v>
      </c>
      <c r="D39" s="63">
        <f>RTD("nest.scriprtd",,"nse_fo|"&amp;A38&amp;""&amp;$C$1&amp;""&amp;C39&amp;"CE","LTP")</f>
        <v>306.5</v>
      </c>
      <c r="E39" s="63">
        <f>RTD("nest.scriprtd",,"nse_fo|"&amp;A38&amp;""&amp;$C$1&amp;""&amp;C39&amp;"PE","LTP")</f>
        <v>285.05</v>
      </c>
      <c r="F39">
        <f>+D39+E39</f>
        <v>591.54999999999995</v>
      </c>
      <c r="G39">
        <f>MIN(F38:F39)</f>
        <v>586.84999999999991</v>
      </c>
    </row>
    <row r="41" spans="1:23" x14ac:dyDescent="0.25">
      <c r="D41" s="63"/>
      <c r="E41" s="63"/>
      <c r="W41">
        <v>51000</v>
      </c>
    </row>
    <row r="42" spans="1:23" x14ac:dyDescent="0.25">
      <c r="A42" t="s">
        <v>135</v>
      </c>
      <c r="B42" s="63">
        <f>RTD("nest.scriprtd",,"nse_fo|"&amp;A42&amp;""&amp;$C$1&amp;""&amp;$D$1&amp;"","LTP")</f>
        <v>24726.9</v>
      </c>
      <c r="C42">
        <v>23400</v>
      </c>
      <c r="D42" s="63">
        <f>RTD("nest.scriprtd",,"nse_fo|"&amp;A42&amp;""&amp;$C$1&amp;""&amp;C42&amp;"CE","LTP")</f>
        <v>1343</v>
      </c>
      <c r="E42" s="63">
        <f>RTD("nest.scriprtd",,"nse_fo|"&amp;A42&amp;""&amp;$C$1&amp;""&amp;C42&amp;"PE","LTP")</f>
        <v>30.25</v>
      </c>
      <c r="F42">
        <f>+D42+E42</f>
        <v>1373.25</v>
      </c>
      <c r="J42">
        <f>+I38-F42</f>
        <v>-957.77</v>
      </c>
      <c r="K42">
        <f>+J42*5000</f>
        <v>-4788850</v>
      </c>
      <c r="W42">
        <v>0</v>
      </c>
    </row>
    <row r="43" spans="1:23" x14ac:dyDescent="0.25">
      <c r="C43">
        <v>23450</v>
      </c>
      <c r="D43" s="63">
        <f>RTD("nest.scriprtd",,"nse_fo|"&amp;A42&amp;""&amp;$C$1&amp;""&amp;C43&amp;"CE","LTP")</f>
        <v>1294.5999999999999</v>
      </c>
      <c r="E43" s="63">
        <f>RTD("nest.scriprtd",,"nse_fo|"&amp;A42&amp;""&amp;$C$1&amp;""&amp;C43&amp;"PE","LTP")</f>
        <v>32.700000000000003</v>
      </c>
      <c r="F43">
        <f>+D43+E43</f>
        <v>1327.3</v>
      </c>
      <c r="G43">
        <f>MIN(F42:F43)</f>
        <v>1327.3</v>
      </c>
      <c r="W43">
        <v>0</v>
      </c>
    </row>
    <row r="44" spans="1:23" x14ac:dyDescent="0.25">
      <c r="W44">
        <v>0</v>
      </c>
    </row>
    <row r="45" spans="1:23" x14ac:dyDescent="0.25">
      <c r="W45">
        <v>0</v>
      </c>
    </row>
    <row r="46" spans="1:23" x14ac:dyDescent="0.25">
      <c r="W46">
        <v>0</v>
      </c>
    </row>
    <row r="47" spans="1:23" x14ac:dyDescent="0.25">
      <c r="W47">
        <v>-34000</v>
      </c>
    </row>
    <row r="48" spans="1:23" x14ac:dyDescent="0.25">
      <c r="W48">
        <v>-68000</v>
      </c>
    </row>
    <row r="49" spans="23:23" x14ac:dyDescent="0.25">
      <c r="W49">
        <v>0</v>
      </c>
    </row>
    <row r="50" spans="23:23" x14ac:dyDescent="0.25">
      <c r="W50">
        <v>0</v>
      </c>
    </row>
    <row r="51" spans="23:23" x14ac:dyDescent="0.25">
      <c r="W51">
        <v>0</v>
      </c>
    </row>
    <row r="52" spans="23:23" x14ac:dyDescent="0.25">
      <c r="W52">
        <v>0</v>
      </c>
    </row>
    <row r="53" spans="23:23" x14ac:dyDescent="0.25">
      <c r="W53">
        <v>0</v>
      </c>
    </row>
    <row r="54" spans="23:23" x14ac:dyDescent="0.25">
      <c r="W54">
        <v>0</v>
      </c>
    </row>
    <row r="55" spans="23:23" x14ac:dyDescent="0.25">
      <c r="W55">
        <v>0</v>
      </c>
    </row>
    <row r="56" spans="23:23" x14ac:dyDescent="0.25">
      <c r="W56">
        <v>59500</v>
      </c>
    </row>
    <row r="57" spans="23:23" x14ac:dyDescent="0.25">
      <c r="W57">
        <v>0</v>
      </c>
    </row>
    <row r="58" spans="23:23" x14ac:dyDescent="0.25">
      <c r="W58">
        <v>0</v>
      </c>
    </row>
    <row r="61" spans="23:23" x14ac:dyDescent="0.25">
      <c r="W61">
        <v>45000</v>
      </c>
    </row>
    <row r="62" spans="23:23" x14ac:dyDescent="0.25">
      <c r="W62">
        <v>0</v>
      </c>
    </row>
    <row r="63" spans="23:23" x14ac:dyDescent="0.25">
      <c r="W63">
        <v>0</v>
      </c>
    </row>
    <row r="64" spans="23:23" x14ac:dyDescent="0.25">
      <c r="W64">
        <v>0</v>
      </c>
    </row>
    <row r="65" spans="23:23" x14ac:dyDescent="0.25">
      <c r="W65">
        <v>-30000</v>
      </c>
    </row>
    <row r="66" spans="23:23" x14ac:dyDescent="0.25">
      <c r="W66">
        <v>-55000</v>
      </c>
    </row>
    <row r="67" spans="23:23" x14ac:dyDescent="0.25">
      <c r="W67">
        <v>-80000</v>
      </c>
    </row>
    <row r="68" spans="23:23" x14ac:dyDescent="0.25">
      <c r="W68">
        <v>0</v>
      </c>
    </row>
    <row r="69" spans="23:23" x14ac:dyDescent="0.25">
      <c r="W69">
        <v>80000</v>
      </c>
    </row>
    <row r="70" spans="23:23" x14ac:dyDescent="0.25">
      <c r="W70">
        <v>0</v>
      </c>
    </row>
    <row r="71" spans="23:23" x14ac:dyDescent="0.25">
      <c r="W71">
        <v>0</v>
      </c>
    </row>
    <row r="72" spans="23:23" x14ac:dyDescent="0.25">
      <c r="W72">
        <v>0</v>
      </c>
    </row>
    <row r="73" spans="23:23" x14ac:dyDescent="0.25">
      <c r="W73">
        <v>0</v>
      </c>
    </row>
    <row r="74" spans="23:23" x14ac:dyDescent="0.25">
      <c r="W74">
        <v>0</v>
      </c>
    </row>
    <row r="75" spans="23:23" x14ac:dyDescent="0.25">
      <c r="W75">
        <v>0</v>
      </c>
    </row>
    <row r="76" spans="23:23" x14ac:dyDescent="0.25">
      <c r="W76">
        <v>35000</v>
      </c>
    </row>
    <row r="77" spans="23:23" x14ac:dyDescent="0.25">
      <c r="W77">
        <v>0</v>
      </c>
    </row>
    <row r="78" spans="23:23" x14ac:dyDescent="0.25">
      <c r="W78">
        <v>0</v>
      </c>
    </row>
    <row r="81" spans="23:23" x14ac:dyDescent="0.25">
      <c r="W81">
        <v>160000</v>
      </c>
    </row>
    <row r="82" spans="23:23" x14ac:dyDescent="0.25">
      <c r="W82">
        <v>0</v>
      </c>
    </row>
    <row r="83" spans="23:23" x14ac:dyDescent="0.25">
      <c r="W83">
        <v>0</v>
      </c>
    </row>
    <row r="84" spans="23:23" x14ac:dyDescent="0.25">
      <c r="W84">
        <v>0</v>
      </c>
    </row>
    <row r="85" spans="23:23" x14ac:dyDescent="0.25">
      <c r="W85">
        <v>0</v>
      </c>
    </row>
    <row r="86" spans="23:23" x14ac:dyDescent="0.25">
      <c r="W86">
        <v>0</v>
      </c>
    </row>
    <row r="87" spans="23:23" x14ac:dyDescent="0.25">
      <c r="W87">
        <v>0</v>
      </c>
    </row>
    <row r="88" spans="23:23" x14ac:dyDescent="0.25">
      <c r="W88">
        <v>-25000</v>
      </c>
    </row>
    <row r="89" spans="23:23" x14ac:dyDescent="0.25">
      <c r="W89">
        <v>-200000</v>
      </c>
    </row>
    <row r="90" spans="23:23" x14ac:dyDescent="0.25">
      <c r="W90">
        <v>-300000</v>
      </c>
    </row>
    <row r="91" spans="23:23" x14ac:dyDescent="0.25">
      <c r="W91">
        <v>-300000</v>
      </c>
    </row>
    <row r="92" spans="23:23" x14ac:dyDescent="0.25">
      <c r="W92">
        <v>0</v>
      </c>
    </row>
    <row r="93" spans="23:23" x14ac:dyDescent="0.25">
      <c r="W93">
        <v>0</v>
      </c>
    </row>
    <row r="94" spans="23:23" x14ac:dyDescent="0.25">
      <c r="W94">
        <v>0</v>
      </c>
    </row>
    <row r="95" spans="23:23" x14ac:dyDescent="0.25">
      <c r="W95">
        <v>150000</v>
      </c>
    </row>
    <row r="96" spans="23:23" x14ac:dyDescent="0.25">
      <c r="W96">
        <v>0</v>
      </c>
    </row>
    <row r="97" spans="23:23" x14ac:dyDescent="0.25">
      <c r="W97">
        <v>0</v>
      </c>
    </row>
    <row r="100" spans="23:23" x14ac:dyDescent="0.25">
      <c r="W100">
        <v>5400</v>
      </c>
    </row>
    <row r="101" spans="23:23" x14ac:dyDescent="0.25">
      <c r="W101">
        <v>0</v>
      </c>
    </row>
    <row r="102" spans="23:23" x14ac:dyDescent="0.25">
      <c r="W102">
        <v>0</v>
      </c>
    </row>
    <row r="103" spans="23:23" x14ac:dyDescent="0.25">
      <c r="W103">
        <v>-1500</v>
      </c>
    </row>
    <row r="104" spans="23:23" x14ac:dyDescent="0.25">
      <c r="W104">
        <v>-9000</v>
      </c>
    </row>
    <row r="105" spans="23:23" x14ac:dyDescent="0.25">
      <c r="W105">
        <v>-9000</v>
      </c>
    </row>
    <row r="106" spans="23:23" x14ac:dyDescent="0.25">
      <c r="W106">
        <v>0</v>
      </c>
    </row>
    <row r="107" spans="23:23" x14ac:dyDescent="0.25">
      <c r="W107">
        <v>0</v>
      </c>
    </row>
    <row r="108" spans="23:23" x14ac:dyDescent="0.25">
      <c r="W108">
        <v>0</v>
      </c>
    </row>
    <row r="109" spans="23:23" x14ac:dyDescent="0.25">
      <c r="W109">
        <v>0</v>
      </c>
    </row>
    <row r="110" spans="23:23" x14ac:dyDescent="0.25">
      <c r="W110">
        <v>0</v>
      </c>
    </row>
    <row r="111" spans="23:23" x14ac:dyDescent="0.25">
      <c r="W111">
        <v>0</v>
      </c>
    </row>
    <row r="112" spans="23:23" x14ac:dyDescent="0.25">
      <c r="W112">
        <v>5400</v>
      </c>
    </row>
    <row r="113" spans="23:23" x14ac:dyDescent="0.25">
      <c r="W113">
        <v>0</v>
      </c>
    </row>
    <row r="114" spans="23:23" x14ac:dyDescent="0.25">
      <c r="W114">
        <v>0</v>
      </c>
    </row>
    <row r="117" spans="23:23" x14ac:dyDescent="0.25">
      <c r="W117">
        <v>50000</v>
      </c>
    </row>
    <row r="118" spans="23:23" x14ac:dyDescent="0.25">
      <c r="W118">
        <v>0</v>
      </c>
    </row>
    <row r="119" spans="23:23" x14ac:dyDescent="0.25">
      <c r="W119">
        <v>0</v>
      </c>
    </row>
    <row r="120" spans="23:23" x14ac:dyDescent="0.25">
      <c r="W120">
        <v>0</v>
      </c>
    </row>
    <row r="121" spans="23:23" x14ac:dyDescent="0.25">
      <c r="W121">
        <v>0</v>
      </c>
    </row>
    <row r="122" spans="23:23" x14ac:dyDescent="0.25">
      <c r="W122">
        <v>-30000</v>
      </c>
    </row>
    <row r="123" spans="23:23" x14ac:dyDescent="0.25">
      <c r="W123">
        <v>-70000</v>
      </c>
    </row>
    <row r="124" spans="23:23" x14ac:dyDescent="0.25">
      <c r="W124">
        <v>-70000</v>
      </c>
    </row>
    <row r="125" spans="23:23" x14ac:dyDescent="0.25">
      <c r="W125">
        <v>0</v>
      </c>
    </row>
    <row r="126" spans="23:23" x14ac:dyDescent="0.25">
      <c r="W126">
        <v>0</v>
      </c>
    </row>
    <row r="127" spans="23:23" x14ac:dyDescent="0.25">
      <c r="W127">
        <v>0</v>
      </c>
    </row>
    <row r="128" spans="23:23" x14ac:dyDescent="0.25">
      <c r="W128">
        <v>0</v>
      </c>
    </row>
    <row r="129" spans="23:23" x14ac:dyDescent="0.25">
      <c r="W129">
        <v>0</v>
      </c>
    </row>
    <row r="130" spans="23:23" x14ac:dyDescent="0.25">
      <c r="W130">
        <v>35000</v>
      </c>
    </row>
    <row r="131" spans="23:23" x14ac:dyDescent="0.25">
      <c r="W131">
        <v>0</v>
      </c>
    </row>
    <row r="132" spans="23:23" x14ac:dyDescent="0.25">
      <c r="W132">
        <v>0</v>
      </c>
    </row>
    <row r="133" spans="23:23" x14ac:dyDescent="0.25">
      <c r="W133">
        <v>0</v>
      </c>
    </row>
    <row r="134" spans="23:23" x14ac:dyDescent="0.25">
      <c r="W134">
        <v>0</v>
      </c>
    </row>
    <row r="137" spans="23:23" x14ac:dyDescent="0.25">
      <c r="W137">
        <v>34000</v>
      </c>
    </row>
    <row r="138" spans="23:23" x14ac:dyDescent="0.25">
      <c r="W138">
        <v>0</v>
      </c>
    </row>
    <row r="139" spans="23:23" x14ac:dyDescent="0.25">
      <c r="W139">
        <v>0</v>
      </c>
    </row>
    <row r="140" spans="23:23" x14ac:dyDescent="0.25">
      <c r="W140">
        <v>0</v>
      </c>
    </row>
    <row r="141" spans="23:23" x14ac:dyDescent="0.25">
      <c r="W141">
        <v>0</v>
      </c>
    </row>
    <row r="142" spans="23:23" x14ac:dyDescent="0.25">
      <c r="W142">
        <v>0</v>
      </c>
    </row>
    <row r="143" spans="23:23" x14ac:dyDescent="0.25">
      <c r="W143">
        <v>0</v>
      </c>
    </row>
    <row r="144" spans="23:23" x14ac:dyDescent="0.25">
      <c r="W144">
        <v>-34000</v>
      </c>
    </row>
    <row r="145" spans="23:23" x14ac:dyDescent="0.25">
      <c r="W145">
        <v>-85000</v>
      </c>
    </row>
    <row r="146" spans="23:23" x14ac:dyDescent="0.25">
      <c r="W146">
        <v>-68000</v>
      </c>
    </row>
    <row r="147" spans="23:23" x14ac:dyDescent="0.25">
      <c r="W147">
        <v>0</v>
      </c>
    </row>
    <row r="148" spans="23:23" x14ac:dyDescent="0.25">
      <c r="W148">
        <v>0</v>
      </c>
    </row>
    <row r="149" spans="23:23" x14ac:dyDescent="0.25">
      <c r="W149">
        <v>0</v>
      </c>
    </row>
    <row r="150" spans="23:23" x14ac:dyDescent="0.25">
      <c r="W150">
        <v>0</v>
      </c>
    </row>
    <row r="151" spans="23:23" x14ac:dyDescent="0.25">
      <c r="W151">
        <v>0</v>
      </c>
    </row>
    <row r="152" spans="23:23" x14ac:dyDescent="0.25">
      <c r="W152">
        <v>34000</v>
      </c>
    </row>
    <row r="153" spans="23:23" x14ac:dyDescent="0.25">
      <c r="W153">
        <v>0</v>
      </c>
    </row>
    <row r="154" spans="23:23" x14ac:dyDescent="0.25">
      <c r="W154">
        <v>0</v>
      </c>
    </row>
    <row r="157" spans="23:23" x14ac:dyDescent="0.25">
      <c r="W157">
        <v>99400</v>
      </c>
    </row>
    <row r="158" spans="23:23" x14ac:dyDescent="0.25">
      <c r="W158">
        <v>0</v>
      </c>
    </row>
    <row r="159" spans="23:23" x14ac:dyDescent="0.25">
      <c r="W159">
        <v>0</v>
      </c>
    </row>
    <row r="160" spans="23:23" x14ac:dyDescent="0.25">
      <c r="W160">
        <v>-71000</v>
      </c>
    </row>
    <row r="161" spans="23:23" x14ac:dyDescent="0.25">
      <c r="W161">
        <v>-213000</v>
      </c>
    </row>
    <row r="162" spans="23:23" x14ac:dyDescent="0.25">
      <c r="W162">
        <v>0</v>
      </c>
    </row>
    <row r="163" spans="23:23" x14ac:dyDescent="0.25">
      <c r="W163">
        <v>0</v>
      </c>
    </row>
    <row r="164" spans="23:23" x14ac:dyDescent="0.25">
      <c r="W164">
        <v>0</v>
      </c>
    </row>
    <row r="165" spans="23:23" x14ac:dyDescent="0.25">
      <c r="W165">
        <v>0</v>
      </c>
    </row>
    <row r="166" spans="23:23" x14ac:dyDescent="0.25">
      <c r="W166">
        <v>0</v>
      </c>
    </row>
    <row r="167" spans="23:23" x14ac:dyDescent="0.25">
      <c r="W167">
        <v>0</v>
      </c>
    </row>
    <row r="168" spans="23:23" x14ac:dyDescent="0.25">
      <c r="W168">
        <v>0</v>
      </c>
    </row>
    <row r="169" spans="23:23" x14ac:dyDescent="0.25">
      <c r="W169">
        <v>99400</v>
      </c>
    </row>
    <row r="170" spans="23:23" x14ac:dyDescent="0.25">
      <c r="W170">
        <v>0</v>
      </c>
    </row>
    <row r="171" spans="23:23" x14ac:dyDescent="0.25">
      <c r="W171">
        <v>0</v>
      </c>
    </row>
    <row r="172" spans="23:23" x14ac:dyDescent="0.25">
      <c r="W172">
        <v>0</v>
      </c>
    </row>
    <row r="173" spans="23:23" x14ac:dyDescent="0.25">
      <c r="W173">
        <v>0</v>
      </c>
    </row>
    <row r="176" spans="23:23" x14ac:dyDescent="0.25">
      <c r="W176">
        <v>16500</v>
      </c>
    </row>
    <row r="177" spans="23:23" x14ac:dyDescent="0.25">
      <c r="W177">
        <v>0</v>
      </c>
    </row>
    <row r="178" spans="23:23" x14ac:dyDescent="0.25">
      <c r="W178">
        <v>0</v>
      </c>
    </row>
    <row r="179" spans="23:23" x14ac:dyDescent="0.25">
      <c r="W179">
        <v>0</v>
      </c>
    </row>
    <row r="180" spans="23:23" x14ac:dyDescent="0.25">
      <c r="W180">
        <v>0</v>
      </c>
    </row>
    <row r="181" spans="23:23" x14ac:dyDescent="0.25">
      <c r="W181">
        <v>0</v>
      </c>
    </row>
    <row r="182" spans="23:23" x14ac:dyDescent="0.25">
      <c r="W182">
        <v>-22000</v>
      </c>
    </row>
    <row r="183" spans="23:23" x14ac:dyDescent="0.25">
      <c r="W183">
        <v>-44000</v>
      </c>
    </row>
    <row r="184" spans="23:23" x14ac:dyDescent="0.25">
      <c r="W184">
        <v>0</v>
      </c>
    </row>
    <row r="185" spans="23:23" x14ac:dyDescent="0.25">
      <c r="W185">
        <v>33000</v>
      </c>
    </row>
    <row r="186" spans="23:23" x14ac:dyDescent="0.25">
      <c r="W186">
        <v>0</v>
      </c>
    </row>
    <row r="187" spans="23:23" x14ac:dyDescent="0.25">
      <c r="W187">
        <v>0</v>
      </c>
    </row>
    <row r="188" spans="23:23" x14ac:dyDescent="0.25">
      <c r="W188">
        <v>0</v>
      </c>
    </row>
    <row r="189" spans="23:23" x14ac:dyDescent="0.25">
      <c r="W189">
        <v>0</v>
      </c>
    </row>
    <row r="190" spans="23:23" x14ac:dyDescent="0.25">
      <c r="W190">
        <v>0</v>
      </c>
    </row>
    <row r="191" spans="23:23" x14ac:dyDescent="0.25">
      <c r="W191">
        <v>11000</v>
      </c>
    </row>
    <row r="192" spans="23:23" x14ac:dyDescent="0.25">
      <c r="W192">
        <v>0</v>
      </c>
    </row>
    <row r="193" spans="23:23" x14ac:dyDescent="0.25">
      <c r="W193">
        <v>0</v>
      </c>
    </row>
    <row r="196" spans="23:23" x14ac:dyDescent="0.25">
      <c r="W196">
        <v>39600</v>
      </c>
    </row>
    <row r="197" spans="23:23" x14ac:dyDescent="0.25">
      <c r="W197">
        <v>0</v>
      </c>
    </row>
    <row r="198" spans="23:23" x14ac:dyDescent="0.25">
      <c r="W198">
        <v>0</v>
      </c>
    </row>
    <row r="199" spans="23:23" x14ac:dyDescent="0.25">
      <c r="W199">
        <v>-11000</v>
      </c>
    </row>
    <row r="200" spans="23:23" x14ac:dyDescent="0.25">
      <c r="W200">
        <v>-33000</v>
      </c>
    </row>
    <row r="201" spans="23:23" x14ac:dyDescent="0.25">
      <c r="W201">
        <v>-77000</v>
      </c>
    </row>
    <row r="202" spans="23:23" x14ac:dyDescent="0.25">
      <c r="W202">
        <v>0</v>
      </c>
    </row>
    <row r="203" spans="23:23" x14ac:dyDescent="0.25">
      <c r="W203">
        <v>0</v>
      </c>
    </row>
    <row r="204" spans="23:23" x14ac:dyDescent="0.25">
      <c r="W204">
        <v>0</v>
      </c>
    </row>
    <row r="205" spans="23:23" x14ac:dyDescent="0.25">
      <c r="W205">
        <v>0</v>
      </c>
    </row>
    <row r="206" spans="23:23" x14ac:dyDescent="0.25">
      <c r="W206">
        <v>0</v>
      </c>
    </row>
    <row r="207" spans="23:23" x14ac:dyDescent="0.25">
      <c r="W207">
        <v>0</v>
      </c>
    </row>
    <row r="208" spans="23:23" x14ac:dyDescent="0.25">
      <c r="W208">
        <v>33000</v>
      </c>
    </row>
    <row r="209" spans="23:23" x14ac:dyDescent="0.25">
      <c r="W209">
        <v>0</v>
      </c>
    </row>
    <row r="210" spans="23:23" x14ac:dyDescent="0.25">
      <c r="W210">
        <v>0</v>
      </c>
    </row>
    <row r="213" spans="23:23" x14ac:dyDescent="0.25">
      <c r="W213">
        <v>34500</v>
      </c>
    </row>
    <row r="214" spans="23:23" x14ac:dyDescent="0.25">
      <c r="W214">
        <v>0</v>
      </c>
    </row>
    <row r="215" spans="23:23" x14ac:dyDescent="0.25">
      <c r="W215">
        <v>0</v>
      </c>
    </row>
    <row r="216" spans="23:23" x14ac:dyDescent="0.25">
      <c r="W216">
        <v>0</v>
      </c>
    </row>
    <row r="217" spans="23:23" x14ac:dyDescent="0.25">
      <c r="W217">
        <v>0</v>
      </c>
    </row>
    <row r="218" spans="23:23" x14ac:dyDescent="0.25">
      <c r="W218">
        <v>-34500</v>
      </c>
    </row>
    <row r="219" spans="23:23" x14ac:dyDescent="0.25">
      <c r="W219">
        <v>-69000</v>
      </c>
    </row>
    <row r="220" spans="23:23" x14ac:dyDescent="0.25">
      <c r="W220">
        <v>0</v>
      </c>
    </row>
    <row r="221" spans="23:23" x14ac:dyDescent="0.25">
      <c r="W221">
        <v>0</v>
      </c>
    </row>
    <row r="222" spans="23:23" x14ac:dyDescent="0.25">
      <c r="W222">
        <v>0</v>
      </c>
    </row>
    <row r="223" spans="23:23" x14ac:dyDescent="0.25">
      <c r="W223">
        <v>0</v>
      </c>
    </row>
    <row r="224" spans="23:23" x14ac:dyDescent="0.25">
      <c r="W224">
        <v>0</v>
      </c>
    </row>
    <row r="225" spans="23:23" x14ac:dyDescent="0.25">
      <c r="W225">
        <v>0</v>
      </c>
    </row>
    <row r="226" spans="23:23" x14ac:dyDescent="0.25">
      <c r="W226">
        <v>34500</v>
      </c>
    </row>
    <row r="227" spans="23:23" x14ac:dyDescent="0.25">
      <c r="W227">
        <v>0</v>
      </c>
    </row>
    <row r="228" spans="23:23" x14ac:dyDescent="0.25">
      <c r="W228">
        <v>0</v>
      </c>
    </row>
    <row r="229" spans="23:23" x14ac:dyDescent="0.25">
      <c r="W229">
        <v>0</v>
      </c>
    </row>
    <row r="230" spans="23:23" x14ac:dyDescent="0.25">
      <c r="W230">
        <v>0</v>
      </c>
    </row>
    <row r="231" spans="23:23" x14ac:dyDescent="0.25">
      <c r="W231">
        <v>0</v>
      </c>
    </row>
  </sheetData>
  <sortState ref="A46:A58">
    <sortCondition ref="A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M2M</vt:lpstr>
      <vt:lpstr>FACTOR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ADMIN-02</dc:creator>
  <cp:lastModifiedBy>ADMIN2</cp:lastModifiedBy>
  <dcterms:created xsi:type="dcterms:W3CDTF">2022-06-15T05:52:42Z</dcterms:created>
  <dcterms:modified xsi:type="dcterms:W3CDTF">2024-12-09T07:25:14Z</dcterms:modified>
</cp:coreProperties>
</file>