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startup cases\K8 School Pvt Ltd\Financials\"/>
    </mc:Choice>
  </mc:AlternateContent>
  <xr:revisionPtr revIDLastSave="0" documentId="13_ncr:1_{242085DE-C556-4C3D-B715-B71B793FD853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Market return" sheetId="7" state="hidden" r:id="rId1"/>
    <sheet name="Key Value assumptions" sheetId="8" r:id="rId2"/>
    <sheet name="Assumptions" sheetId="3" r:id="rId3"/>
    <sheet name="Payroll" sheetId="11" r:id="rId4"/>
    <sheet name="Expenses" sheetId="2" r:id="rId5"/>
    <sheet name="Revenues" sheetId="1" r:id="rId6"/>
    <sheet name="P&amp;L" sheetId="4" r:id="rId7"/>
    <sheet name="BS" sheetId="5" r:id="rId8"/>
    <sheet name="CFS" sheetId="6" r:id="rId9"/>
    <sheet name="DCF" sheetId="9" r:id="rId10"/>
    <sheet name="Summary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1" l="1"/>
  <c r="F15" i="11" s="1"/>
  <c r="G15" i="11" s="1"/>
  <c r="D15" i="11"/>
  <c r="C15" i="11"/>
  <c r="F79" i="3"/>
  <c r="G79" i="3" s="1"/>
  <c r="D79" i="3"/>
  <c r="M4" i="10"/>
  <c r="M6" i="10"/>
  <c r="M8" i="10"/>
  <c r="F50" i="3"/>
  <c r="G50" i="3" s="1"/>
  <c r="E50" i="3"/>
  <c r="F47" i="3"/>
  <c r="G47" i="3" s="1"/>
  <c r="E47" i="3"/>
  <c r="G27" i="5"/>
  <c r="G22" i="6"/>
  <c r="G13" i="9"/>
  <c r="G17" i="4"/>
  <c r="K14" i="4"/>
  <c r="J14" i="4"/>
  <c r="I14" i="4"/>
  <c r="H14" i="4"/>
  <c r="G14" i="4"/>
  <c r="G11" i="4"/>
  <c r="E14" i="4"/>
  <c r="E13" i="4"/>
  <c r="E12" i="4"/>
  <c r="E11" i="4"/>
  <c r="E10" i="4"/>
  <c r="C6" i="2"/>
  <c r="B9" i="2"/>
  <c r="B7" i="2"/>
  <c r="B6" i="2"/>
  <c r="B5" i="2"/>
  <c r="B43" i="3"/>
  <c r="B57" i="3"/>
  <c r="B56" i="3"/>
  <c r="B54" i="3"/>
  <c r="C50" i="3"/>
  <c r="D50" i="3" s="1"/>
  <c r="C47" i="3"/>
  <c r="D47" i="3" s="1"/>
  <c r="C44" i="3"/>
  <c r="D44" i="3" s="1"/>
  <c r="E44" i="3" s="1"/>
  <c r="F44" i="3" s="1"/>
  <c r="G44" i="3" s="1"/>
  <c r="B39" i="3"/>
  <c r="B37" i="3" s="1"/>
  <c r="B38" i="3" s="1"/>
  <c r="K14" i="11"/>
  <c r="L14" i="11" s="1"/>
  <c r="M14" i="11" s="1"/>
  <c r="N14" i="11" s="1"/>
  <c r="O14" i="11" s="1"/>
  <c r="K13" i="11"/>
  <c r="L13" i="11" s="1"/>
  <c r="M13" i="11" s="1"/>
  <c r="N13" i="11" s="1"/>
  <c r="O13" i="11" s="1"/>
  <c r="W13" i="11" s="1"/>
  <c r="K12" i="11"/>
  <c r="L12" i="11" s="1"/>
  <c r="M12" i="11" s="1"/>
  <c r="N12" i="11" s="1"/>
  <c r="O12" i="11" s="1"/>
  <c r="W12" i="11" s="1"/>
  <c r="K11" i="11"/>
  <c r="L11" i="11" s="1"/>
  <c r="M11" i="11" s="1"/>
  <c r="N11" i="11" s="1"/>
  <c r="O11" i="11" s="1"/>
  <c r="K10" i="11"/>
  <c r="L10" i="11" s="1"/>
  <c r="M10" i="11" s="1"/>
  <c r="N10" i="11" s="1"/>
  <c r="O10" i="11" s="1"/>
  <c r="W10" i="11" s="1"/>
  <c r="K9" i="11"/>
  <c r="L9" i="11" s="1"/>
  <c r="M9" i="11" s="1"/>
  <c r="N9" i="11" s="1"/>
  <c r="O9" i="11" s="1"/>
  <c r="W9" i="11" s="1"/>
  <c r="K8" i="11"/>
  <c r="L8" i="11" s="1"/>
  <c r="M8" i="11" s="1"/>
  <c r="N8" i="11" s="1"/>
  <c r="O8" i="11" s="1"/>
  <c r="K7" i="11"/>
  <c r="L7" i="11" s="1"/>
  <c r="M7" i="11" s="1"/>
  <c r="N7" i="11" s="1"/>
  <c r="O7" i="11" s="1"/>
  <c r="K6" i="11"/>
  <c r="L6" i="11" s="1"/>
  <c r="M6" i="11" s="1"/>
  <c r="N6" i="11" s="1"/>
  <c r="O6" i="11" s="1"/>
  <c r="K5" i="11"/>
  <c r="L5" i="11" s="1"/>
  <c r="M5" i="11" s="1"/>
  <c r="N5" i="11" s="1"/>
  <c r="O5" i="11" s="1"/>
  <c r="W5" i="11" s="1"/>
  <c r="C94" i="3"/>
  <c r="B88" i="3"/>
  <c r="B84" i="3"/>
  <c r="B87" i="3" s="1"/>
  <c r="B65" i="3"/>
  <c r="C65" i="3" s="1"/>
  <c r="D65" i="3" s="1"/>
  <c r="E65" i="3" s="1"/>
  <c r="F65" i="3" s="1"/>
  <c r="G65" i="3" s="1"/>
  <c r="B79" i="3"/>
  <c r="B78" i="3"/>
  <c r="C78" i="3" s="1"/>
  <c r="D78" i="3" s="1"/>
  <c r="E78" i="3" s="1"/>
  <c r="F78" i="3" s="1"/>
  <c r="G78" i="3" s="1"/>
  <c r="B72" i="3"/>
  <c r="C72" i="3" s="1"/>
  <c r="D72" i="3" s="1"/>
  <c r="E72" i="3" s="1"/>
  <c r="F72" i="3" s="1"/>
  <c r="G72" i="3" s="1"/>
  <c r="B71" i="3"/>
  <c r="C71" i="3" s="1"/>
  <c r="D71" i="3" s="1"/>
  <c r="E71" i="3" s="1"/>
  <c r="F71" i="3" s="1"/>
  <c r="G71" i="3" s="1"/>
  <c r="C64" i="3"/>
  <c r="D64" i="3" s="1"/>
  <c r="E64" i="3" s="1"/>
  <c r="F64" i="3" s="1"/>
  <c r="G64" i="3" s="1"/>
  <c r="C63" i="3"/>
  <c r="D63" i="3" s="1"/>
  <c r="E63" i="3" s="1"/>
  <c r="F63" i="3" s="1"/>
  <c r="G63" i="3" s="1"/>
  <c r="B32" i="3"/>
  <c r="C24" i="3"/>
  <c r="C39" i="3" s="1"/>
  <c r="C37" i="3" s="1"/>
  <c r="C16" i="3"/>
  <c r="D16" i="3" s="1"/>
  <c r="E16" i="3" s="1"/>
  <c r="F16" i="3" s="1"/>
  <c r="G16" i="3" s="1"/>
  <c r="C15" i="3"/>
  <c r="D15" i="3" s="1"/>
  <c r="E15" i="3" s="1"/>
  <c r="F15" i="3" s="1"/>
  <c r="G15" i="3" s="1"/>
  <c r="C14" i="3"/>
  <c r="D14" i="3" s="1"/>
  <c r="E14" i="3" s="1"/>
  <c r="F14" i="3" s="1"/>
  <c r="G14" i="3" s="1"/>
  <c r="O25" i="3"/>
  <c r="N25" i="3"/>
  <c r="M25" i="3"/>
  <c r="L25" i="3"/>
  <c r="K25" i="3"/>
  <c r="J25" i="3"/>
  <c r="B95" i="3"/>
  <c r="L2" i="3"/>
  <c r="M2" i="3" s="1"/>
  <c r="L4" i="3"/>
  <c r="M4" i="3" s="1"/>
  <c r="D4" i="3"/>
  <c r="C4" i="3"/>
  <c r="C5" i="3" s="1"/>
  <c r="C6" i="3" s="1"/>
  <c r="C7" i="3" s="1"/>
  <c r="C8" i="3" s="1"/>
  <c r="B4" i="3"/>
  <c r="H36" i="8"/>
  <c r="H37" i="8" s="1"/>
  <c r="H35" i="8"/>
  <c r="B89" i="3" l="1"/>
  <c r="K84" i="3"/>
  <c r="C88" i="3"/>
  <c r="C87" i="3" s="1"/>
  <c r="C7" i="2" s="1"/>
  <c r="G12" i="4" s="1"/>
  <c r="C5" i="11"/>
  <c r="C7" i="11" s="1"/>
  <c r="C9" i="11" s="1"/>
  <c r="S7" i="11" s="1"/>
  <c r="T5" i="11"/>
  <c r="T9" i="11"/>
  <c r="T13" i="11"/>
  <c r="S10" i="11"/>
  <c r="T10" i="11"/>
  <c r="U12" i="11"/>
  <c r="U5" i="11"/>
  <c r="U9" i="11"/>
  <c r="V12" i="11"/>
  <c r="U13" i="11"/>
  <c r="V5" i="11"/>
  <c r="V9" i="11"/>
  <c r="U10" i="11"/>
  <c r="S12" i="11"/>
  <c r="V13" i="11"/>
  <c r="S5" i="11"/>
  <c r="S9" i="11"/>
  <c r="V10" i="11"/>
  <c r="T12" i="11"/>
  <c r="S13" i="11"/>
  <c r="G73" i="3"/>
  <c r="G80" i="3"/>
  <c r="G6" i="2" s="1"/>
  <c r="K11" i="4" s="1"/>
  <c r="D73" i="3"/>
  <c r="B80" i="3"/>
  <c r="F80" i="3"/>
  <c r="F6" i="2" s="1"/>
  <c r="J11" i="4" s="1"/>
  <c r="E73" i="3"/>
  <c r="C80" i="3"/>
  <c r="B73" i="3"/>
  <c r="F73" i="3"/>
  <c r="D80" i="3"/>
  <c r="D6" i="2" s="1"/>
  <c r="H11" i="4" s="1"/>
  <c r="M5" i="10" s="1"/>
  <c r="C73" i="3"/>
  <c r="E80" i="3"/>
  <c r="E6" i="2" s="1"/>
  <c r="I11" i="4" s="1"/>
  <c r="B66" i="3"/>
  <c r="G66" i="3"/>
  <c r="G5" i="2" s="1"/>
  <c r="K10" i="4" s="1"/>
  <c r="E66" i="3"/>
  <c r="E5" i="2" s="1"/>
  <c r="I10" i="4" s="1"/>
  <c r="C66" i="3"/>
  <c r="C5" i="2" s="1"/>
  <c r="G10" i="4" s="1"/>
  <c r="D66" i="3"/>
  <c r="D5" i="2" s="1"/>
  <c r="H10" i="4" s="1"/>
  <c r="F66" i="3"/>
  <c r="F5" i="2" s="1"/>
  <c r="J10" i="4" s="1"/>
  <c r="C22" i="3"/>
  <c r="D24" i="3"/>
  <c r="C21" i="3"/>
  <c r="C23" i="3"/>
  <c r="C30" i="3" s="1"/>
  <c r="B97" i="3"/>
  <c r="C93" i="3" s="1"/>
  <c r="C38" i="3"/>
  <c r="E4" i="3"/>
  <c r="D57" i="3" l="1"/>
  <c r="D54" i="3"/>
  <c r="C56" i="3"/>
  <c r="C54" i="3"/>
  <c r="C28" i="3"/>
  <c r="S6" i="11"/>
  <c r="C11" i="11"/>
  <c r="S8" i="11" s="1"/>
  <c r="D88" i="3"/>
  <c r="D87" i="3" s="1"/>
  <c r="D7" i="2" s="1"/>
  <c r="H12" i="4" s="1"/>
  <c r="M7" i="10" s="1"/>
  <c r="D5" i="11"/>
  <c r="C29" i="3"/>
  <c r="C43" i="3"/>
  <c r="E24" i="3"/>
  <c r="D39" i="3"/>
  <c r="D22" i="3"/>
  <c r="D29" i="3" s="1"/>
  <c r="D23" i="3"/>
  <c r="D21" i="3"/>
  <c r="D28" i="3" s="1"/>
  <c r="E57" i="3" l="1"/>
  <c r="E54" i="3"/>
  <c r="C31" i="3"/>
  <c r="C14" i="11" s="1"/>
  <c r="C16" i="11" s="1"/>
  <c r="E5" i="11"/>
  <c r="E11" i="11" s="1"/>
  <c r="U8" i="11" s="1"/>
  <c r="D7" i="11"/>
  <c r="D11" i="11"/>
  <c r="T8" i="11" s="1"/>
  <c r="F24" i="3"/>
  <c r="E88" i="3"/>
  <c r="E87" i="3" s="1"/>
  <c r="E7" i="2" s="1"/>
  <c r="I12" i="4" s="1"/>
  <c r="E21" i="3"/>
  <c r="E28" i="3" s="1"/>
  <c r="F39" i="3"/>
  <c r="F37" i="3" s="1"/>
  <c r="F38" i="3" s="1"/>
  <c r="D37" i="3"/>
  <c r="D38" i="3" s="1"/>
  <c r="D30" i="3"/>
  <c r="D31" i="3" s="1"/>
  <c r="E39" i="3"/>
  <c r="E37" i="3" s="1"/>
  <c r="E38" i="3" s="1"/>
  <c r="E23" i="3"/>
  <c r="E30" i="3" s="1"/>
  <c r="E22" i="3"/>
  <c r="E29" i="3" s="1"/>
  <c r="C33" i="3" l="1"/>
  <c r="C32" i="3"/>
  <c r="F57" i="3"/>
  <c r="F54" i="3"/>
  <c r="D51" i="3"/>
  <c r="D8" i="1"/>
  <c r="D18" i="1" s="1"/>
  <c r="C51" i="3"/>
  <c r="C8" i="1"/>
  <c r="C18" i="1" s="1"/>
  <c r="E7" i="11"/>
  <c r="E9" i="11" s="1"/>
  <c r="C48" i="3"/>
  <c r="C45" i="3"/>
  <c r="L84" i="3"/>
  <c r="G24" i="3"/>
  <c r="G39" i="3" s="1"/>
  <c r="G37" i="3" s="1"/>
  <c r="G38" i="3" s="1"/>
  <c r="F23" i="3"/>
  <c r="F30" i="3" s="1"/>
  <c r="D45" i="3"/>
  <c r="D48" i="3"/>
  <c r="D32" i="3"/>
  <c r="D14" i="11"/>
  <c r="D16" i="11" s="1"/>
  <c r="T11" i="11" s="1"/>
  <c r="M84" i="3"/>
  <c r="D9" i="11"/>
  <c r="T7" i="11" s="1"/>
  <c r="T6" i="11"/>
  <c r="F88" i="3"/>
  <c r="F87" i="3" s="1"/>
  <c r="F7" i="2" s="1"/>
  <c r="J12" i="4" s="1"/>
  <c r="F5" i="11"/>
  <c r="U6" i="11"/>
  <c r="S11" i="11"/>
  <c r="C19" i="11"/>
  <c r="F22" i="3"/>
  <c r="F29" i="3" s="1"/>
  <c r="F21" i="3"/>
  <c r="F28" i="3" s="1"/>
  <c r="E31" i="3"/>
  <c r="E8" i="1" s="1"/>
  <c r="E18" i="1" s="1"/>
  <c r="D33" i="3"/>
  <c r="G88" i="3" l="1"/>
  <c r="G87" i="3" s="1"/>
  <c r="G7" i="2" s="1"/>
  <c r="K12" i="4" s="1"/>
  <c r="D58" i="3"/>
  <c r="H6" i="4" s="1"/>
  <c r="G57" i="3"/>
  <c r="G54" i="3"/>
  <c r="C58" i="3"/>
  <c r="G6" i="4" s="1"/>
  <c r="G22" i="3"/>
  <c r="G29" i="3" s="1"/>
  <c r="G21" i="3"/>
  <c r="G28" i="3" s="1"/>
  <c r="G23" i="3"/>
  <c r="G30" i="3" s="1"/>
  <c r="G5" i="11"/>
  <c r="G11" i="11" s="1"/>
  <c r="W8" i="11" s="1"/>
  <c r="E48" i="3"/>
  <c r="E51" i="3"/>
  <c r="F31" i="3"/>
  <c r="N84" i="3"/>
  <c r="E45" i="3"/>
  <c r="U7" i="11"/>
  <c r="C22" i="11"/>
  <c r="S14" i="11" s="1"/>
  <c r="D19" i="11"/>
  <c r="E33" i="3"/>
  <c r="E14" i="11"/>
  <c r="E16" i="11" s="1"/>
  <c r="U11" i="11" s="1"/>
  <c r="F7" i="11"/>
  <c r="F11" i="11"/>
  <c r="V8" i="11" s="1"/>
  <c r="E32" i="3"/>
  <c r="C95" i="3"/>
  <c r="G7" i="11" l="1"/>
  <c r="G9" i="11" s="1"/>
  <c r="W7" i="11" s="1"/>
  <c r="S15" i="11"/>
  <c r="S16" i="11" s="1"/>
  <c r="E58" i="3"/>
  <c r="I6" i="4" s="1"/>
  <c r="F45" i="3"/>
  <c r="F8" i="1"/>
  <c r="F18" i="1" s="1"/>
  <c r="G31" i="3"/>
  <c r="G48" i="3" s="1"/>
  <c r="F33" i="3"/>
  <c r="O84" i="3"/>
  <c r="F48" i="3"/>
  <c r="F51" i="3"/>
  <c r="F32" i="3"/>
  <c r="F14" i="11"/>
  <c r="F16" i="11" s="1"/>
  <c r="V11" i="11" s="1"/>
  <c r="C23" i="11"/>
  <c r="E19" i="11"/>
  <c r="C96" i="3"/>
  <c r="C97" i="3" s="1"/>
  <c r="D93" i="3" s="1"/>
  <c r="D94" i="3" s="1"/>
  <c r="F9" i="11"/>
  <c r="V7" i="11" s="1"/>
  <c r="V6" i="11"/>
  <c r="D22" i="11"/>
  <c r="T14" i="11" s="1"/>
  <c r="T15" i="11" s="1"/>
  <c r="D95" i="3" l="1"/>
  <c r="H22" i="6"/>
  <c r="W6" i="11"/>
  <c r="S18" i="11"/>
  <c r="S17" i="11"/>
  <c r="G33" i="3"/>
  <c r="G51" i="3"/>
  <c r="G8" i="1"/>
  <c r="G18" i="1" s="1"/>
  <c r="P84" i="3"/>
  <c r="G14" i="11"/>
  <c r="G16" i="11" s="1"/>
  <c r="W11" i="11" s="1"/>
  <c r="G45" i="3"/>
  <c r="G58" i="3" s="1"/>
  <c r="K6" i="4" s="1"/>
  <c r="G32" i="3"/>
  <c r="F58" i="3"/>
  <c r="J6" i="4" s="1"/>
  <c r="D23" i="11"/>
  <c r="T16" i="11"/>
  <c r="F19" i="11"/>
  <c r="E22" i="11"/>
  <c r="U14" i="11" s="1"/>
  <c r="U15" i="11" s="1"/>
  <c r="D96" i="3"/>
  <c r="D97" i="3" l="1"/>
  <c r="H17" i="4"/>
  <c r="H13" i="9" s="1"/>
  <c r="S19" i="11"/>
  <c r="C8" i="2" s="1"/>
  <c r="G13" i="4" s="1"/>
  <c r="T18" i="11"/>
  <c r="T17" i="11"/>
  <c r="G19" i="11"/>
  <c r="G22" i="11" s="1"/>
  <c r="W14" i="11" s="1"/>
  <c r="W15" i="11" s="1"/>
  <c r="E23" i="11"/>
  <c r="U16" i="11"/>
  <c r="F22" i="11"/>
  <c r="V14" i="11" s="1"/>
  <c r="V15" i="11" s="1"/>
  <c r="E93" i="3" l="1"/>
  <c r="E94" i="3" s="1"/>
  <c r="H27" i="5"/>
  <c r="T19" i="11"/>
  <c r="U17" i="11"/>
  <c r="U18" i="11"/>
  <c r="G23" i="11"/>
  <c r="D8" i="2"/>
  <c r="H13" i="4" s="1"/>
  <c r="W16" i="11"/>
  <c r="V16" i="11"/>
  <c r="F23" i="11"/>
  <c r="E95" i="3" l="1"/>
  <c r="E96" i="3" s="1"/>
  <c r="I22" i="6"/>
  <c r="U19" i="11"/>
  <c r="E8" i="2" s="1"/>
  <c r="I13" i="4" s="1"/>
  <c r="V17" i="11"/>
  <c r="V18" i="11"/>
  <c r="W18" i="11"/>
  <c r="W17" i="11"/>
  <c r="V19" i="11" l="1"/>
  <c r="F8" i="2" s="1"/>
  <c r="J13" i="4" s="1"/>
  <c r="E97" i="3"/>
  <c r="I17" i="4"/>
  <c r="I13" i="9" s="1"/>
  <c r="W19" i="11"/>
  <c r="G8" i="2" s="1"/>
  <c r="K13" i="4" s="1"/>
  <c r="F93" i="3" l="1"/>
  <c r="F94" i="3" s="1"/>
  <c r="I27" i="5"/>
  <c r="F95" i="3" l="1"/>
  <c r="F96" i="3" s="1"/>
  <c r="J22" i="6"/>
  <c r="G4" i="8"/>
  <c r="F97" i="3" l="1"/>
  <c r="J17" i="4"/>
  <c r="J13" i="9" s="1"/>
  <c r="C9" i="2"/>
  <c r="G93" i="3" l="1"/>
  <c r="G94" i="3" s="1"/>
  <c r="J27" i="5"/>
  <c r="D9" i="2"/>
  <c r="G10" i="9"/>
  <c r="G13" i="8"/>
  <c r="G14" i="8" s="1"/>
  <c r="H7" i="7"/>
  <c r="H6" i="7"/>
  <c r="J9" i="6"/>
  <c r="I9" i="6"/>
  <c r="H9" i="6"/>
  <c r="G9" i="6"/>
  <c r="K31" i="6"/>
  <c r="J31" i="6"/>
  <c r="I31" i="6"/>
  <c r="H31" i="6"/>
  <c r="G31" i="6"/>
  <c r="G17" i="6"/>
  <c r="K12" i="5"/>
  <c r="K14" i="5" s="1"/>
  <c r="J12" i="5"/>
  <c r="J14" i="5" s="1"/>
  <c r="I12" i="5"/>
  <c r="I14" i="5" s="1"/>
  <c r="H12" i="5"/>
  <c r="H14" i="5" s="1"/>
  <c r="G12" i="5"/>
  <c r="G14" i="5" s="1"/>
  <c r="K4" i="4"/>
  <c r="J4" i="10" s="1"/>
  <c r="G95" i="3" l="1"/>
  <c r="G96" i="3" s="1"/>
  <c r="K22" i="6"/>
  <c r="K15" i="9" s="1"/>
  <c r="E9" i="2"/>
  <c r="K7" i="4"/>
  <c r="K8" i="4" s="1"/>
  <c r="K25" i="6"/>
  <c r="H15" i="9"/>
  <c r="H8" i="7"/>
  <c r="G6" i="8" s="1"/>
  <c r="G7" i="8" s="1"/>
  <c r="G8" i="8" s="1"/>
  <c r="N4" i="3"/>
  <c r="H10" i="9"/>
  <c r="G97" i="3" l="1"/>
  <c r="K27" i="5" s="1"/>
  <c r="K17" i="4"/>
  <c r="F9" i="2"/>
  <c r="G9" i="8"/>
  <c r="G20" i="8"/>
  <c r="G22" i="8" s="1"/>
  <c r="F4" i="9" s="1"/>
  <c r="I17" i="9" s="1"/>
  <c r="J15" i="9"/>
  <c r="J25" i="6"/>
  <c r="G4" i="4"/>
  <c r="I4" i="4"/>
  <c r="I25" i="6"/>
  <c r="I15" i="9"/>
  <c r="J4" i="4"/>
  <c r="H25" i="6"/>
  <c r="H4" i="4"/>
  <c r="G15" i="9"/>
  <c r="G25" i="6"/>
  <c r="G30" i="5"/>
  <c r="O4" i="3"/>
  <c r="K13" i="9" l="1"/>
  <c r="K9" i="6"/>
  <c r="G9" i="2"/>
  <c r="J17" i="9"/>
  <c r="K17" i="9"/>
  <c r="G17" i="9"/>
  <c r="H17" i="9"/>
  <c r="F4" i="10"/>
  <c r="G7" i="4"/>
  <c r="G8" i="4" s="1"/>
  <c r="I7" i="4"/>
  <c r="I8" i="4" s="1"/>
  <c r="H4" i="10"/>
  <c r="I5" i="4"/>
  <c r="G4" i="10"/>
  <c r="H5" i="4"/>
  <c r="H7" i="4"/>
  <c r="H8" i="4" s="1"/>
  <c r="I10" i="9"/>
  <c r="N2" i="3"/>
  <c r="I4" i="10"/>
  <c r="K5" i="4"/>
  <c r="J5" i="4"/>
  <c r="J7" i="4"/>
  <c r="J8" i="4" s="1"/>
  <c r="H30" i="5"/>
  <c r="J5" i="10" l="1"/>
  <c r="I5" i="10"/>
  <c r="H5" i="10"/>
  <c r="O2" i="3"/>
  <c r="K10" i="9" s="1"/>
  <c r="J10" i="9"/>
  <c r="G5" i="10"/>
  <c r="I30" i="5" l="1"/>
  <c r="J30" i="5" l="1"/>
  <c r="K30" i="5" l="1"/>
  <c r="C10" i="2" l="1"/>
  <c r="C11" i="2" s="1"/>
  <c r="G9" i="4" l="1"/>
  <c r="H9" i="4"/>
  <c r="D10" i="2"/>
  <c r="D11" i="2" s="1"/>
  <c r="K5" i="3" l="1"/>
  <c r="K6" i="3" s="1"/>
  <c r="K7" i="3" s="1"/>
  <c r="G14" i="9" s="1"/>
  <c r="G15" i="4"/>
  <c r="I9" i="4"/>
  <c r="E10" i="2"/>
  <c r="E11" i="2" s="1"/>
  <c r="L5" i="3"/>
  <c r="L6" i="3" s="1"/>
  <c r="H15" i="4"/>
  <c r="L7" i="3" l="1"/>
  <c r="H14" i="9" s="1"/>
  <c r="G18" i="4"/>
  <c r="G16" i="4"/>
  <c r="F7" i="10"/>
  <c r="F8" i="10" s="1"/>
  <c r="K9" i="4"/>
  <c r="G10" i="2"/>
  <c r="G11" i="2" s="1"/>
  <c r="H18" i="4"/>
  <c r="G7" i="10"/>
  <c r="G8" i="10" s="1"/>
  <c r="H16" i="4"/>
  <c r="J9" i="4"/>
  <c r="F10" i="2"/>
  <c r="F11" i="2" s="1"/>
  <c r="I15" i="4"/>
  <c r="M5" i="3"/>
  <c r="M6" i="3" s="1"/>
  <c r="M7" i="3" s="1"/>
  <c r="I14" i="9" s="1"/>
  <c r="K15" i="4" l="1"/>
  <c r="O5" i="3"/>
  <c r="O6" i="3" s="1"/>
  <c r="H21" i="4"/>
  <c r="H9" i="9"/>
  <c r="H19" i="4"/>
  <c r="J15" i="4"/>
  <c r="N5" i="3"/>
  <c r="N6" i="3" s="1"/>
  <c r="N7" i="3" s="1"/>
  <c r="J14" i="9" s="1"/>
  <c r="I18" i="4"/>
  <c r="H7" i="10"/>
  <c r="H8" i="10" s="1"/>
  <c r="I16" i="4"/>
  <c r="G21" i="4"/>
  <c r="G9" i="9"/>
  <c r="G19" i="4"/>
  <c r="G11" i="9" l="1"/>
  <c r="G12" i="9" s="1"/>
  <c r="H23" i="4"/>
  <c r="H20" i="5" s="1"/>
  <c r="H22" i="4"/>
  <c r="J18" i="4"/>
  <c r="J16" i="4"/>
  <c r="I7" i="10"/>
  <c r="I8" i="10" s="1"/>
  <c r="O7" i="3"/>
  <c r="K14" i="9" s="1"/>
  <c r="I21" i="4"/>
  <c r="I9" i="9"/>
  <c r="I19" i="4"/>
  <c r="H11" i="9"/>
  <c r="H12" i="9" s="1"/>
  <c r="G23" i="4"/>
  <c r="G20" i="5" s="1"/>
  <c r="G22" i="4"/>
  <c r="K18" i="4"/>
  <c r="K16" i="4"/>
  <c r="J7" i="10"/>
  <c r="J8" i="10" s="1"/>
  <c r="H16" i="9" l="1"/>
  <c r="H18" i="9" s="1"/>
  <c r="G16" i="9"/>
  <c r="G18" i="9" s="1"/>
  <c r="H24" i="4"/>
  <c r="G10" i="10" s="1"/>
  <c r="G11" i="10" s="1"/>
  <c r="G24" i="4"/>
  <c r="I11" i="9"/>
  <c r="I12" i="9" s="1"/>
  <c r="H12" i="6"/>
  <c r="I17" i="6" s="1"/>
  <c r="H21" i="5"/>
  <c r="K19" i="4"/>
  <c r="K9" i="9"/>
  <c r="K21" i="4"/>
  <c r="I23" i="4"/>
  <c r="I20" i="5" s="1"/>
  <c r="I22" i="4"/>
  <c r="J9" i="9"/>
  <c r="J21" i="4"/>
  <c r="J19" i="4"/>
  <c r="G12" i="6"/>
  <c r="H17" i="6" s="1"/>
  <c r="G21" i="5"/>
  <c r="I16" i="9" l="1"/>
  <c r="I18" i="9" s="1"/>
  <c r="H5" i="6"/>
  <c r="H13" i="6" s="1"/>
  <c r="H19" i="6" s="1"/>
  <c r="H32" i="6" s="1"/>
  <c r="H25" i="4"/>
  <c r="I24" i="4"/>
  <c r="I25" i="4" s="1"/>
  <c r="J23" i="4"/>
  <c r="J20" i="5" s="1"/>
  <c r="J22" i="4"/>
  <c r="I21" i="5"/>
  <c r="I12" i="6"/>
  <c r="J17" i="6" s="1"/>
  <c r="G5" i="6"/>
  <c r="G13" i="6" s="1"/>
  <c r="G19" i="6" s="1"/>
  <c r="F10" i="10"/>
  <c r="F11" i="10" s="1"/>
  <c r="G6" i="5"/>
  <c r="G25" i="4"/>
  <c r="J11" i="9"/>
  <c r="J12" i="9" s="1"/>
  <c r="K23" i="4"/>
  <c r="K20" i="5" s="1"/>
  <c r="K22" i="4"/>
  <c r="K11" i="9"/>
  <c r="K12" i="9" s="1"/>
  <c r="K16" i="9" s="1"/>
  <c r="G32" i="6" l="1"/>
  <c r="G34" i="6" s="1"/>
  <c r="J16" i="9"/>
  <c r="J18" i="9" s="1"/>
  <c r="H10" i="10"/>
  <c r="H11" i="10" s="1"/>
  <c r="I5" i="6"/>
  <c r="I13" i="6" s="1"/>
  <c r="I19" i="6" s="1"/>
  <c r="I32" i="6" s="1"/>
  <c r="K18" i="9"/>
  <c r="L16" i="9"/>
  <c r="L18" i="9" s="1"/>
  <c r="H6" i="5"/>
  <c r="G7" i="5"/>
  <c r="G23" i="5" s="1"/>
  <c r="K12" i="6"/>
  <c r="K21" i="5"/>
  <c r="J21" i="5"/>
  <c r="J12" i="6"/>
  <c r="K17" i="6" s="1"/>
  <c r="K24" i="4"/>
  <c r="J24" i="4"/>
  <c r="G33" i="5" l="1"/>
  <c r="G36" i="5" s="1"/>
  <c r="G38" i="5" s="1"/>
  <c r="G40" i="5" s="1"/>
  <c r="H33" i="6"/>
  <c r="H34" i="6" s="1"/>
  <c r="H33" i="5" s="1"/>
  <c r="H36" i="5" s="1"/>
  <c r="H38" i="5" s="1"/>
  <c r="F20" i="9"/>
  <c r="J25" i="4"/>
  <c r="I10" i="10"/>
  <c r="I11" i="10" s="1"/>
  <c r="J5" i="6"/>
  <c r="J13" i="6" s="1"/>
  <c r="J19" i="6" s="1"/>
  <c r="J32" i="6" s="1"/>
  <c r="J10" i="10"/>
  <c r="J11" i="10" s="1"/>
  <c r="K25" i="4"/>
  <c r="K5" i="6"/>
  <c r="K13" i="6" s="1"/>
  <c r="K19" i="6" s="1"/>
  <c r="K32" i="6" s="1"/>
  <c r="I6" i="5"/>
  <c r="H7" i="5"/>
  <c r="H23" i="5" s="1"/>
  <c r="F13" i="10" l="1"/>
  <c r="G20" i="9"/>
  <c r="I33" i="6"/>
  <c r="I34" i="6" s="1"/>
  <c r="J33" i="6" s="1"/>
  <c r="J34" i="6" s="1"/>
  <c r="H40" i="5"/>
  <c r="I7" i="5"/>
  <c r="I23" i="5" s="1"/>
  <c r="J6" i="5"/>
  <c r="F16" i="10" l="1"/>
  <c r="G13" i="10"/>
  <c r="F15" i="10"/>
  <c r="I33" i="5"/>
  <c r="I36" i="5" s="1"/>
  <c r="I38" i="5" s="1"/>
  <c r="I40" i="5" s="1"/>
  <c r="K33" i="6"/>
  <c r="K34" i="6" s="1"/>
  <c r="K33" i="5" s="1"/>
  <c r="K36" i="5" s="1"/>
  <c r="K38" i="5" s="1"/>
  <c r="J33" i="5"/>
  <c r="J36" i="5" s="1"/>
  <c r="J38" i="5" s="1"/>
  <c r="J7" i="5"/>
  <c r="J23" i="5" s="1"/>
  <c r="K6" i="5"/>
  <c r="K7" i="5" s="1"/>
  <c r="K23" i="5" s="1"/>
  <c r="G15" i="10" l="1"/>
  <c r="G16" i="10"/>
  <c r="K40" i="5"/>
  <c r="J4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aditya</author>
  </authors>
  <commentList>
    <comment ref="G4" authorId="0" shapeId="0" xr:uid="{00000000-0006-0000-0800-000001000000}">
      <text>
        <r>
          <rPr>
            <sz val="9"/>
            <color indexed="81"/>
            <rFont val="Tahoma"/>
            <family val="2"/>
          </rPr>
          <t xml:space="preserve">10Y Govt. Bond Yield India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Avenon Consultants</author>
  </authors>
  <commentList>
    <comment ref="A79" authorId="0" shapeId="0" xr:uid="{C9E73DA8-33CD-40A7-89E6-E28FE7A32B8F}">
      <text>
        <r>
          <rPr>
            <b/>
            <sz val="9"/>
            <color indexed="81"/>
            <rFont val="Tahoma"/>
            <family val="2"/>
          </rPr>
          <t>Avenon Consultants:</t>
        </r>
        <r>
          <rPr>
            <sz val="9"/>
            <color indexed="81"/>
            <rFont val="Tahoma"/>
            <family val="2"/>
          </rPr>
          <t xml:space="preserve">
Would be higher due to fund raise exercise &amp; then would be normal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Avenon Consultants</author>
  </authors>
  <commentList>
    <comment ref="B16" authorId="0" shapeId="0" xr:uid="{79B772DB-5BFB-4A57-927E-EFF3EBC3A2C8}">
      <text>
        <r>
          <rPr>
            <b/>
            <sz val="9"/>
            <color indexed="81"/>
            <rFont val="Tahoma"/>
            <family val="2"/>
          </rPr>
          <t>Avenon Consultants:</t>
        </r>
        <r>
          <rPr>
            <sz val="9"/>
            <color indexed="81"/>
            <rFont val="Tahoma"/>
            <family val="2"/>
          </rPr>
          <t xml:space="preserve">
1cr revenue from each </t>
        </r>
      </text>
    </comment>
  </commentList>
</comments>
</file>

<file path=xl/sharedStrings.xml><?xml version="1.0" encoding="utf-8"?>
<sst xmlns="http://schemas.openxmlformats.org/spreadsheetml/2006/main" count="461" uniqueCount="236">
  <si>
    <t>Particulars</t>
  </si>
  <si>
    <t>Total Revenue</t>
  </si>
  <si>
    <t>Marketing Expenses</t>
  </si>
  <si>
    <t>Office Rent</t>
  </si>
  <si>
    <t>Salary Expenses</t>
  </si>
  <si>
    <t>Total Expenses</t>
  </si>
  <si>
    <t>Tax Rate</t>
  </si>
  <si>
    <t>Working Capital %</t>
  </si>
  <si>
    <t>Working Capital Requirement</t>
  </si>
  <si>
    <t>Changes in Working Capital</t>
  </si>
  <si>
    <t>Expenses</t>
  </si>
  <si>
    <t>All values in INR</t>
  </si>
  <si>
    <t>Revenues</t>
  </si>
  <si>
    <t>Income Statement</t>
  </si>
  <si>
    <t>in Inr</t>
  </si>
  <si>
    <t>Revenue</t>
  </si>
  <si>
    <t>Revenue Growth Rate</t>
  </si>
  <si>
    <t>Direct Expenses</t>
  </si>
  <si>
    <t>Gross Profit</t>
  </si>
  <si>
    <t>Gross Margin</t>
  </si>
  <si>
    <t>Indirect Expenses</t>
  </si>
  <si>
    <t>EBITDA</t>
  </si>
  <si>
    <t>EBITDA Margin</t>
  </si>
  <si>
    <t>Depreciation &amp; Amortisation</t>
  </si>
  <si>
    <t>EBIT</t>
  </si>
  <si>
    <t>EBIT Margin</t>
  </si>
  <si>
    <t>Interest Expense</t>
  </si>
  <si>
    <t>PBT</t>
  </si>
  <si>
    <t>PBT Margin</t>
  </si>
  <si>
    <t xml:space="preserve">Tax </t>
  </si>
  <si>
    <t>PAT</t>
  </si>
  <si>
    <t>PAT Margin</t>
  </si>
  <si>
    <t>Assets</t>
  </si>
  <si>
    <t>Balance Sheet</t>
  </si>
  <si>
    <t>Equity &amp; Liability</t>
  </si>
  <si>
    <t>Share Capital</t>
  </si>
  <si>
    <t>Reserves &amp; Surplus</t>
  </si>
  <si>
    <t>Sub-Total</t>
  </si>
  <si>
    <t>Non Current Liabilities</t>
  </si>
  <si>
    <t>a) Other Long Term Liabilities</t>
  </si>
  <si>
    <t>b) Long Term Provisions</t>
  </si>
  <si>
    <t>Deferred Tax Liability</t>
  </si>
  <si>
    <t>Total</t>
  </si>
  <si>
    <t>Current Liabilities</t>
  </si>
  <si>
    <t>Short Term Borrowing</t>
  </si>
  <si>
    <t>Sundry Creditors</t>
  </si>
  <si>
    <t>Accrued expenses &amp; Other Current Liabilities</t>
  </si>
  <si>
    <t>Tax Provisions</t>
  </si>
  <si>
    <t>Total Equity &amp; Liability</t>
  </si>
  <si>
    <t>Fixed Assets</t>
  </si>
  <si>
    <t>Tangible &amp; Intangible</t>
  </si>
  <si>
    <t>Deferred Tax Asset</t>
  </si>
  <si>
    <t>Other Non Current Assets</t>
  </si>
  <si>
    <t>Current Assets</t>
  </si>
  <si>
    <t>Cash &amp; Bank Balance</t>
  </si>
  <si>
    <t>Trade Receivables</t>
  </si>
  <si>
    <t>Other Current Assets</t>
  </si>
  <si>
    <t>Total Assets</t>
  </si>
  <si>
    <t>Check</t>
  </si>
  <si>
    <t>Cash Flow Statement</t>
  </si>
  <si>
    <t>A. Cash Flow From Operating Activities</t>
  </si>
  <si>
    <t>Net Profit / Loss after Tax</t>
  </si>
  <si>
    <t>Adjustments for :</t>
  </si>
  <si>
    <t>Non cash &amp; Non Operating Adjustments</t>
  </si>
  <si>
    <t>Deferred Tax</t>
  </si>
  <si>
    <t>Finance costs</t>
  </si>
  <si>
    <t>Non Operating Income</t>
  </si>
  <si>
    <t>Provision for Tax</t>
  </si>
  <si>
    <t>Operating Profit / Loss Before Working Capital Changes</t>
  </si>
  <si>
    <t>Changes in Working Capital :</t>
  </si>
  <si>
    <t>Trades Receivable</t>
  </si>
  <si>
    <t>Tax Paid</t>
  </si>
  <si>
    <t>Other Current Liabilities</t>
  </si>
  <si>
    <t>Cash Flow from / (used in) Operating Activities (A)</t>
  </si>
  <si>
    <t>B. Cash Flow From Investing Activities</t>
  </si>
  <si>
    <t>Capex</t>
  </si>
  <si>
    <t>Other Income</t>
  </si>
  <si>
    <t>Cash Flow from / (used in) Investing Activities (B)</t>
  </si>
  <si>
    <t>C. Cash Flow From Financing Activities</t>
  </si>
  <si>
    <t>Proceeds from issue of equity shares</t>
  </si>
  <si>
    <t>Proceeds / Repayments of Long term Borrowings</t>
  </si>
  <si>
    <t>Finance Costs</t>
  </si>
  <si>
    <t>Cash Flow From Financing Activities C)</t>
  </si>
  <si>
    <t>Net Increase / Decrease in Cash From All Activities (A+B+C)</t>
  </si>
  <si>
    <t>Cash at the beginning of the year</t>
  </si>
  <si>
    <t>Closing Balance of Cash</t>
  </si>
  <si>
    <t>Market Return</t>
  </si>
  <si>
    <t xml:space="preserve">Date </t>
  </si>
  <si>
    <t>Value</t>
  </si>
  <si>
    <t>Base Value of Sensex</t>
  </si>
  <si>
    <t>Current Sensex Value</t>
  </si>
  <si>
    <t>Number of Years</t>
  </si>
  <si>
    <t>Sensex Multiple current over Base Year</t>
  </si>
  <si>
    <t>Average Market Return</t>
  </si>
  <si>
    <t>Key Value Assumptions</t>
  </si>
  <si>
    <t>Cost of Equity</t>
  </si>
  <si>
    <t>Risk-free rate (Rf)</t>
  </si>
  <si>
    <t>Unlevered Equity Beta</t>
  </si>
  <si>
    <t>Equity Risk Premium</t>
  </si>
  <si>
    <t>Levered Cost of equity (Rf+b(Rm-Rf)</t>
  </si>
  <si>
    <t>Adjusted Cost of Equity</t>
  </si>
  <si>
    <t>Cost of Debt</t>
  </si>
  <si>
    <t>Pre-Tax Cost of Debt</t>
  </si>
  <si>
    <t>Post-Tax Cost of Debt</t>
  </si>
  <si>
    <t>Target Capital Structure</t>
  </si>
  <si>
    <t xml:space="preserve">Debt </t>
  </si>
  <si>
    <t xml:space="preserve">Equity </t>
  </si>
  <si>
    <t>Weighted Average Cost of Capital</t>
  </si>
  <si>
    <t>Specefic Company Risk Premium</t>
  </si>
  <si>
    <t>Adjusted WAAC</t>
  </si>
  <si>
    <t>Terminal Growth Rate</t>
  </si>
  <si>
    <t>DCF Valuation</t>
  </si>
  <si>
    <t>Weighted Average Cost of capital</t>
  </si>
  <si>
    <t>Terminal Growth rate</t>
  </si>
  <si>
    <t>Terminal Period</t>
  </si>
  <si>
    <t>Year</t>
  </si>
  <si>
    <t xml:space="preserve">Less: </t>
  </si>
  <si>
    <t>Tax Expense</t>
  </si>
  <si>
    <t>NOPAT</t>
  </si>
  <si>
    <t>Add:</t>
  </si>
  <si>
    <t>Increase / Decrease in Working Capital</t>
  </si>
  <si>
    <t>Free Cash Flows</t>
  </si>
  <si>
    <t>Present Value Factor</t>
  </si>
  <si>
    <t>Present Value of Free Cash Flows</t>
  </si>
  <si>
    <t>Enterprise value</t>
  </si>
  <si>
    <t>Summary</t>
  </si>
  <si>
    <t>Fund Allocation Table</t>
  </si>
  <si>
    <t>Revenue %</t>
  </si>
  <si>
    <t>EBITDA %</t>
  </si>
  <si>
    <t>PAT %</t>
  </si>
  <si>
    <t>Ask Amount</t>
  </si>
  <si>
    <t>Pre-Money Dilution</t>
  </si>
  <si>
    <t>Post-Money Dilution</t>
  </si>
  <si>
    <t>Salary</t>
  </si>
  <si>
    <t>HR</t>
  </si>
  <si>
    <t>Legal &amp; Accounts</t>
  </si>
  <si>
    <t>Payroll</t>
  </si>
  <si>
    <t>Web, App &amp; Server Cost</t>
  </si>
  <si>
    <t xml:space="preserve">Note: </t>
  </si>
  <si>
    <t>Marketing Expense as % of Revenue</t>
  </si>
  <si>
    <t>Note:</t>
  </si>
  <si>
    <t>Market return analysis is done to determine appropriate discounting factor.</t>
  </si>
  <si>
    <t>this analysis shows average annual return offered by sensesx since its inception.</t>
  </si>
  <si>
    <t>Average market return is the minimum required return for an investor</t>
  </si>
  <si>
    <t>Company risk premium is added to WACC (minimum reqired return for investor) to take size risk premium, Marketability&amp; Liquidity premiums into account</t>
  </si>
  <si>
    <t>Adjusted WAAC is used as discounting fator in DCF.</t>
  </si>
  <si>
    <t>Present Value Factor is Time Value of Money.</t>
  </si>
  <si>
    <t>Free cash flows are multiplied by Present value factor to get present value of cash flows</t>
  </si>
  <si>
    <t>Terminal value of company is determined by using gordon growth formula.</t>
  </si>
  <si>
    <t>Terminal Growth rate is rate at which cash flows of the company grow after year 5 till infinity.</t>
  </si>
  <si>
    <t>Ask amount is determined for an investment period of 2 years.</t>
  </si>
  <si>
    <t>Fund allocation table shows how the ask amount is utilised.</t>
  </si>
  <si>
    <t>pre money dilution is % of stake to be given away inreturn for the ask amount.</t>
  </si>
  <si>
    <t>Directors</t>
  </si>
  <si>
    <t>Teachers</t>
  </si>
  <si>
    <t>Counselor</t>
  </si>
  <si>
    <t>Technical Staff</t>
  </si>
  <si>
    <t>Admin</t>
  </si>
  <si>
    <t>Marketing &amp; Sales</t>
  </si>
  <si>
    <t>Miscellaneous</t>
  </si>
  <si>
    <t>Government</t>
  </si>
  <si>
    <t>Private- Unaided</t>
  </si>
  <si>
    <t>Private Aided</t>
  </si>
  <si>
    <t>Total School Going Students</t>
  </si>
  <si>
    <t>Fees&gt;50000  (10%)</t>
  </si>
  <si>
    <t>Total Available Market (30%)</t>
  </si>
  <si>
    <t>Serviceable Available Market (30%)</t>
  </si>
  <si>
    <t>Serviceable Obtainable Market (20%) for next 5 years</t>
  </si>
  <si>
    <t>22-23</t>
  </si>
  <si>
    <t>23-24</t>
  </si>
  <si>
    <t>24-25</t>
  </si>
  <si>
    <t>25-26</t>
  </si>
  <si>
    <t>26-27</t>
  </si>
  <si>
    <t>Growth</t>
  </si>
  <si>
    <t>Nursery, KG &amp; I</t>
  </si>
  <si>
    <t>Grade II-V</t>
  </si>
  <si>
    <t>Grade VI-VIII</t>
  </si>
  <si>
    <t>Students</t>
  </si>
  <si>
    <t>Total Students</t>
  </si>
  <si>
    <t>In Billion</t>
  </si>
  <si>
    <t xml:space="preserve">Growth Rate </t>
  </si>
  <si>
    <t>Retention Rate</t>
  </si>
  <si>
    <t>New Additions</t>
  </si>
  <si>
    <t xml:space="preserve">Total </t>
  </si>
  <si>
    <t>Payment Gateway Charges</t>
  </si>
  <si>
    <t>Software Expenses</t>
  </si>
  <si>
    <t>Technical Service Charges</t>
  </si>
  <si>
    <t>Web Hosting Charges</t>
  </si>
  <si>
    <t>After books tie up Expense of LMS/ teacher account-All(April 24 onwards)</t>
  </si>
  <si>
    <t>Office Expenses</t>
  </si>
  <si>
    <t>Rent</t>
  </si>
  <si>
    <t>Electricity</t>
  </si>
  <si>
    <t>Current</t>
  </si>
  <si>
    <t>Depreciation Schedule</t>
  </si>
  <si>
    <t>I) Opening Block</t>
  </si>
  <si>
    <t>ii) Net Additions</t>
  </si>
  <si>
    <t>(I+ii)Total Assets</t>
  </si>
  <si>
    <t xml:space="preserve">(-) Depreciation </t>
  </si>
  <si>
    <t>Closing Block</t>
  </si>
  <si>
    <t xml:space="preserve">Data as on 2020 in lakhs </t>
  </si>
  <si>
    <t>Growth Rate</t>
  </si>
  <si>
    <t>Bifurcation</t>
  </si>
  <si>
    <t>Fees / Student</t>
  </si>
  <si>
    <t>Transfer to Next Grade</t>
  </si>
  <si>
    <t>After books tie up Expense of LMS/ teacher account (Nursery, KG &amp; I)</t>
  </si>
  <si>
    <t>Repair and Maintenance</t>
  </si>
  <si>
    <t>Miscellaneous Expenses</t>
  </si>
  <si>
    <t>Telephone Expenses</t>
  </si>
  <si>
    <t>Postage and Courier Charges</t>
  </si>
  <si>
    <t>Professional Expenses</t>
  </si>
  <si>
    <t>Audit fees</t>
  </si>
  <si>
    <t>Legal and Professional Fees</t>
  </si>
  <si>
    <t>Advertisement Expenses</t>
  </si>
  <si>
    <t>CAC</t>
  </si>
  <si>
    <t>Dep Rate</t>
  </si>
  <si>
    <t>Net Addition in Depreciable Assets</t>
  </si>
  <si>
    <t>No. of students</t>
  </si>
  <si>
    <t>No. of Students/Teacher</t>
  </si>
  <si>
    <t>No. of Teacher/Cordinator</t>
  </si>
  <si>
    <t>No. of Students/Counselor</t>
  </si>
  <si>
    <t>Academic Cordinator</t>
  </si>
  <si>
    <t>Revenue Target</t>
  </si>
  <si>
    <t>No. Of Employees/HR</t>
  </si>
  <si>
    <t>Total Employees</t>
  </si>
  <si>
    <t>Basis</t>
  </si>
  <si>
    <t>Payroll Expense</t>
  </si>
  <si>
    <t>Salaries/ Month</t>
  </si>
  <si>
    <t>Salaries/annum</t>
  </si>
  <si>
    <t>Staff Welfare(2%)</t>
  </si>
  <si>
    <t>LMS ( Only till March 23) (II to VIII + Discovery Education)</t>
  </si>
  <si>
    <t>Viva tie-up books(All) April 23 onwards</t>
  </si>
  <si>
    <t>Revenue from B2C  Admissions</t>
  </si>
  <si>
    <t>Revenue from other Sources</t>
  </si>
  <si>
    <t>Incentive/ Performance Bonus (12%)</t>
  </si>
  <si>
    <t>As a % of revenue</t>
  </si>
  <si>
    <t>Branding, Promotion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</si>
</sst>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 * #,##0_ ;_ * \-#,##0_ ;_ * &quot;-&quot;??_ ;_ @_ "/>
    <numFmt numFmtId="166" formatCode="_ * #,##0.000_ ;_ * \-#,##0.000_ ;_ * &quot;-&quot;??_ ;_ @_ "/>
    <numFmt numFmtId="167" formatCode="0.000%"/>
    <numFmt numFmtId="168" formatCode="m/d/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rgb="FFFFE598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3">
    <xf numFmtId="0" fontId="0" fillId="0" borderId="0" xfId="0"/>
    <xf numFmtId="9" fontId="0" fillId="0" borderId="0" xfId="2" applyFont="1"/>
    <xf numFmtId="164" fontId="0" fillId="0" borderId="0" xfId="1" applyFont="1"/>
    <xf numFmtId="165" fontId="0" fillId="0" borderId="0" xfId="1" applyNumberFormat="1" applyFont="1"/>
    <xf numFmtId="165" fontId="0" fillId="0" borderId="0" xfId="0" applyNumberFormat="1"/>
    <xf numFmtId="166" fontId="0" fillId="0" borderId="0" xfId="1" applyNumberFormat="1" applyFont="1"/>
    <xf numFmtId="165" fontId="0" fillId="0" borderId="4" xfId="1" applyNumberFormat="1" applyFont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9" fontId="0" fillId="0" borderId="0" xfId="2" applyFont="1" applyBorder="1"/>
    <xf numFmtId="9" fontId="0" fillId="0" borderId="5" xfId="2" applyFont="1" applyBorder="1"/>
    <xf numFmtId="165" fontId="3" fillId="0" borderId="6" xfId="1" applyNumberFormat="1" applyFont="1" applyBorder="1"/>
    <xf numFmtId="165" fontId="3" fillId="0" borderId="7" xfId="1" applyNumberFormat="1" applyFont="1" applyBorder="1"/>
    <xf numFmtId="165" fontId="3" fillId="0" borderId="8" xfId="1" applyNumberFormat="1" applyFont="1" applyBorder="1"/>
    <xf numFmtId="165" fontId="3" fillId="0" borderId="4" xfId="1" applyNumberFormat="1" applyFont="1" applyBorder="1"/>
    <xf numFmtId="165" fontId="3" fillId="0" borderId="0" xfId="1" applyNumberFormat="1" applyFont="1" applyBorder="1"/>
    <xf numFmtId="165" fontId="3" fillId="0" borderId="5" xfId="1" applyNumberFormat="1" applyFont="1" applyBorder="1"/>
    <xf numFmtId="0" fontId="3" fillId="0" borderId="0" xfId="0" applyFont="1"/>
    <xf numFmtId="0" fontId="0" fillId="0" borderId="4" xfId="0" applyBorder="1"/>
    <xf numFmtId="0" fontId="3" fillId="0" borderId="6" xfId="0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9" fontId="0" fillId="0" borderId="7" xfId="2" applyFont="1" applyBorder="1"/>
    <xf numFmtId="9" fontId="0" fillId="0" borderId="8" xfId="2" applyFont="1" applyBorder="1"/>
    <xf numFmtId="0" fontId="0" fillId="0" borderId="7" xfId="0" applyBorder="1"/>
    <xf numFmtId="165" fontId="0" fillId="0" borderId="7" xfId="0" applyNumberFormat="1" applyBorder="1"/>
    <xf numFmtId="165" fontId="0" fillId="0" borderId="8" xfId="0" applyNumberForma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165" fontId="5" fillId="0" borderId="0" xfId="1" applyNumberFormat="1" applyFont="1"/>
    <xf numFmtId="9" fontId="0" fillId="0" borderId="0" xfId="2" applyNumberFormat="1" applyFont="1"/>
    <xf numFmtId="0" fontId="8" fillId="0" borderId="0" xfId="0" applyFont="1"/>
    <xf numFmtId="0" fontId="2" fillId="2" borderId="1" xfId="0" applyFont="1" applyFill="1" applyBorder="1" applyAlignment="1">
      <alignment horizontal="left"/>
    </xf>
    <xf numFmtId="0" fontId="9" fillId="2" borderId="2" xfId="0" applyFont="1" applyFill="1" applyBorder="1"/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4" borderId="0" xfId="0" applyFont="1" applyFill="1" applyAlignment="1">
      <alignment horizontal="right"/>
    </xf>
    <xf numFmtId="0" fontId="3" fillId="0" borderId="4" xfId="0" applyFont="1" applyBorder="1"/>
    <xf numFmtId="0" fontId="3" fillId="0" borderId="0" xfId="0" applyFont="1" applyBorder="1"/>
    <xf numFmtId="165" fontId="0" fillId="4" borderId="0" xfId="1" applyNumberFormat="1" applyFont="1" applyFill="1"/>
    <xf numFmtId="0" fontId="8" fillId="0" borderId="4" xfId="0" applyFont="1" applyBorder="1"/>
    <xf numFmtId="164" fontId="0" fillId="0" borderId="0" xfId="1" applyFont="1" applyBorder="1"/>
    <xf numFmtId="9" fontId="8" fillId="0" borderId="0" xfId="2" applyFont="1" applyBorder="1"/>
    <xf numFmtId="9" fontId="8" fillId="0" borderId="5" xfId="2" applyFont="1" applyBorder="1"/>
    <xf numFmtId="9" fontId="8" fillId="4" borderId="0" xfId="2" applyFont="1" applyFill="1"/>
    <xf numFmtId="0" fontId="3" fillId="3" borderId="9" xfId="0" applyFont="1" applyFill="1" applyBorder="1"/>
    <xf numFmtId="0" fontId="0" fillId="3" borderId="10" xfId="0" applyFill="1" applyBorder="1"/>
    <xf numFmtId="165" fontId="3" fillId="3" borderId="10" xfId="1" applyNumberFormat="1" applyFont="1" applyFill="1" applyBorder="1"/>
    <xf numFmtId="165" fontId="3" fillId="3" borderId="11" xfId="1" applyNumberFormat="1" applyFont="1" applyFill="1" applyBorder="1"/>
    <xf numFmtId="164" fontId="3" fillId="4" borderId="0" xfId="1" applyFont="1" applyFill="1"/>
    <xf numFmtId="0" fontId="0" fillId="4" borderId="0" xfId="0" applyFill="1" applyBorder="1"/>
    <xf numFmtId="0" fontId="3" fillId="4" borderId="4" xfId="0" applyFont="1" applyFill="1" applyBorder="1"/>
    <xf numFmtId="0" fontId="3" fillId="4" borderId="0" xfId="0" applyFont="1" applyFill="1" applyBorder="1"/>
    <xf numFmtId="165" fontId="3" fillId="0" borderId="0" xfId="0" applyNumberFormat="1" applyFont="1" applyBorder="1"/>
    <xf numFmtId="165" fontId="3" fillId="0" borderId="5" xfId="0" applyNumberFormat="1" applyFont="1" applyBorder="1"/>
    <xf numFmtId="165" fontId="0" fillId="4" borderId="0" xfId="0" applyNumberFormat="1" applyFill="1"/>
    <xf numFmtId="0" fontId="8" fillId="4" borderId="4" xfId="0" applyFont="1" applyFill="1" applyBorder="1"/>
    <xf numFmtId="0" fontId="10" fillId="4" borderId="0" xfId="0" applyFont="1" applyFill="1" applyBorder="1"/>
    <xf numFmtId="0" fontId="3" fillId="3" borderId="10" xfId="0" applyFont="1" applyFill="1" applyBorder="1"/>
    <xf numFmtId="165" fontId="3" fillId="3" borderId="10" xfId="0" applyNumberFormat="1" applyFont="1" applyFill="1" applyBorder="1"/>
    <xf numFmtId="165" fontId="3" fillId="3" borderId="11" xfId="0" applyNumberFormat="1" applyFont="1" applyFill="1" applyBorder="1"/>
    <xf numFmtId="165" fontId="3" fillId="4" borderId="0" xfId="0" applyNumberFormat="1" applyFont="1" applyFill="1"/>
    <xf numFmtId="0" fontId="0" fillId="4" borderId="4" xfId="0" applyFill="1" applyBorder="1"/>
    <xf numFmtId="0" fontId="0" fillId="0" borderId="4" xfId="0" applyFont="1" applyBorder="1"/>
    <xf numFmtId="0" fontId="8" fillId="4" borderId="0" xfId="0" applyFont="1" applyFill="1" applyBorder="1"/>
    <xf numFmtId="9" fontId="8" fillId="4" borderId="0" xfId="2" applyFont="1" applyFill="1" applyBorder="1"/>
    <xf numFmtId="9" fontId="8" fillId="4" borderId="5" xfId="2" applyFont="1" applyFill="1" applyBorder="1"/>
    <xf numFmtId="9" fontId="11" fillId="4" borderId="0" xfId="2" applyFont="1" applyFill="1"/>
    <xf numFmtId="164" fontId="0" fillId="0" borderId="5" xfId="1" applyFont="1" applyBorder="1"/>
    <xf numFmtId="164" fontId="0" fillId="4" borderId="0" xfId="1" applyFont="1" applyFill="1"/>
    <xf numFmtId="0" fontId="8" fillId="0" borderId="0" xfId="0" applyFont="1" applyBorder="1"/>
    <xf numFmtId="165" fontId="0" fillId="0" borderId="0" xfId="0" applyNumberFormat="1" applyBorder="1"/>
    <xf numFmtId="165" fontId="0" fillId="0" borderId="5" xfId="0" applyNumberFormat="1" applyBorder="1"/>
    <xf numFmtId="0" fontId="8" fillId="4" borderId="6" xfId="0" applyFont="1" applyFill="1" applyBorder="1"/>
    <xf numFmtId="0" fontId="8" fillId="4" borderId="7" xfId="0" applyFont="1" applyFill="1" applyBorder="1"/>
    <xf numFmtId="9" fontId="8" fillId="4" borderId="7" xfId="2" applyFont="1" applyFill="1" applyBorder="1"/>
    <xf numFmtId="9" fontId="8" fillId="4" borderId="8" xfId="2" applyFont="1" applyFill="1" applyBorder="1"/>
    <xf numFmtId="0" fontId="11" fillId="0" borderId="0" xfId="0" applyFont="1"/>
    <xf numFmtId="9" fontId="11" fillId="0" borderId="0" xfId="2" applyFont="1"/>
    <xf numFmtId="0" fontId="0" fillId="2" borderId="2" xfId="0" applyFill="1" applyBorder="1"/>
    <xf numFmtId="0" fontId="0" fillId="0" borderId="12" xfId="0" applyBorder="1"/>
    <xf numFmtId="165" fontId="0" fillId="0" borderId="13" xfId="1" applyNumberFormat="1" applyFont="1" applyBorder="1"/>
    <xf numFmtId="165" fontId="0" fillId="0" borderId="14" xfId="1" applyNumberFormat="1" applyFont="1" applyBorder="1"/>
    <xf numFmtId="0" fontId="3" fillId="0" borderId="4" xfId="0" applyFont="1" applyFill="1" applyBorder="1"/>
    <xf numFmtId="164" fontId="0" fillId="0" borderId="13" xfId="1" applyFont="1" applyBorder="1"/>
    <xf numFmtId="164" fontId="0" fillId="0" borderId="14" xfId="1" applyFont="1" applyBorder="1"/>
    <xf numFmtId="0" fontId="0" fillId="0" borderId="12" xfId="0" applyFill="1" applyBorder="1"/>
    <xf numFmtId="0" fontId="0" fillId="0" borderId="4" xfId="0" applyFont="1" applyFill="1" applyBorder="1"/>
    <xf numFmtId="0" fontId="0" fillId="0" borderId="12" xfId="0" applyFont="1" applyFill="1" applyBorder="1"/>
    <xf numFmtId="0" fontId="0" fillId="0" borderId="12" xfId="0" applyFont="1" applyBorder="1"/>
    <xf numFmtId="0" fontId="3" fillId="3" borderId="15" xfId="0" applyFont="1" applyFill="1" applyBorder="1"/>
    <xf numFmtId="0" fontId="0" fillId="3" borderId="16" xfId="0" applyFill="1" applyBorder="1"/>
    <xf numFmtId="165" fontId="0" fillId="3" borderId="16" xfId="1" applyNumberFormat="1" applyFont="1" applyFill="1" applyBorder="1"/>
    <xf numFmtId="165" fontId="0" fillId="3" borderId="17" xfId="1" applyNumberFormat="1" applyFont="1" applyFill="1" applyBorder="1"/>
    <xf numFmtId="0" fontId="0" fillId="4" borderId="0" xfId="0" applyFill="1"/>
    <xf numFmtId="0" fontId="0" fillId="0" borderId="13" xfId="0" applyBorder="1"/>
    <xf numFmtId="165" fontId="0" fillId="4" borderId="0" xfId="1" applyNumberFormat="1" applyFont="1" applyFill="1" applyBorder="1"/>
    <xf numFmtId="0" fontId="0" fillId="0" borderId="4" xfId="0" applyFill="1" applyBorder="1"/>
    <xf numFmtId="164" fontId="0" fillId="4" borderId="0" xfId="1" applyFont="1" applyFill="1" applyBorder="1"/>
    <xf numFmtId="0" fontId="0" fillId="3" borderId="9" xfId="0" applyFill="1" applyBorder="1"/>
    <xf numFmtId="165" fontId="0" fillId="3" borderId="10" xfId="1" applyNumberFormat="1" applyFont="1" applyFill="1" applyBorder="1"/>
    <xf numFmtId="165" fontId="0" fillId="3" borderId="11" xfId="1" applyNumberFormat="1" applyFont="1" applyFill="1" applyBorder="1"/>
    <xf numFmtId="165" fontId="0" fillId="4" borderId="0" xfId="0" applyNumberFormat="1" applyFill="1" applyBorder="1"/>
    <xf numFmtId="165" fontId="0" fillId="3" borderId="10" xfId="0" applyNumberFormat="1" applyFill="1" applyBorder="1"/>
    <xf numFmtId="165" fontId="0" fillId="3" borderId="11" xfId="0" applyNumberFormat="1" applyFill="1" applyBorder="1"/>
    <xf numFmtId="164" fontId="0" fillId="3" borderId="10" xfId="0" applyNumberFormat="1" applyFill="1" applyBorder="1"/>
    <xf numFmtId="164" fontId="0" fillId="3" borderId="11" xfId="0" applyNumberFormat="1" applyFill="1" applyBorder="1"/>
    <xf numFmtId="164" fontId="0" fillId="4" borderId="0" xfId="0" applyNumberFormat="1" applyFill="1" applyBorder="1"/>
    <xf numFmtId="164" fontId="0" fillId="0" borderId="0" xfId="0" applyNumberFormat="1" applyFill="1" applyBorder="1"/>
    <xf numFmtId="0" fontId="3" fillId="3" borderId="16" xfId="0" applyFont="1" applyFill="1" applyBorder="1"/>
    <xf numFmtId="165" fontId="3" fillId="3" borderId="16" xfId="0" applyNumberFormat="1" applyFont="1" applyFill="1" applyBorder="1"/>
    <xf numFmtId="165" fontId="3" fillId="3" borderId="17" xfId="0" applyNumberFormat="1" applyFont="1" applyFill="1" applyBorder="1"/>
    <xf numFmtId="0" fontId="2" fillId="2" borderId="1" xfId="0" applyFont="1" applyFill="1" applyBorder="1"/>
    <xf numFmtId="1" fontId="0" fillId="0" borderId="5" xfId="0" applyNumberFormat="1" applyBorder="1"/>
    <xf numFmtId="10" fontId="3" fillId="5" borderId="8" xfId="2" applyNumberFormat="1" applyFont="1" applyFill="1" applyBorder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9" fontId="0" fillId="0" borderId="5" xfId="0" applyNumberFormat="1" applyBorder="1"/>
    <xf numFmtId="10" fontId="0" fillId="0" borderId="5" xfId="0" applyNumberFormat="1" applyBorder="1"/>
    <xf numFmtId="10" fontId="0" fillId="5" borderId="5" xfId="0" applyNumberFormat="1" applyFill="1" applyBorder="1"/>
    <xf numFmtId="9" fontId="0" fillId="5" borderId="8" xfId="0" applyNumberFormat="1" applyFill="1" applyBorder="1"/>
    <xf numFmtId="0" fontId="0" fillId="0" borderId="18" xfId="0" applyBorder="1"/>
    <xf numFmtId="10" fontId="0" fillId="0" borderId="19" xfId="0" applyNumberFormat="1" applyBorder="1"/>
    <xf numFmtId="0" fontId="0" fillId="0" borderId="20" xfId="0" applyBorder="1"/>
    <xf numFmtId="9" fontId="0" fillId="0" borderId="21" xfId="0" applyNumberFormat="1" applyBorder="1"/>
    <xf numFmtId="0" fontId="4" fillId="2" borderId="2" xfId="0" applyFont="1" applyFill="1" applyBorder="1"/>
    <xf numFmtId="9" fontId="0" fillId="0" borderId="0" xfId="0" applyNumberFormat="1" applyBorder="1"/>
    <xf numFmtId="165" fontId="0" fillId="0" borderId="10" xfId="0" applyNumberFormat="1" applyBorder="1"/>
    <xf numFmtId="165" fontId="0" fillId="0" borderId="11" xfId="0" applyNumberFormat="1" applyFill="1" applyBorder="1"/>
    <xf numFmtId="165" fontId="0" fillId="0" borderId="16" xfId="0" applyNumberFormat="1" applyBorder="1"/>
    <xf numFmtId="165" fontId="0" fillId="0" borderId="17" xfId="0" applyNumberFormat="1" applyBorder="1"/>
    <xf numFmtId="0" fontId="2" fillId="2" borderId="22" xfId="0" applyFont="1" applyFill="1" applyBorder="1"/>
    <xf numFmtId="165" fontId="2" fillId="2" borderId="23" xfId="0" applyNumberFormat="1" applyFont="1" applyFill="1" applyBorder="1"/>
    <xf numFmtId="0" fontId="14" fillId="2" borderId="1" xfId="0" applyFont="1" applyFill="1" applyBorder="1"/>
    <xf numFmtId="0" fontId="15" fillId="4" borderId="4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0" fontId="15" fillId="4" borderId="1" xfId="0" applyFont="1" applyFill="1" applyBorder="1"/>
    <xf numFmtId="165" fontId="3" fillId="0" borderId="3" xfId="1" applyNumberFormat="1" applyFont="1" applyBorder="1"/>
    <xf numFmtId="0" fontId="17" fillId="4" borderId="4" xfId="0" applyFont="1" applyFill="1" applyBorder="1"/>
    <xf numFmtId="10" fontId="0" fillId="0" borderId="5" xfId="2" applyNumberFormat="1" applyFont="1" applyBorder="1"/>
    <xf numFmtId="0" fontId="17" fillId="4" borderId="6" xfId="0" applyFont="1" applyFill="1" applyBorder="1"/>
    <xf numFmtId="10" fontId="0" fillId="0" borderId="8" xfId="2" applyNumberFormat="1" applyFont="1" applyBorder="1"/>
    <xf numFmtId="9" fontId="0" fillId="4" borderId="5" xfId="0" applyNumberFormat="1" applyFill="1" applyBorder="1"/>
    <xf numFmtId="165" fontId="1" fillId="4" borderId="0" xfId="1" applyNumberFormat="1" applyFont="1" applyFill="1" applyBorder="1" applyAlignment="1">
      <alignment horizontal="right"/>
    </xf>
    <xf numFmtId="165" fontId="2" fillId="2" borderId="1" xfId="1" applyNumberFormat="1" applyFont="1" applyFill="1" applyBorder="1"/>
    <xf numFmtId="165" fontId="0" fillId="4" borderId="5" xfId="1" applyNumberFormat="1" applyFont="1" applyFill="1" applyBorder="1"/>
    <xf numFmtId="165" fontId="2" fillId="2" borderId="2" xfId="1" applyNumberFormat="1" applyFont="1" applyFill="1" applyBorder="1"/>
    <xf numFmtId="165" fontId="2" fillId="2" borderId="1" xfId="1" applyNumberFormat="1" applyFont="1" applyFill="1" applyBorder="1" applyAlignment="1">
      <alignment horizontal="left"/>
    </xf>
    <xf numFmtId="165" fontId="6" fillId="0" borderId="0" xfId="1" applyNumberFormat="1" applyFont="1" applyAlignment="1">
      <alignment horizontal="left"/>
    </xf>
    <xf numFmtId="0" fontId="3" fillId="0" borderId="6" xfId="0" applyFont="1" applyFill="1" applyBorder="1"/>
    <xf numFmtId="9" fontId="0" fillId="4" borderId="5" xfId="2" applyNumberFormat="1" applyFont="1" applyFill="1" applyBorder="1"/>
    <xf numFmtId="9" fontId="3" fillId="0" borderId="8" xfId="2" applyNumberFormat="1" applyFont="1" applyBorder="1"/>
    <xf numFmtId="10" fontId="0" fillId="0" borderId="0" xfId="2" applyNumberFormat="1" applyFont="1"/>
    <xf numFmtId="167" fontId="0" fillId="0" borderId="0" xfId="2" applyNumberFormat="1" applyFont="1"/>
    <xf numFmtId="165" fontId="3" fillId="0" borderId="0" xfId="1" applyNumberFormat="1" applyFont="1"/>
    <xf numFmtId="0" fontId="0" fillId="0" borderId="0" xfId="0" applyFont="1"/>
    <xf numFmtId="168" fontId="18" fillId="6" borderId="24" xfId="0" applyNumberFormat="1" applyFont="1" applyFill="1" applyBorder="1"/>
    <xf numFmtId="168" fontId="18" fillId="7" borderId="25" xfId="0" applyNumberFormat="1" applyFont="1" applyFill="1" applyBorder="1"/>
    <xf numFmtId="2" fontId="0" fillId="0" borderId="5" xfId="0" applyNumberFormat="1" applyBorder="1"/>
    <xf numFmtId="0" fontId="0" fillId="0" borderId="27" xfId="0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6" xfId="0" applyBorder="1" applyAlignment="1">
      <alignment wrapText="1"/>
    </xf>
    <xf numFmtId="0" fontId="3" fillId="0" borderId="26" xfId="0" applyFont="1" applyBorder="1"/>
    <xf numFmtId="0" fontId="0" fillId="0" borderId="26" xfId="0" applyBorder="1"/>
    <xf numFmtId="2" fontId="0" fillId="0" borderId="26" xfId="0" applyNumberFormat="1" applyBorder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9" fillId="2" borderId="26" xfId="0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center"/>
    </xf>
    <xf numFmtId="0" fontId="3" fillId="0" borderId="26" xfId="0" applyFont="1" applyBorder="1" applyAlignment="1">
      <alignment horizontal="center"/>
    </xf>
    <xf numFmtId="16" fontId="0" fillId="0" borderId="26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65" fontId="0" fillId="0" borderId="26" xfId="0" applyNumberFormat="1" applyBorder="1" applyAlignment="1">
      <alignment horizontal="right"/>
    </xf>
    <xf numFmtId="165" fontId="3" fillId="0" borderId="26" xfId="0" applyNumberFormat="1" applyFont="1" applyBorder="1"/>
    <xf numFmtId="165" fontId="3" fillId="0" borderId="0" xfId="0" applyNumberFormat="1" applyFont="1"/>
    <xf numFmtId="164" fontId="0" fillId="0" borderId="26" xfId="1" applyFont="1" applyBorder="1"/>
    <xf numFmtId="165" fontId="0" fillId="0" borderId="26" xfId="1" applyNumberFormat="1" applyFont="1" applyBorder="1"/>
    <xf numFmtId="164" fontId="3" fillId="0" borderId="26" xfId="1" applyFont="1" applyBorder="1"/>
    <xf numFmtId="165" fontId="3" fillId="0" borderId="26" xfId="1" applyNumberFormat="1" applyFont="1" applyBorder="1"/>
    <xf numFmtId="9" fontId="3" fillId="0" borderId="26" xfId="2" applyFont="1" applyBorder="1"/>
    <xf numFmtId="164" fontId="3" fillId="0" borderId="0" xfId="1" applyFont="1" applyBorder="1"/>
    <xf numFmtId="9" fontId="3" fillId="0" borderId="0" xfId="2" applyFont="1" applyBorder="1"/>
    <xf numFmtId="164" fontId="0" fillId="0" borderId="0" xfId="0" applyNumberFormat="1"/>
    <xf numFmtId="164" fontId="0" fillId="0" borderId="26" xfId="0" applyNumberFormat="1" applyBorder="1"/>
    <xf numFmtId="9" fontId="0" fillId="0" borderId="26" xfId="0" applyNumberFormat="1" applyBorder="1"/>
    <xf numFmtId="9" fontId="0" fillId="0" borderId="26" xfId="2" applyFont="1" applyBorder="1"/>
    <xf numFmtId="1" fontId="0" fillId="0" borderId="26" xfId="0" applyNumberFormat="1" applyBorder="1"/>
    <xf numFmtId="1" fontId="3" fillId="0" borderId="26" xfId="0" applyNumberFormat="1" applyFont="1" applyBorder="1"/>
    <xf numFmtId="0" fontId="19" fillId="2" borderId="26" xfId="0" applyFont="1" applyFill="1" applyBorder="1" applyAlignment="1">
      <alignment horizontal="center" vertical="center" wrapText="1"/>
    </xf>
    <xf numFmtId="9" fontId="0" fillId="0" borderId="26" xfId="0" applyNumberFormat="1" applyBorder="1" applyAlignment="1">
      <alignment horizontal="center"/>
    </xf>
    <xf numFmtId="9" fontId="0" fillId="0" borderId="0" xfId="0" applyNumberFormat="1"/>
    <xf numFmtId="165" fontId="0" fillId="0" borderId="26" xfId="0" applyNumberFormat="1" applyBorder="1"/>
    <xf numFmtId="0" fontId="20" fillId="0" borderId="26" xfId="0" applyFont="1" applyBorder="1"/>
    <xf numFmtId="0" fontId="21" fillId="0" borderId="26" xfId="0" applyFont="1" applyBorder="1" applyAlignment="1">
      <alignment horizontal="left"/>
    </xf>
    <xf numFmtId="165" fontId="21" fillId="0" borderId="26" xfId="0" applyNumberFormat="1" applyFont="1" applyBorder="1"/>
    <xf numFmtId="165" fontId="21" fillId="0" borderId="34" xfId="0" applyNumberFormat="1" applyFont="1" applyBorder="1"/>
    <xf numFmtId="0" fontId="22" fillId="0" borderId="35" xfId="0" applyFont="1" applyBorder="1" applyAlignment="1">
      <alignment horizontal="left"/>
    </xf>
    <xf numFmtId="0" fontId="21" fillId="0" borderId="0" xfId="0" applyFont="1"/>
    <xf numFmtId="0" fontId="0" fillId="0" borderId="26" xfId="0" applyFont="1" applyBorder="1" applyAlignment="1">
      <alignment horizontal="center"/>
    </xf>
    <xf numFmtId="9" fontId="0" fillId="0" borderId="26" xfId="2" applyFont="1" applyBorder="1" applyAlignment="1">
      <alignment horizontal="right"/>
    </xf>
    <xf numFmtId="0" fontId="2" fillId="2" borderId="26" xfId="0" applyFont="1" applyFill="1" applyBorder="1" applyAlignment="1">
      <alignment horizontal="right"/>
    </xf>
    <xf numFmtId="168" fontId="18" fillId="6" borderId="26" xfId="0" applyNumberFormat="1" applyFont="1" applyFill="1" applyBorder="1"/>
    <xf numFmtId="168" fontId="18" fillId="7" borderId="26" xfId="0" applyNumberFormat="1" applyFont="1" applyFill="1" applyBorder="1"/>
    <xf numFmtId="0" fontId="0" fillId="0" borderId="26" xfId="0" applyBorder="1" applyAlignment="1"/>
    <xf numFmtId="0" fontId="24" fillId="0" borderId="38" xfId="0" applyFont="1" applyBorder="1" applyAlignment="1">
      <alignment horizontal="left"/>
    </xf>
    <xf numFmtId="0" fontId="24" fillId="0" borderId="0" xfId="0" applyFont="1" applyBorder="1" applyAlignment="1">
      <alignment horizontal="left" vertical="center"/>
    </xf>
    <xf numFmtId="0" fontId="24" fillId="0" borderId="26" xfId="0" applyFont="1" applyBorder="1" applyAlignment="1">
      <alignment horizontal="left"/>
    </xf>
    <xf numFmtId="0" fontId="0" fillId="0" borderId="19" xfId="0" applyBorder="1"/>
    <xf numFmtId="9" fontId="0" fillId="0" borderId="19" xfId="2" applyFont="1" applyBorder="1"/>
    <xf numFmtId="0" fontId="24" fillId="0" borderId="26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center"/>
    </xf>
    <xf numFmtId="9" fontId="0" fillId="0" borderId="7" xfId="2" applyFont="1" applyBorder="1" applyAlignment="1">
      <alignment horizontal="center"/>
    </xf>
    <xf numFmtId="0" fontId="21" fillId="0" borderId="0" xfId="0" applyFont="1" applyBorder="1"/>
    <xf numFmtId="0" fontId="20" fillId="0" borderId="33" xfId="0" applyFont="1" applyBorder="1" applyAlignment="1">
      <alignment horizontal="left"/>
    </xf>
    <xf numFmtId="9" fontId="0" fillId="0" borderId="39" xfId="2" applyFont="1" applyBorder="1" applyAlignment="1">
      <alignment horizontal="center"/>
    </xf>
    <xf numFmtId="165" fontId="0" fillId="0" borderId="32" xfId="1" applyNumberFormat="1" applyFont="1" applyBorder="1"/>
    <xf numFmtId="165" fontId="2" fillId="2" borderId="18" xfId="1" applyNumberFormat="1" applyFont="1" applyFill="1" applyBorder="1"/>
    <xf numFmtId="0" fontId="3" fillId="0" borderId="27" xfId="0" applyFont="1" applyBorder="1"/>
    <xf numFmtId="165" fontId="3" fillId="0" borderId="32" xfId="1" applyNumberFormat="1" applyFont="1" applyBorder="1"/>
    <xf numFmtId="0" fontId="0" fillId="0" borderId="21" xfId="0" applyBorder="1"/>
    <xf numFmtId="0" fontId="3" fillId="0" borderId="36" xfId="0" applyFont="1" applyBorder="1"/>
    <xf numFmtId="165" fontId="3" fillId="0" borderId="10" xfId="1" applyNumberFormat="1" applyFont="1" applyBorder="1"/>
    <xf numFmtId="165" fontId="3" fillId="0" borderId="37" xfId="1" applyNumberFormat="1" applyFont="1" applyBorder="1"/>
    <xf numFmtId="0" fontId="0" fillId="0" borderId="31" xfId="0" applyBorder="1"/>
    <xf numFmtId="0" fontId="19" fillId="2" borderId="19" xfId="0" applyFont="1" applyFill="1" applyBorder="1" applyAlignment="1">
      <alignment horizontal="center"/>
    </xf>
    <xf numFmtId="165" fontId="3" fillId="0" borderId="13" xfId="1" applyNumberFormat="1" applyFont="1" applyBorder="1"/>
    <xf numFmtId="164" fontId="0" fillId="0" borderId="0" xfId="1" applyFont="1" applyFill="1" applyBorder="1"/>
    <xf numFmtId="164" fontId="0" fillId="0" borderId="13" xfId="1" applyFont="1" applyFill="1" applyBorder="1"/>
    <xf numFmtId="165" fontId="0" fillId="0" borderId="28" xfId="1" applyNumberFormat="1" applyFont="1" applyBorder="1"/>
    <xf numFmtId="0" fontId="0" fillId="0" borderId="31" xfId="0" applyFill="1" applyBorder="1"/>
    <xf numFmtId="0" fontId="19" fillId="2" borderId="29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3" fillId="0" borderId="20" xfId="0" applyFont="1" applyFill="1" applyBorder="1"/>
    <xf numFmtId="165" fontId="2" fillId="2" borderId="29" xfId="1" applyNumberFormat="1" applyFont="1" applyFill="1" applyBorder="1"/>
    <xf numFmtId="0" fontId="3" fillId="0" borderId="13" xfId="0" applyFont="1" applyFill="1" applyBorder="1"/>
    <xf numFmtId="9" fontId="0" fillId="0" borderId="0" xfId="0" applyNumberFormat="1" applyFill="1" applyBorder="1"/>
    <xf numFmtId="0" fontId="3" fillId="0" borderId="18" xfId="0" applyFont="1" applyBorder="1"/>
    <xf numFmtId="0" fontId="3" fillId="0" borderId="29" xfId="0" applyFont="1" applyBorder="1"/>
    <xf numFmtId="9" fontId="3" fillId="0" borderId="29" xfId="0" applyNumberFormat="1" applyFont="1" applyBorder="1"/>
    <xf numFmtId="9" fontId="3" fillId="0" borderId="30" xfId="0" applyNumberFormat="1" applyFont="1" applyBorder="1"/>
    <xf numFmtId="0" fontId="0" fillId="0" borderId="27" xfId="0" applyFont="1" applyBorder="1"/>
    <xf numFmtId="165" fontId="0" fillId="0" borderId="26" xfId="0" applyNumberFormat="1" applyBorder="1" applyAlignment="1"/>
    <xf numFmtId="164" fontId="0" fillId="0" borderId="26" xfId="1" applyFont="1" applyBorder="1" applyAlignment="1"/>
    <xf numFmtId="0" fontId="3" fillId="0" borderId="26" xfId="0" applyFont="1" applyBorder="1" applyAlignment="1">
      <alignment wrapText="1"/>
    </xf>
    <xf numFmtId="10" fontId="3" fillId="0" borderId="19" xfId="0" applyNumberFormat="1" applyFont="1" applyBorder="1" applyAlignment="1"/>
    <xf numFmtId="167" fontId="3" fillId="0" borderId="26" xfId="0" applyNumberFormat="1" applyFont="1" applyBorder="1" applyAlignment="1"/>
    <xf numFmtId="9" fontId="0" fillId="0" borderId="21" xfId="0" applyNumberFormat="1" applyBorder="1" applyAlignment="1">
      <alignment horizontal="center"/>
    </xf>
    <xf numFmtId="10" fontId="3" fillId="0" borderId="26" xfId="0" applyNumberFormat="1" applyFont="1" applyBorder="1" applyAlignment="1"/>
    <xf numFmtId="165" fontId="0" fillId="0" borderId="26" xfId="0" applyNumberFormat="1" applyBorder="1" applyAlignment="1">
      <alignment wrapText="1"/>
    </xf>
    <xf numFmtId="0" fontId="3" fillId="0" borderId="26" xfId="0" applyFont="1" applyBorder="1" applyAlignment="1">
      <alignment horizontal="left" wrapText="1"/>
    </xf>
    <xf numFmtId="0" fontId="3" fillId="0" borderId="26" xfId="0" applyFont="1" applyBorder="1" applyAlignment="1">
      <alignment horizontal="left"/>
    </xf>
    <xf numFmtId="9" fontId="0" fillId="0" borderId="21" xfId="1" applyNumberFormat="1" applyFont="1" applyBorder="1" applyAlignment="1">
      <alignment horizontal="center"/>
    </xf>
    <xf numFmtId="0" fontId="19" fillId="2" borderId="40" xfId="0" applyFont="1" applyFill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24" fillId="0" borderId="30" xfId="0" applyFont="1" applyBorder="1" applyAlignment="1">
      <alignment horizontal="left"/>
    </xf>
    <xf numFmtId="0" fontId="24" fillId="0" borderId="32" xfId="0" applyFont="1" applyBorder="1" applyAlignment="1">
      <alignment horizontal="left"/>
    </xf>
    <xf numFmtId="0" fontId="24" fillId="0" borderId="28" xfId="0" applyFont="1" applyBorder="1" applyAlignment="1">
      <alignment horizontal="left"/>
    </xf>
    <xf numFmtId="9" fontId="0" fillId="0" borderId="19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0" fillId="0" borderId="19" xfId="1" applyFont="1" applyBorder="1" applyAlignment="1">
      <alignment horizontal="center"/>
    </xf>
    <xf numFmtId="164" fontId="0" fillId="0" borderId="21" xfId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Fund</a:t>
            </a:r>
            <a:r>
              <a:rPr lang="en-US" baseline="0"/>
              <a:t> Allocation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A0-47C7-968E-DDB2672BD8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A0-47C7-968E-DDB2672BD8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9A0-47C7-968E-DDB2672BD8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9A0-47C7-968E-DDB2672BD8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Summary!$L$4:$L$7</c:f>
              <c:strCache>
                <c:ptCount val="4"/>
                <c:pt idx="0">
                  <c:v>Marketing Expenses</c:v>
                </c:pt>
                <c:pt idx="1">
                  <c:v>Salary</c:v>
                </c:pt>
                <c:pt idx="2">
                  <c:v>Web, App &amp; Server Cost</c:v>
                </c:pt>
                <c:pt idx="3">
                  <c:v>Office Rent</c:v>
                </c:pt>
              </c:strCache>
            </c:strRef>
          </c:cat>
          <c:val>
            <c:numRef>
              <c:f>Summary!$M$4:$M$7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6-4C1F-876F-6263553B579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8</xdr:row>
      <xdr:rowOff>171450</xdr:rowOff>
    </xdr:from>
    <xdr:to>
      <xdr:col>14</xdr:col>
      <xdr:colOff>19050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3"/>
  <sheetViews>
    <sheetView showGridLines="0" workbookViewId="0">
      <selection sqref="A1:I13"/>
    </sheetView>
  </sheetViews>
  <sheetFormatPr defaultRowHeight="14.5" x14ac:dyDescent="0.35"/>
  <cols>
    <col min="1" max="1" width="0.7265625" customWidth="1"/>
    <col min="2" max="2" width="1.1796875" customWidth="1"/>
    <col min="3" max="3" width="0.7265625" customWidth="1"/>
    <col min="4" max="4" width="5.1796875" customWidth="1"/>
    <col min="5" max="5" width="27" customWidth="1"/>
    <col min="7" max="7" width="10.453125" bestFit="1" customWidth="1"/>
    <col min="8" max="8" width="7.54296875" bestFit="1" customWidth="1"/>
  </cols>
  <sheetData>
    <row r="1" spans="1:8" ht="23.5" x14ac:dyDescent="0.55000000000000004">
      <c r="A1" s="30" t="s">
        <v>86</v>
      </c>
    </row>
    <row r="2" spans="1:8" ht="24" thickBot="1" x14ac:dyDescent="0.6">
      <c r="A2" s="30"/>
      <c r="E2" s="33"/>
    </row>
    <row r="3" spans="1:8" x14ac:dyDescent="0.35">
      <c r="E3" s="114" t="s">
        <v>0</v>
      </c>
      <c r="F3" s="81"/>
      <c r="G3" s="36" t="s">
        <v>87</v>
      </c>
      <c r="H3" s="37" t="s">
        <v>88</v>
      </c>
    </row>
    <row r="4" spans="1:8" x14ac:dyDescent="0.35">
      <c r="E4" s="18" t="s">
        <v>89</v>
      </c>
      <c r="F4" s="20"/>
      <c r="G4" s="160">
        <v>39539</v>
      </c>
      <c r="H4" s="115">
        <v>17736</v>
      </c>
    </row>
    <row r="5" spans="1:8" x14ac:dyDescent="0.35">
      <c r="E5" s="18" t="s">
        <v>90</v>
      </c>
      <c r="F5" s="20"/>
      <c r="G5" s="161">
        <v>44682</v>
      </c>
      <c r="H5" s="115">
        <v>56975</v>
      </c>
    </row>
    <row r="6" spans="1:8" x14ac:dyDescent="0.35">
      <c r="E6" s="18" t="s">
        <v>91</v>
      </c>
      <c r="F6" s="20"/>
      <c r="G6" s="20"/>
      <c r="H6" s="115">
        <f>(G5-G4)/365</f>
        <v>14.09041095890411</v>
      </c>
    </row>
    <row r="7" spans="1:8" x14ac:dyDescent="0.35">
      <c r="E7" s="18" t="s">
        <v>92</v>
      </c>
      <c r="F7" s="20"/>
      <c r="G7" s="20"/>
      <c r="H7" s="162">
        <f>H5/H4</f>
        <v>3.2123928732521425</v>
      </c>
    </row>
    <row r="8" spans="1:8" ht="15" thickBot="1" x14ac:dyDescent="0.4">
      <c r="E8" s="22" t="s">
        <v>93</v>
      </c>
      <c r="F8" s="25"/>
      <c r="G8" s="25"/>
      <c r="H8" s="116">
        <f>(H7)^(1/H6)-1</f>
        <v>8.634996994750721E-2</v>
      </c>
    </row>
    <row r="10" spans="1:8" x14ac:dyDescent="0.35">
      <c r="E10" t="s">
        <v>140</v>
      </c>
    </row>
    <row r="11" spans="1:8" x14ac:dyDescent="0.35">
      <c r="E11" t="s">
        <v>141</v>
      </c>
    </row>
    <row r="12" spans="1:8" x14ac:dyDescent="0.35">
      <c r="E12" t="s">
        <v>142</v>
      </c>
    </row>
    <row r="13" spans="1:8" x14ac:dyDescent="0.35">
      <c r="E13" t="s">
        <v>143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5"/>
  <sheetViews>
    <sheetView showGridLines="0" topLeftCell="A13" workbookViewId="0">
      <selection activeCell="G33" sqref="G33"/>
    </sheetView>
  </sheetViews>
  <sheetFormatPr defaultRowHeight="14.5" x14ac:dyDescent="0.35"/>
  <cols>
    <col min="1" max="1" width="0.81640625" customWidth="1"/>
    <col min="2" max="2" width="0.7265625" customWidth="1"/>
    <col min="3" max="3" width="0.54296875" customWidth="1"/>
    <col min="4" max="4" width="4.81640625" customWidth="1"/>
    <col min="5" max="5" width="35.7265625" bestFit="1" customWidth="1"/>
    <col min="6" max="6" width="14.26953125" bestFit="1" customWidth="1"/>
    <col min="7" max="7" width="15.26953125" bestFit="1" customWidth="1"/>
    <col min="8" max="9" width="14.26953125" bestFit="1" customWidth="1"/>
    <col min="10" max="11" width="15.26953125" bestFit="1" customWidth="1"/>
    <col min="12" max="12" width="16.81640625" bestFit="1" customWidth="1"/>
  </cols>
  <sheetData>
    <row r="1" spans="1:12" ht="23.5" x14ac:dyDescent="0.55000000000000004">
      <c r="A1" s="30" t="s">
        <v>111</v>
      </c>
    </row>
    <row r="2" spans="1:12" x14ac:dyDescent="0.35">
      <c r="E2" s="33" t="s">
        <v>14</v>
      </c>
    </row>
    <row r="3" spans="1:12" x14ac:dyDescent="0.35">
      <c r="E3" s="33"/>
    </row>
    <row r="4" spans="1:12" x14ac:dyDescent="0.35">
      <c r="E4" s="124" t="s">
        <v>112</v>
      </c>
      <c r="F4" s="125">
        <f>'Key Value assumptions'!G22</f>
        <v>0.3263499699475072</v>
      </c>
    </row>
    <row r="5" spans="1:12" x14ac:dyDescent="0.35">
      <c r="E5" s="126" t="s">
        <v>113</v>
      </c>
      <c r="F5" s="127">
        <v>0.02</v>
      </c>
    </row>
    <row r="6" spans="1:12" ht="15" thickBot="1" x14ac:dyDescent="0.4"/>
    <row r="7" spans="1:12" ht="15.5" x14ac:dyDescent="0.35">
      <c r="E7" s="34" t="s">
        <v>0</v>
      </c>
      <c r="F7" s="128"/>
      <c r="G7" s="173" t="s">
        <v>168</v>
      </c>
      <c r="H7" s="173" t="s">
        <v>169</v>
      </c>
      <c r="I7" s="173" t="s">
        <v>170</v>
      </c>
      <c r="J7" s="173" t="s">
        <v>171</v>
      </c>
      <c r="K7" s="173" t="s">
        <v>172</v>
      </c>
      <c r="L7" s="37" t="s">
        <v>114</v>
      </c>
    </row>
    <row r="8" spans="1:12" x14ac:dyDescent="0.35">
      <c r="E8" s="18" t="s">
        <v>115</v>
      </c>
      <c r="F8" s="20"/>
      <c r="G8" s="20">
        <v>1</v>
      </c>
      <c r="H8" s="20">
        <v>2</v>
      </c>
      <c r="I8" s="20">
        <v>3</v>
      </c>
      <c r="J8" s="20">
        <v>4</v>
      </c>
      <c r="K8" s="20">
        <v>5</v>
      </c>
      <c r="L8" s="21"/>
    </row>
    <row r="9" spans="1:12" x14ac:dyDescent="0.35">
      <c r="E9" s="18" t="s">
        <v>24</v>
      </c>
      <c r="F9" s="20"/>
      <c r="G9" s="7">
        <f>'P&amp;L'!G18</f>
        <v>-11482933.050000027</v>
      </c>
      <c r="H9" s="7">
        <f>'P&amp;L'!H18</f>
        <v>4721785.2117498871</v>
      </c>
      <c r="I9" s="7">
        <f>'P&amp;L'!I18</f>
        <v>220446177.01042572</v>
      </c>
      <c r="J9" s="7">
        <f>'P&amp;L'!J18</f>
        <v>569494230.29180014</v>
      </c>
      <c r="K9" s="7">
        <f>'P&amp;L'!K18</f>
        <v>1159751821.9797108</v>
      </c>
      <c r="L9" s="21"/>
    </row>
    <row r="10" spans="1:12" x14ac:dyDescent="0.35">
      <c r="E10" s="18" t="s">
        <v>6</v>
      </c>
      <c r="F10" s="20"/>
      <c r="G10" s="129">
        <f>Assumptions!K2</f>
        <v>0.25</v>
      </c>
      <c r="H10" s="129">
        <f>Assumptions!L2</f>
        <v>0.25</v>
      </c>
      <c r="I10" s="129">
        <f>Assumptions!M2</f>
        <v>0.25</v>
      </c>
      <c r="J10" s="129">
        <f>Assumptions!N2</f>
        <v>0.25</v>
      </c>
      <c r="K10" s="129">
        <f>Assumptions!O2</f>
        <v>0.25</v>
      </c>
      <c r="L10" s="21"/>
    </row>
    <row r="11" spans="1:12" x14ac:dyDescent="0.35">
      <c r="D11" t="s">
        <v>116</v>
      </c>
      <c r="E11" s="18" t="s">
        <v>117</v>
      </c>
      <c r="F11" s="20"/>
      <c r="G11" s="7">
        <f>IF(G9&lt;0,0,G10*G9)</f>
        <v>0</v>
      </c>
      <c r="H11" s="7">
        <f t="shared" ref="H11:K11" si="0">IF(H9&lt;0,0,H10*H9)</f>
        <v>1180446.3029374718</v>
      </c>
      <c r="I11" s="7">
        <f t="shared" si="0"/>
        <v>55111544.252606429</v>
      </c>
      <c r="J11" s="7">
        <f t="shared" si="0"/>
        <v>142373557.57295004</v>
      </c>
      <c r="K11" s="7">
        <f t="shared" si="0"/>
        <v>289937955.4949277</v>
      </c>
      <c r="L11" s="21"/>
    </row>
    <row r="12" spans="1:12" x14ac:dyDescent="0.35">
      <c r="E12" s="18" t="s">
        <v>118</v>
      </c>
      <c r="F12" s="20"/>
      <c r="G12" s="130">
        <f>G9-G11</f>
        <v>-11482933.050000027</v>
      </c>
      <c r="H12" s="130">
        <f t="shared" ref="H12:K12" si="1">H9-H11</f>
        <v>3541338.9088124153</v>
      </c>
      <c r="I12" s="130">
        <f t="shared" si="1"/>
        <v>165334632.75781929</v>
      </c>
      <c r="J12" s="130">
        <f t="shared" si="1"/>
        <v>427120672.71885014</v>
      </c>
      <c r="K12" s="130">
        <f t="shared" si="1"/>
        <v>869813866.48478317</v>
      </c>
      <c r="L12" s="21"/>
    </row>
    <row r="13" spans="1:12" x14ac:dyDescent="0.35">
      <c r="D13" t="s">
        <v>119</v>
      </c>
      <c r="E13" s="18" t="s">
        <v>23</v>
      </c>
      <c r="F13" s="20"/>
      <c r="G13" s="73">
        <f>'P&amp;L'!G17</f>
        <v>5077658.25</v>
      </c>
      <c r="H13" s="73">
        <f>'P&amp;L'!H17</f>
        <v>4189068.0562499999</v>
      </c>
      <c r="I13" s="73">
        <f>'P&amp;L'!I17</f>
        <v>3455981.1464062496</v>
      </c>
      <c r="J13" s="73">
        <f>'P&amp;L'!J17</f>
        <v>2851184.445785156</v>
      </c>
      <c r="K13" s="73">
        <f>'P&amp;L'!K17</f>
        <v>2352227.1677727536</v>
      </c>
      <c r="L13" s="21"/>
    </row>
    <row r="14" spans="1:12" x14ac:dyDescent="0.35">
      <c r="D14" t="s">
        <v>119</v>
      </c>
      <c r="E14" s="18" t="s">
        <v>120</v>
      </c>
      <c r="F14" s="20"/>
      <c r="G14" s="7">
        <f>Assumptions!K7</f>
        <v>-12960527.480000004</v>
      </c>
      <c r="H14" s="7">
        <f>Assumptions!L7</f>
        <v>-38377487.193200007</v>
      </c>
      <c r="I14" s="7">
        <f>Assumptions!M7</f>
        <v>-39785169.511116803</v>
      </c>
      <c r="J14" s="7">
        <f>Assumptions!N7</f>
        <v>-41758009.381924689</v>
      </c>
      <c r="K14" s="7">
        <f>Assumptions!O7</f>
        <v>-75821473.695010215</v>
      </c>
      <c r="L14" s="21"/>
    </row>
    <row r="15" spans="1:12" x14ac:dyDescent="0.35">
      <c r="D15" t="s">
        <v>116</v>
      </c>
      <c r="E15" s="18" t="s">
        <v>75</v>
      </c>
      <c r="F15" s="20"/>
      <c r="G15" s="7">
        <f>CFS!G22</f>
        <v>17400000</v>
      </c>
      <c r="H15" s="7">
        <f>CFS!H22</f>
        <v>1523297.4750000001</v>
      </c>
      <c r="I15" s="7">
        <f>CFS!I22</f>
        <v>1256720.4168749999</v>
      </c>
      <c r="J15" s="7">
        <f>CFS!J22</f>
        <v>1036794.3439218749</v>
      </c>
      <c r="K15" s="7">
        <f>CFS!K22</f>
        <v>855355.33373554691</v>
      </c>
      <c r="L15" s="21"/>
    </row>
    <row r="16" spans="1:12" x14ac:dyDescent="0.35">
      <c r="E16" s="18" t="s">
        <v>121</v>
      </c>
      <c r="F16" s="20"/>
      <c r="G16" s="130">
        <f>G12+G13+G14-G15</f>
        <v>-36765802.280000031</v>
      </c>
      <c r="H16" s="130">
        <f t="shared" ref="H16:K16" si="2">H12+H13+H14-H15</f>
        <v>-32170377.703137591</v>
      </c>
      <c r="I16" s="130">
        <f t="shared" si="2"/>
        <v>127748723.97623375</v>
      </c>
      <c r="J16" s="130">
        <f t="shared" si="2"/>
        <v>387177053.43878871</v>
      </c>
      <c r="K16" s="130">
        <f t="shared" si="2"/>
        <v>795489264.62381017</v>
      </c>
      <c r="L16" s="131">
        <f>K16*(1+F5)/(F4-F5)</f>
        <v>2648601695.8164511</v>
      </c>
    </row>
    <row r="17" spans="5:12" x14ac:dyDescent="0.35">
      <c r="E17" s="18" t="s">
        <v>122</v>
      </c>
      <c r="F17" s="20"/>
      <c r="G17" s="9">
        <f>1/(1+$F4)^G8</f>
        <v>0.75394882395901652</v>
      </c>
      <c r="H17" s="9">
        <f t="shared" ref="H17:K17" si="3">1/(1+$F4)^H8</f>
        <v>0.5684388291491842</v>
      </c>
      <c r="I17" s="9">
        <f t="shared" si="3"/>
        <v>0.42857378672966773</v>
      </c>
      <c r="J17" s="9">
        <f t="shared" si="3"/>
        <v>0.32312270248449537</v>
      </c>
      <c r="K17" s="9">
        <f t="shared" si="3"/>
        <v>0.24361798153264452</v>
      </c>
      <c r="L17" s="21"/>
    </row>
    <row r="18" spans="5:12" ht="15" thickBot="1" x14ac:dyDescent="0.4">
      <c r="E18" s="22" t="s">
        <v>123</v>
      </c>
      <c r="F18" s="25"/>
      <c r="G18" s="132">
        <f>G16*G17</f>
        <v>-27719533.390915751</v>
      </c>
      <c r="H18" s="132">
        <f t="shared" ref="H18:K18" si="4">H16*H17</f>
        <v>-18286891.834858555</v>
      </c>
      <c r="I18" s="132">
        <f t="shared" si="4"/>
        <v>54749754.384377591</v>
      </c>
      <c r="J18" s="132">
        <f t="shared" si="4"/>
        <v>125105695.84712529</v>
      </c>
      <c r="K18" s="132">
        <f t="shared" si="4"/>
        <v>193795488.97854036</v>
      </c>
      <c r="L18" s="133">
        <f>L16*K17</f>
        <v>645246999.01874316</v>
      </c>
    </row>
    <row r="19" spans="5:12" ht="15" thickBot="1" x14ac:dyDescent="0.4"/>
    <row r="20" spans="5:12" ht="15" thickBot="1" x14ac:dyDescent="0.4">
      <c r="E20" s="134" t="s">
        <v>124</v>
      </c>
      <c r="F20" s="135">
        <f>SUM(G18:L18)</f>
        <v>972891513.00301206</v>
      </c>
      <c r="G20" s="187">
        <f>F20/75/10^6</f>
        <v>12.97188684004016</v>
      </c>
      <c r="H20" s="1"/>
      <c r="I20" s="1"/>
      <c r="J20" s="1"/>
      <c r="K20" s="1"/>
    </row>
    <row r="22" spans="5:12" x14ac:dyDescent="0.35">
      <c r="E22" t="s">
        <v>140</v>
      </c>
    </row>
    <row r="23" spans="5:12" x14ac:dyDescent="0.35">
      <c r="E23" t="s">
        <v>146</v>
      </c>
    </row>
    <row r="24" spans="5:12" x14ac:dyDescent="0.35">
      <c r="E24" t="s">
        <v>147</v>
      </c>
    </row>
    <row r="25" spans="5:12" x14ac:dyDescent="0.35">
      <c r="E25" t="s">
        <v>148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2"/>
  <sheetViews>
    <sheetView showGridLines="0" topLeftCell="A9" workbookViewId="0">
      <selection activeCell="A29" sqref="A29"/>
    </sheetView>
  </sheetViews>
  <sheetFormatPr defaultRowHeight="14.5" x14ac:dyDescent="0.35"/>
  <cols>
    <col min="1" max="2" width="0.81640625" customWidth="1"/>
    <col min="3" max="3" width="0.54296875" customWidth="1"/>
    <col min="4" max="4" width="4.54296875" customWidth="1"/>
    <col min="5" max="5" width="19.54296875" bestFit="1" customWidth="1"/>
    <col min="6" max="9" width="14.26953125" bestFit="1" customWidth="1"/>
    <col min="10" max="10" width="15.26953125" bestFit="1" customWidth="1"/>
    <col min="11" max="11" width="14.26953125" bestFit="1" customWidth="1"/>
    <col min="12" max="12" width="39.54296875" bestFit="1" customWidth="1"/>
    <col min="13" max="13" width="13.7265625" bestFit="1" customWidth="1"/>
    <col min="16" max="16" width="24.54296875" bestFit="1" customWidth="1"/>
  </cols>
  <sheetData>
    <row r="1" spans="1:13" ht="23.5" x14ac:dyDescent="0.55000000000000004">
      <c r="A1" s="30" t="s">
        <v>125</v>
      </c>
    </row>
    <row r="2" spans="1:13" ht="15" thickBot="1" x14ac:dyDescent="0.4">
      <c r="E2" s="33" t="s">
        <v>14</v>
      </c>
      <c r="M2" s="20"/>
    </row>
    <row r="3" spans="1:13" ht="15.5" x14ac:dyDescent="0.35">
      <c r="E3" s="136" t="s">
        <v>0</v>
      </c>
      <c r="F3" s="173" t="s">
        <v>168</v>
      </c>
      <c r="G3" s="173" t="s">
        <v>169</v>
      </c>
      <c r="H3" s="173" t="s">
        <v>170</v>
      </c>
      <c r="I3" s="173" t="s">
        <v>171</v>
      </c>
      <c r="J3" s="173" t="s">
        <v>172</v>
      </c>
      <c r="L3" s="271" t="s">
        <v>126</v>
      </c>
      <c r="M3" s="272"/>
    </row>
    <row r="4" spans="1:13" x14ac:dyDescent="0.35">
      <c r="E4" s="137" t="s">
        <v>15</v>
      </c>
      <c r="F4" s="7">
        <f>'P&amp;L'!G4</f>
        <v>123200000</v>
      </c>
      <c r="G4" s="7">
        <f>'P&amp;L'!H4</f>
        <v>522291000</v>
      </c>
      <c r="H4" s="7">
        <f>'P&amp;L'!I4</f>
        <v>1135134000</v>
      </c>
      <c r="I4" s="7">
        <f>'P&amp;L'!J4</f>
        <v>1901157350.4000001</v>
      </c>
      <c r="J4" s="8">
        <f>'P&amp;L'!K4</f>
        <v>3249130721.7600007</v>
      </c>
      <c r="L4" s="18" t="s">
        <v>2</v>
      </c>
      <c r="M4" s="154" t="e">
        <f>('P&amp;L'!G10+'P&amp;L'!H10)/Summary!F14</f>
        <v>#DIV/0!</v>
      </c>
    </row>
    <row r="5" spans="1:13" x14ac:dyDescent="0.35">
      <c r="E5" s="138" t="s">
        <v>127</v>
      </c>
      <c r="F5" s="43"/>
      <c r="G5" s="9">
        <f>G4/F4-1</f>
        <v>3.2393749999999999</v>
      </c>
      <c r="H5" s="9">
        <f t="shared" ref="H5:J5" si="0">H4/G4-1</f>
        <v>1.1733746130030958</v>
      </c>
      <c r="I5" s="9">
        <f t="shared" si="0"/>
        <v>0.67483076923076935</v>
      </c>
      <c r="J5" s="10">
        <f t="shared" si="0"/>
        <v>0.70902777777777803</v>
      </c>
      <c r="L5" s="64" t="s">
        <v>133</v>
      </c>
      <c r="M5" s="154" t="e">
        <f>('P&amp;L'!G11+'P&amp;L'!H11)/Summary!F14</f>
        <v>#DIV/0!</v>
      </c>
    </row>
    <row r="6" spans="1:13" x14ac:dyDescent="0.35">
      <c r="E6" s="137"/>
      <c r="F6" s="20"/>
      <c r="G6" s="20"/>
      <c r="H6" s="20"/>
      <c r="I6" s="20"/>
      <c r="J6" s="21"/>
      <c r="L6" s="64" t="s">
        <v>137</v>
      </c>
      <c r="M6" s="154" t="e">
        <f>(Expenses!C9+Expenses!D9+Expenses!#REF!+Expenses!#REF!)/Summary!$F$14</f>
        <v>#REF!</v>
      </c>
    </row>
    <row r="7" spans="1:13" x14ac:dyDescent="0.35">
      <c r="E7" s="137" t="s">
        <v>21</v>
      </c>
      <c r="F7" s="7">
        <f>'P&amp;L'!G15</f>
        <v>-6405274.8000000268</v>
      </c>
      <c r="G7" s="7">
        <f>'P&amp;L'!H15</f>
        <v>8910853.2679998875</v>
      </c>
      <c r="H7" s="7">
        <f>'P&amp;L'!I15</f>
        <v>223902158.15683198</v>
      </c>
      <c r="I7" s="7">
        <f>'P&amp;L'!J15</f>
        <v>572345414.73758531</v>
      </c>
      <c r="J7" s="8">
        <f>'P&amp;L'!K15</f>
        <v>1162104049.1474836</v>
      </c>
      <c r="L7" s="18" t="s">
        <v>3</v>
      </c>
      <c r="M7" s="146" t="e">
        <f>('P&amp;L'!G12+'P&amp;L'!H12)/Summary!F14</f>
        <v>#DIV/0!</v>
      </c>
    </row>
    <row r="8" spans="1:13" ht="15" thickBot="1" x14ac:dyDescent="0.4">
      <c r="E8" s="138" t="s">
        <v>128</v>
      </c>
      <c r="F8" s="9">
        <f>F7/F4</f>
        <v>-5.1990866883117104E-2</v>
      </c>
      <c r="G8" s="9">
        <f>G7/G4</f>
        <v>1.706108906337633E-2</v>
      </c>
      <c r="H8" s="9">
        <f>H7/H4</f>
        <v>0.19724733657597426</v>
      </c>
      <c r="I8" s="9">
        <f>I7/I4</f>
        <v>0.30105104904502766</v>
      </c>
      <c r="J8" s="10">
        <f>J7/J4</f>
        <v>0.35766614170512379</v>
      </c>
      <c r="L8" s="153" t="s">
        <v>42</v>
      </c>
      <c r="M8" s="155" t="e">
        <f>SUM(M4:M7)</f>
        <v>#DIV/0!</v>
      </c>
    </row>
    <row r="9" spans="1:13" x14ac:dyDescent="0.35">
      <c r="E9" s="137"/>
      <c r="F9" s="20"/>
      <c r="G9" s="20"/>
      <c r="H9" s="20"/>
      <c r="I9" s="20"/>
      <c r="J9" s="21"/>
    </row>
    <row r="10" spans="1:13" x14ac:dyDescent="0.35">
      <c r="E10" s="137" t="s">
        <v>30</v>
      </c>
      <c r="F10" s="7">
        <f>'P&amp;L'!G24</f>
        <v>-11482933.050000027</v>
      </c>
      <c r="G10" s="7">
        <f>'P&amp;L'!H24</f>
        <v>3541338.9088124153</v>
      </c>
      <c r="H10" s="7">
        <f>'P&amp;L'!I24</f>
        <v>165334632.75781929</v>
      </c>
      <c r="I10" s="7">
        <f>'P&amp;L'!J24</f>
        <v>427120672.71885014</v>
      </c>
      <c r="J10" s="8">
        <f>'P&amp;L'!K24</f>
        <v>869813866.48478317</v>
      </c>
      <c r="L10" s="20"/>
      <c r="M10" s="20"/>
    </row>
    <row r="11" spans="1:13" ht="15" thickBot="1" x14ac:dyDescent="0.4">
      <c r="E11" s="139" t="s">
        <v>129</v>
      </c>
      <c r="F11" s="23">
        <f>F10/F4</f>
        <v>-9.3205625405844372E-2</v>
      </c>
      <c r="G11" s="23">
        <f>G10/G4</f>
        <v>6.7803942798409607E-3</v>
      </c>
      <c r="H11" s="23">
        <f>H10/H4</f>
        <v>0.14565208403397245</v>
      </c>
      <c r="I11" s="23">
        <f>I10/I4</f>
        <v>0.22466350438010022</v>
      </c>
      <c r="J11" s="24">
        <f>J10/J4</f>
        <v>0.26770663939726602</v>
      </c>
    </row>
    <row r="12" spans="1:13" ht="15" thickBot="1" x14ac:dyDescent="0.4"/>
    <row r="13" spans="1:13" x14ac:dyDescent="0.35">
      <c r="E13" s="140" t="s">
        <v>111</v>
      </c>
      <c r="F13" s="141">
        <f>DCF!F20</f>
        <v>972891513.00301206</v>
      </c>
      <c r="G13" s="187">
        <f>F13/75/10^6</f>
        <v>12.97188684004016</v>
      </c>
    </row>
    <row r="14" spans="1:13" x14ac:dyDescent="0.35">
      <c r="E14" s="137" t="s">
        <v>130</v>
      </c>
      <c r="F14" s="16"/>
      <c r="G14" s="4">
        <v>3</v>
      </c>
    </row>
    <row r="15" spans="1:13" x14ac:dyDescent="0.35">
      <c r="E15" s="142" t="s">
        <v>131</v>
      </c>
      <c r="F15" s="143">
        <f>F14/F13</f>
        <v>0</v>
      </c>
      <c r="G15" s="1">
        <f>G14/G13</f>
        <v>0.23126936250630384</v>
      </c>
    </row>
    <row r="16" spans="1:13" ht="15" thickBot="1" x14ac:dyDescent="0.4">
      <c r="E16" s="144" t="s">
        <v>132</v>
      </c>
      <c r="F16" s="145">
        <f>F14/(F14+F13)</f>
        <v>0</v>
      </c>
      <c r="G16" s="1">
        <f>G14/(G14+G13)</f>
        <v>0.18783003098164053</v>
      </c>
    </row>
    <row r="18" spans="5:5" x14ac:dyDescent="0.35">
      <c r="E18" t="s">
        <v>138</v>
      </c>
    </row>
    <row r="19" spans="5:5" x14ac:dyDescent="0.35">
      <c r="E19" t="s">
        <v>150</v>
      </c>
    </row>
    <row r="20" spans="5:5" x14ac:dyDescent="0.35">
      <c r="E20" t="s">
        <v>152</v>
      </c>
    </row>
    <row r="22" spans="5:5" x14ac:dyDescent="0.35">
      <c r="E22" t="s">
        <v>151</v>
      </c>
    </row>
  </sheetData>
  <mergeCells count="1">
    <mergeCell ref="L3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showGridLines="0" topLeftCell="A8" workbookViewId="0">
      <selection activeCell="E28" sqref="E28"/>
    </sheetView>
  </sheetViews>
  <sheetFormatPr defaultRowHeight="14.5" x14ac:dyDescent="0.35"/>
  <cols>
    <col min="1" max="1" width="0.81640625" customWidth="1"/>
    <col min="2" max="2" width="0.54296875" customWidth="1"/>
    <col min="3" max="3" width="0.7265625" customWidth="1"/>
    <col min="4" max="4" width="6.1796875" customWidth="1"/>
    <col min="5" max="5" width="31.453125" customWidth="1"/>
  </cols>
  <sheetData>
    <row r="1" spans="1:7" ht="23.5" x14ac:dyDescent="0.55000000000000004">
      <c r="A1" s="30" t="s">
        <v>94</v>
      </c>
    </row>
    <row r="2" spans="1:7" ht="15" thickBot="1" x14ac:dyDescent="0.4"/>
    <row r="3" spans="1:7" x14ac:dyDescent="0.35">
      <c r="E3" s="117" t="s">
        <v>95</v>
      </c>
      <c r="F3" s="118"/>
      <c r="G3" s="119"/>
    </row>
    <row r="4" spans="1:7" x14ac:dyDescent="0.35">
      <c r="E4" s="65" t="s">
        <v>96</v>
      </c>
      <c r="F4" s="20"/>
      <c r="G4" s="10">
        <f>7.15%</f>
        <v>7.1500000000000008E-2</v>
      </c>
    </row>
    <row r="5" spans="1:7" x14ac:dyDescent="0.35">
      <c r="E5" s="65" t="s">
        <v>97</v>
      </c>
      <c r="F5" s="20"/>
      <c r="G5" s="120">
        <v>1</v>
      </c>
    </row>
    <row r="6" spans="1:7" x14ac:dyDescent="0.35">
      <c r="E6" s="65" t="s">
        <v>93</v>
      </c>
      <c r="F6" s="20"/>
      <c r="G6" s="120">
        <f>'Market return'!H8</f>
        <v>8.634996994750721E-2</v>
      </c>
    </row>
    <row r="7" spans="1:7" x14ac:dyDescent="0.35">
      <c r="E7" s="65" t="s">
        <v>98</v>
      </c>
      <c r="F7" s="20"/>
      <c r="G7" s="120">
        <f>G6-G4</f>
        <v>1.4849969947507202E-2</v>
      </c>
    </row>
    <row r="8" spans="1:7" x14ac:dyDescent="0.35">
      <c r="E8" s="65" t="s">
        <v>99</v>
      </c>
      <c r="F8" s="20"/>
      <c r="G8" s="121">
        <f>G4+G7</f>
        <v>8.634996994750721E-2</v>
      </c>
    </row>
    <row r="9" spans="1:7" x14ac:dyDescent="0.35">
      <c r="E9" s="65" t="s">
        <v>100</v>
      </c>
      <c r="F9" s="20"/>
      <c r="G9" s="120">
        <f>G8+G21</f>
        <v>0.3263499699475072</v>
      </c>
    </row>
    <row r="10" spans="1:7" x14ac:dyDescent="0.35">
      <c r="E10" s="18"/>
      <c r="F10" s="20"/>
      <c r="G10" s="21"/>
    </row>
    <row r="11" spans="1:7" x14ac:dyDescent="0.35">
      <c r="E11" s="39" t="s">
        <v>101</v>
      </c>
      <c r="F11" s="20"/>
      <c r="G11" s="21"/>
    </row>
    <row r="12" spans="1:7" x14ac:dyDescent="0.35">
      <c r="E12" s="18" t="s">
        <v>102</v>
      </c>
      <c r="F12" s="20"/>
      <c r="G12" s="120">
        <v>0.1</v>
      </c>
    </row>
    <row r="13" spans="1:7" x14ac:dyDescent="0.35">
      <c r="E13" s="18" t="s">
        <v>6</v>
      </c>
      <c r="F13" s="20"/>
      <c r="G13" s="120">
        <f>Assumptions!K2</f>
        <v>0.25</v>
      </c>
    </row>
    <row r="14" spans="1:7" x14ac:dyDescent="0.35">
      <c r="E14" s="18" t="s">
        <v>103</v>
      </c>
      <c r="F14" s="20"/>
      <c r="G14" s="10">
        <f>G12*(1-G13)</f>
        <v>7.5000000000000011E-2</v>
      </c>
    </row>
    <row r="15" spans="1:7" x14ac:dyDescent="0.35">
      <c r="E15" s="18"/>
      <c r="F15" s="20"/>
      <c r="G15" s="21"/>
    </row>
    <row r="16" spans="1:7" x14ac:dyDescent="0.35">
      <c r="E16" s="39" t="s">
        <v>104</v>
      </c>
      <c r="F16" s="20"/>
      <c r="G16" s="21"/>
    </row>
    <row r="17" spans="5:9" x14ac:dyDescent="0.35">
      <c r="E17" s="18" t="s">
        <v>105</v>
      </c>
      <c r="F17" s="20"/>
      <c r="G17" s="120">
        <v>0</v>
      </c>
    </row>
    <row r="18" spans="5:9" x14ac:dyDescent="0.35">
      <c r="E18" s="18" t="s">
        <v>106</v>
      </c>
      <c r="F18" s="20"/>
      <c r="G18" s="120">
        <v>1</v>
      </c>
    </row>
    <row r="19" spans="5:9" x14ac:dyDescent="0.35">
      <c r="E19" s="18"/>
      <c r="F19" s="20"/>
      <c r="G19" s="21"/>
    </row>
    <row r="20" spans="5:9" x14ac:dyDescent="0.35">
      <c r="E20" s="39" t="s">
        <v>107</v>
      </c>
      <c r="F20" s="20"/>
      <c r="G20" s="122">
        <f>(G14*G17)+(G8*G18)</f>
        <v>8.634996994750721E-2</v>
      </c>
    </row>
    <row r="21" spans="5:9" x14ac:dyDescent="0.35">
      <c r="E21" s="18" t="s">
        <v>108</v>
      </c>
      <c r="F21" s="20"/>
      <c r="G21" s="120">
        <v>0.24</v>
      </c>
      <c r="I21" t="s">
        <v>140</v>
      </c>
    </row>
    <row r="22" spans="5:9" x14ac:dyDescent="0.35">
      <c r="E22" s="39" t="s">
        <v>109</v>
      </c>
      <c r="F22" s="20"/>
      <c r="G22" s="122">
        <f>G20+G21</f>
        <v>0.3263499699475072</v>
      </c>
      <c r="I22" t="s">
        <v>144</v>
      </c>
    </row>
    <row r="23" spans="5:9" x14ac:dyDescent="0.35">
      <c r="E23" s="18"/>
      <c r="F23" s="20"/>
      <c r="G23" s="21"/>
      <c r="I23" t="s">
        <v>145</v>
      </c>
    </row>
    <row r="24" spans="5:9" ht="15" thickBot="1" x14ac:dyDescent="0.4">
      <c r="E24" s="19" t="s">
        <v>110</v>
      </c>
      <c r="F24" s="25"/>
      <c r="G24" s="123">
        <v>0.02</v>
      </c>
    </row>
    <row r="25" spans="5:9" x14ac:dyDescent="0.35">
      <c r="I25" t="s">
        <v>149</v>
      </c>
    </row>
    <row r="30" spans="5:9" ht="23.5" x14ac:dyDescent="0.55000000000000004">
      <c r="E30" s="30" t="s">
        <v>86</v>
      </c>
    </row>
    <row r="31" spans="5:9" ht="24" thickBot="1" x14ac:dyDescent="0.6">
      <c r="E31" s="30"/>
      <c r="I31" s="33"/>
    </row>
    <row r="32" spans="5:9" x14ac:dyDescent="0.35">
      <c r="E32" s="114" t="s">
        <v>0</v>
      </c>
      <c r="F32" s="81"/>
      <c r="G32" s="205" t="s">
        <v>87</v>
      </c>
      <c r="H32" s="37" t="s">
        <v>88</v>
      </c>
    </row>
    <row r="33" spans="5:8" x14ac:dyDescent="0.35">
      <c r="E33" s="18" t="s">
        <v>89</v>
      </c>
      <c r="F33" s="20"/>
      <c r="G33" s="206">
        <v>39539</v>
      </c>
      <c r="H33" s="115">
        <v>17736</v>
      </c>
    </row>
    <row r="34" spans="5:8" x14ac:dyDescent="0.35">
      <c r="E34" s="18" t="s">
        <v>90</v>
      </c>
      <c r="F34" s="20"/>
      <c r="G34" s="207">
        <v>44682</v>
      </c>
      <c r="H34" s="115">
        <v>56975</v>
      </c>
    </row>
    <row r="35" spans="5:8" x14ac:dyDescent="0.35">
      <c r="E35" s="18" t="s">
        <v>91</v>
      </c>
      <c r="F35" s="20"/>
      <c r="G35" s="168"/>
      <c r="H35" s="115">
        <f>(G34-G33)/365</f>
        <v>14.09041095890411</v>
      </c>
    </row>
    <row r="36" spans="5:8" x14ac:dyDescent="0.35">
      <c r="E36" s="18" t="s">
        <v>92</v>
      </c>
      <c r="F36" s="20"/>
      <c r="G36" s="168"/>
      <c r="H36" s="162">
        <f>H34/H33</f>
        <v>3.2123928732521425</v>
      </c>
    </row>
    <row r="37" spans="5:8" ht="15" thickBot="1" x14ac:dyDescent="0.4">
      <c r="E37" s="22" t="s">
        <v>93</v>
      </c>
      <c r="F37" s="25"/>
      <c r="G37" s="168"/>
      <c r="H37" s="116">
        <f>(H36)^(1/H35)-1</f>
        <v>8.634996994750721E-2</v>
      </c>
    </row>
    <row r="39" spans="5:8" x14ac:dyDescent="0.35">
      <c r="E39" t="s">
        <v>140</v>
      </c>
    </row>
    <row r="40" spans="5:8" x14ac:dyDescent="0.35">
      <c r="E40" t="s">
        <v>141</v>
      </c>
    </row>
    <row r="41" spans="5:8" x14ac:dyDescent="0.35">
      <c r="E41" t="s">
        <v>142</v>
      </c>
    </row>
    <row r="42" spans="5:8" x14ac:dyDescent="0.35">
      <c r="E42" t="s">
        <v>143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98"/>
  <sheetViews>
    <sheetView showGridLines="0" tabSelected="1" topLeftCell="A9" zoomScale="93" zoomScaleNormal="93" workbookViewId="0">
      <selection activeCell="B28" sqref="B28"/>
    </sheetView>
  </sheetViews>
  <sheetFormatPr defaultRowHeight="14.5" x14ac:dyDescent="0.35"/>
  <cols>
    <col min="1" max="1" width="24.7265625" style="164" bestFit="1" customWidth="1"/>
    <col min="2" max="2" width="15.1796875" bestFit="1" customWidth="1"/>
    <col min="3" max="3" width="14.90625" bestFit="1" customWidth="1"/>
    <col min="4" max="5" width="14.54296875" bestFit="1" customWidth="1"/>
    <col min="6" max="6" width="17" bestFit="1" customWidth="1"/>
    <col min="7" max="7" width="15.54296875" bestFit="1" customWidth="1"/>
    <col min="8" max="8" width="12.26953125" bestFit="1" customWidth="1"/>
    <col min="9" max="9" width="31.08984375" bestFit="1" customWidth="1"/>
    <col min="10" max="10" width="7.81640625" bestFit="1" customWidth="1"/>
    <col min="11" max="13" width="12.81640625" bestFit="1" customWidth="1"/>
    <col min="14" max="15" width="14.453125" bestFit="1" customWidth="1"/>
  </cols>
  <sheetData>
    <row r="1" spans="1:15" ht="15.5" x14ac:dyDescent="0.35">
      <c r="I1" s="148" t="s">
        <v>0</v>
      </c>
      <c r="J1" s="150"/>
      <c r="K1" s="173" t="s">
        <v>168</v>
      </c>
      <c r="L1" s="173" t="s">
        <v>169</v>
      </c>
      <c r="M1" s="173" t="s">
        <v>170</v>
      </c>
      <c r="N1" s="173" t="s">
        <v>171</v>
      </c>
      <c r="O1" s="173" t="s">
        <v>172</v>
      </c>
    </row>
    <row r="2" spans="1:15" x14ac:dyDescent="0.35">
      <c r="A2" s="258" t="s">
        <v>199</v>
      </c>
      <c r="B2" s="258"/>
      <c r="C2" s="258"/>
      <c r="D2" s="258"/>
      <c r="E2" s="258"/>
      <c r="F2" s="171"/>
      <c r="G2" s="171"/>
      <c r="I2" s="18" t="s">
        <v>6</v>
      </c>
      <c r="J2" s="20"/>
      <c r="K2" s="9">
        <v>0.25</v>
      </c>
      <c r="L2" s="9">
        <f>K2</f>
        <v>0.25</v>
      </c>
      <c r="M2" s="9">
        <f t="shared" ref="M2:O2" si="0">L2</f>
        <v>0.25</v>
      </c>
      <c r="N2" s="9">
        <f t="shared" si="0"/>
        <v>0.25</v>
      </c>
      <c r="O2" s="10">
        <f t="shared" si="0"/>
        <v>0.25</v>
      </c>
    </row>
    <row r="3" spans="1:15" x14ac:dyDescent="0.35">
      <c r="A3" s="166"/>
      <c r="B3" s="167" t="s">
        <v>160</v>
      </c>
      <c r="C3" s="167" t="s">
        <v>161</v>
      </c>
      <c r="D3" s="167" t="s">
        <v>162</v>
      </c>
      <c r="E3" s="167" t="s">
        <v>42</v>
      </c>
      <c r="I3" s="18" t="s">
        <v>214</v>
      </c>
      <c r="J3" s="20"/>
      <c r="K3" s="9">
        <v>0.25</v>
      </c>
      <c r="L3" s="9">
        <v>0.25</v>
      </c>
      <c r="M3" s="9">
        <v>0.25</v>
      </c>
      <c r="N3" s="9">
        <v>0.25</v>
      </c>
      <c r="O3" s="9">
        <v>0.25</v>
      </c>
    </row>
    <row r="4" spans="1:15" ht="29" x14ac:dyDescent="0.35">
      <c r="A4" s="166" t="s">
        <v>163</v>
      </c>
      <c r="B4" s="169">
        <f>131000000/10^5</f>
        <v>1310</v>
      </c>
      <c r="C4" s="169">
        <f>87000000/10^5</f>
        <v>870</v>
      </c>
      <c r="D4" s="169">
        <f>28000000/10^5</f>
        <v>280</v>
      </c>
      <c r="E4" s="169">
        <f>SUM(B4:D4)</f>
        <v>2460</v>
      </c>
      <c r="I4" s="18" t="s">
        <v>7</v>
      </c>
      <c r="J4" s="20"/>
      <c r="K4" s="9">
        <v>0.1</v>
      </c>
      <c r="L4" s="9">
        <f>K4</f>
        <v>0.1</v>
      </c>
      <c r="M4" s="9">
        <f t="shared" ref="M4:O4" si="1">L4</f>
        <v>0.1</v>
      </c>
      <c r="N4" s="9">
        <f t="shared" si="1"/>
        <v>0.1</v>
      </c>
      <c r="O4" s="10">
        <f t="shared" si="1"/>
        <v>0.1</v>
      </c>
    </row>
    <row r="5" spans="1:15" x14ac:dyDescent="0.35">
      <c r="A5" s="166" t="s">
        <v>164</v>
      </c>
      <c r="B5" s="169"/>
      <c r="C5" s="169">
        <f>C4*10%</f>
        <v>87</v>
      </c>
      <c r="D5" s="169"/>
      <c r="E5" s="169"/>
      <c r="I5" s="18" t="s">
        <v>5</v>
      </c>
      <c r="J5" s="20"/>
      <c r="K5" s="7">
        <f>'P&amp;L'!G9+'P&amp;L'!G6</f>
        <v>129605274.80000003</v>
      </c>
      <c r="L5" s="7">
        <f>'P&amp;L'!H9+'P&amp;L'!H6</f>
        <v>513380146.73200011</v>
      </c>
      <c r="M5" s="7">
        <f>'P&amp;L'!I9+'P&amp;L'!I6</f>
        <v>911231841.84316802</v>
      </c>
      <c r="N5" s="7">
        <f>'P&amp;L'!J9+'P&amp;L'!J6</f>
        <v>1328811935.662415</v>
      </c>
      <c r="O5" s="8">
        <f>'P&amp;L'!K9+'P&amp;L'!K6</f>
        <v>2087026672.6125171</v>
      </c>
    </row>
    <row r="6" spans="1:15" ht="29" x14ac:dyDescent="0.35">
      <c r="A6" s="166" t="s">
        <v>165</v>
      </c>
      <c r="B6" s="169"/>
      <c r="C6" s="169">
        <f>C5*30%</f>
        <v>26.099999999999998</v>
      </c>
      <c r="D6" s="169"/>
      <c r="E6" s="169"/>
      <c r="I6" s="18" t="s">
        <v>8</v>
      </c>
      <c r="J6" s="20"/>
      <c r="K6" s="7">
        <f>K4*K5</f>
        <v>12960527.480000004</v>
      </c>
      <c r="L6" s="7">
        <f t="shared" ref="L6:O6" si="2">L4*L5</f>
        <v>51338014.673200011</v>
      </c>
      <c r="M6" s="7">
        <f t="shared" si="2"/>
        <v>91123184.184316814</v>
      </c>
      <c r="N6" s="7">
        <f t="shared" si="2"/>
        <v>132881193.5662415</v>
      </c>
      <c r="O6" s="8">
        <f t="shared" si="2"/>
        <v>208702667.26125172</v>
      </c>
    </row>
    <row r="7" spans="1:15" ht="29.5" thickBot="1" x14ac:dyDescent="0.4">
      <c r="A7" s="166" t="s">
        <v>166</v>
      </c>
      <c r="B7" s="169"/>
      <c r="C7" s="169">
        <f>C6*30%</f>
        <v>7.8299999999999992</v>
      </c>
      <c r="D7" s="169"/>
      <c r="E7" s="169"/>
      <c r="I7" s="22" t="s">
        <v>9</v>
      </c>
      <c r="J7" s="25"/>
      <c r="K7" s="26">
        <f>-(K6-J6)</f>
        <v>-12960527.480000004</v>
      </c>
      <c r="L7" s="26">
        <f t="shared" ref="L7:O7" si="3">-(L6-K6)</f>
        <v>-38377487.193200007</v>
      </c>
      <c r="M7" s="26">
        <f t="shared" si="3"/>
        <v>-39785169.511116803</v>
      </c>
      <c r="N7" s="26">
        <f t="shared" si="3"/>
        <v>-41758009.381924689</v>
      </c>
      <c r="O7" s="27">
        <f t="shared" si="3"/>
        <v>-75821473.695010215</v>
      </c>
    </row>
    <row r="8" spans="1:15" ht="43.5" x14ac:dyDescent="0.35">
      <c r="A8" s="166" t="s">
        <v>167</v>
      </c>
      <c r="B8" s="169"/>
      <c r="C8" s="169">
        <f>C7*20%</f>
        <v>1.5659999999999998</v>
      </c>
      <c r="D8" s="169"/>
      <c r="E8" s="169"/>
    </row>
    <row r="12" spans="1:15" ht="15.5" x14ac:dyDescent="0.35">
      <c r="A12" s="193" t="s">
        <v>202</v>
      </c>
      <c r="B12" s="173" t="s">
        <v>192</v>
      </c>
      <c r="C12" s="173" t="s">
        <v>168</v>
      </c>
      <c r="D12" s="173" t="s">
        <v>169</v>
      </c>
      <c r="E12" s="173" t="s">
        <v>170</v>
      </c>
      <c r="F12" s="173" t="s">
        <v>171</v>
      </c>
      <c r="G12" s="173" t="s">
        <v>172</v>
      </c>
    </row>
    <row r="13" spans="1:15" x14ac:dyDescent="0.35">
      <c r="A13" s="174" t="s">
        <v>200</v>
      </c>
      <c r="C13" s="1">
        <v>1</v>
      </c>
      <c r="D13" s="1">
        <v>1.05</v>
      </c>
      <c r="E13" s="1">
        <v>1.08</v>
      </c>
      <c r="F13" s="1">
        <v>1.1200000000000001</v>
      </c>
      <c r="G13" s="1">
        <v>1.1499999999999999</v>
      </c>
    </row>
    <row r="14" spans="1:15" x14ac:dyDescent="0.35">
      <c r="A14" s="203" t="s">
        <v>174</v>
      </c>
      <c r="B14" s="168">
        <v>75000</v>
      </c>
      <c r="C14" s="168">
        <f>B14*C13</f>
        <v>75000</v>
      </c>
      <c r="D14" s="168">
        <f t="shared" ref="D14:G14" si="4">C14*D13</f>
        <v>78750</v>
      </c>
      <c r="E14" s="168">
        <f t="shared" si="4"/>
        <v>85050</v>
      </c>
      <c r="F14" s="168">
        <f t="shared" si="4"/>
        <v>95256.000000000015</v>
      </c>
      <c r="G14" s="168">
        <f t="shared" si="4"/>
        <v>109544.40000000001</v>
      </c>
    </row>
    <row r="15" spans="1:15" x14ac:dyDescent="0.35">
      <c r="A15" s="175" t="s">
        <v>175</v>
      </c>
      <c r="B15" s="168">
        <v>80000</v>
      </c>
      <c r="C15" s="168">
        <f>B15*C13</f>
        <v>80000</v>
      </c>
      <c r="D15" s="168">
        <f t="shared" ref="D15:G15" si="5">C15*D13</f>
        <v>84000</v>
      </c>
      <c r="E15" s="168">
        <f t="shared" si="5"/>
        <v>90720</v>
      </c>
      <c r="F15" s="168">
        <f t="shared" si="5"/>
        <v>101606.40000000001</v>
      </c>
      <c r="G15" s="168">
        <f t="shared" si="5"/>
        <v>116847.36</v>
      </c>
    </row>
    <row r="16" spans="1:15" x14ac:dyDescent="0.35">
      <c r="A16" s="176" t="s">
        <v>176</v>
      </c>
      <c r="B16" s="168">
        <v>85000</v>
      </c>
      <c r="C16" s="168">
        <f>B16*C13</f>
        <v>85000</v>
      </c>
      <c r="D16" s="168">
        <f t="shared" ref="D16:G16" si="6">C16*D13</f>
        <v>89250</v>
      </c>
      <c r="E16" s="168">
        <f t="shared" si="6"/>
        <v>96390</v>
      </c>
      <c r="F16" s="168">
        <f t="shared" si="6"/>
        <v>107956.80000000002</v>
      </c>
      <c r="G16" s="168">
        <f t="shared" si="6"/>
        <v>124150.32</v>
      </c>
    </row>
    <row r="17" spans="1:15" x14ac:dyDescent="0.35">
      <c r="A17" s="170"/>
      <c r="B17" s="170"/>
    </row>
    <row r="18" spans="1:15" x14ac:dyDescent="0.35">
      <c r="A18"/>
    </row>
    <row r="19" spans="1:15" ht="15.5" x14ac:dyDescent="0.35">
      <c r="A19" s="172" t="s">
        <v>177</v>
      </c>
      <c r="B19" s="173" t="s">
        <v>192</v>
      </c>
      <c r="C19" s="173" t="s">
        <v>168</v>
      </c>
      <c r="D19" s="173" t="s">
        <v>169</v>
      </c>
      <c r="E19" s="173" t="s">
        <v>170</v>
      </c>
      <c r="F19" s="173" t="s">
        <v>171</v>
      </c>
      <c r="G19" s="173" t="s">
        <v>172</v>
      </c>
    </row>
    <row r="20" spans="1:15" x14ac:dyDescent="0.35">
      <c r="A20" s="174" t="s">
        <v>200</v>
      </c>
      <c r="B20" s="177"/>
      <c r="C20" s="204">
        <v>2.8</v>
      </c>
      <c r="D20" s="204">
        <v>4</v>
      </c>
      <c r="E20" s="204">
        <v>2</v>
      </c>
      <c r="F20" s="204">
        <v>1.5</v>
      </c>
      <c r="G20" s="204">
        <v>1.5</v>
      </c>
    </row>
    <row r="21" spans="1:15" x14ac:dyDescent="0.35">
      <c r="A21" s="176" t="s">
        <v>174</v>
      </c>
      <c r="B21" s="177"/>
      <c r="C21" s="177">
        <f>$C$24*$K23</f>
        <v>462</v>
      </c>
      <c r="D21" s="177">
        <f>$D$24*$L23</f>
        <v>1540</v>
      </c>
      <c r="E21" s="177">
        <f>$E$24*$M23</f>
        <v>2464</v>
      </c>
      <c r="F21" s="177">
        <f>$F$24*$N23</f>
        <v>3696</v>
      </c>
      <c r="G21" s="177">
        <f>$G$24*$O23</f>
        <v>6930</v>
      </c>
    </row>
    <row r="22" spans="1:15" ht="15.5" x14ac:dyDescent="0.35">
      <c r="A22" s="175" t="s">
        <v>175</v>
      </c>
      <c r="B22" s="177"/>
      <c r="C22" s="177">
        <f t="shared" ref="C22:C23" si="7">$C$24*$K24</f>
        <v>616</v>
      </c>
      <c r="D22" s="177">
        <f t="shared" ref="D22:D23" si="8">$D$24*$L24</f>
        <v>2156</v>
      </c>
      <c r="E22" s="177">
        <f t="shared" ref="E22:E23" si="9">$E$24*$M24</f>
        <v>4312</v>
      </c>
      <c r="F22" s="177">
        <f t="shared" ref="F22:F23" si="10">$F$24*$N24</f>
        <v>7392</v>
      </c>
      <c r="G22" s="177">
        <f t="shared" ref="G22:G23" si="11">$G$24*$O24</f>
        <v>12474</v>
      </c>
      <c r="I22" s="173" t="s">
        <v>201</v>
      </c>
      <c r="J22" s="173" t="s">
        <v>192</v>
      </c>
      <c r="K22" s="173" t="s">
        <v>168</v>
      </c>
      <c r="L22" s="173" t="s">
        <v>169</v>
      </c>
      <c r="M22" s="173" t="s">
        <v>170</v>
      </c>
      <c r="N22" s="173" t="s">
        <v>171</v>
      </c>
      <c r="O22" s="173" t="s">
        <v>172</v>
      </c>
    </row>
    <row r="23" spans="1:15" x14ac:dyDescent="0.35">
      <c r="A23" s="176" t="s">
        <v>176</v>
      </c>
      <c r="B23" s="177"/>
      <c r="C23" s="177">
        <f t="shared" si="7"/>
        <v>462.00000000000006</v>
      </c>
      <c r="D23" s="177">
        <f t="shared" si="8"/>
        <v>2464</v>
      </c>
      <c r="E23" s="177">
        <f t="shared" si="9"/>
        <v>5543.9999999999991</v>
      </c>
      <c r="F23" s="177">
        <f t="shared" si="10"/>
        <v>7391.9999999999982</v>
      </c>
      <c r="G23" s="177">
        <f t="shared" si="11"/>
        <v>8316.0000000000018</v>
      </c>
      <c r="I23" s="176" t="s">
        <v>174</v>
      </c>
      <c r="J23" s="194">
        <v>0.3</v>
      </c>
      <c r="K23" s="194">
        <v>0.3</v>
      </c>
      <c r="L23" s="194">
        <v>0.25</v>
      </c>
      <c r="M23" s="194">
        <v>0.2</v>
      </c>
      <c r="N23" s="194">
        <v>0.2</v>
      </c>
      <c r="O23" s="194">
        <v>0.25</v>
      </c>
    </row>
    <row r="24" spans="1:15" x14ac:dyDescent="0.35">
      <c r="A24" s="176" t="s">
        <v>178</v>
      </c>
      <c r="B24" s="178">
        <v>550</v>
      </c>
      <c r="C24" s="178">
        <f>B24*C20</f>
        <v>1540</v>
      </c>
      <c r="D24" s="178">
        <f t="shared" ref="D24:G24" si="12">C24*D20</f>
        <v>6160</v>
      </c>
      <c r="E24" s="178">
        <f t="shared" si="12"/>
        <v>12320</v>
      </c>
      <c r="F24" s="178">
        <f t="shared" si="12"/>
        <v>18480</v>
      </c>
      <c r="G24" s="178">
        <f t="shared" si="12"/>
        <v>27720</v>
      </c>
      <c r="I24" s="175" t="s">
        <v>175</v>
      </c>
      <c r="J24" s="194">
        <v>0.4</v>
      </c>
      <c r="K24" s="194">
        <v>0.4</v>
      </c>
      <c r="L24" s="194">
        <v>0.35</v>
      </c>
      <c r="M24" s="194">
        <v>0.35</v>
      </c>
      <c r="N24" s="194">
        <v>0.4</v>
      </c>
      <c r="O24" s="194">
        <v>0.45</v>
      </c>
    </row>
    <row r="25" spans="1:15" x14ac:dyDescent="0.35">
      <c r="A25" s="165"/>
      <c r="B25" s="179"/>
      <c r="C25" s="17"/>
      <c r="D25" s="17"/>
      <c r="E25" s="17"/>
      <c r="F25" s="17"/>
      <c r="G25" s="17"/>
      <c r="I25" s="176" t="s">
        <v>176</v>
      </c>
      <c r="J25" s="194">
        <f>100%-(J23+J24)</f>
        <v>0.30000000000000004</v>
      </c>
      <c r="K25" s="194">
        <f t="shared" ref="K25:O25" si="13">100%-(K23+K24)</f>
        <v>0.30000000000000004</v>
      </c>
      <c r="L25" s="194">
        <f t="shared" si="13"/>
        <v>0.4</v>
      </c>
      <c r="M25" s="194">
        <f t="shared" si="13"/>
        <v>0.44999999999999996</v>
      </c>
      <c r="N25" s="194">
        <f t="shared" si="13"/>
        <v>0.39999999999999991</v>
      </c>
      <c r="O25" s="194">
        <f t="shared" si="13"/>
        <v>0.30000000000000004</v>
      </c>
    </row>
    <row r="26" spans="1:15" x14ac:dyDescent="0.35">
      <c r="A26" s="165"/>
      <c r="B26" s="179"/>
      <c r="C26" s="17"/>
      <c r="D26" s="17"/>
      <c r="E26" s="17"/>
      <c r="F26" s="17"/>
      <c r="G26" s="17"/>
    </row>
    <row r="27" spans="1:15" ht="15.5" x14ac:dyDescent="0.35">
      <c r="A27" s="193"/>
      <c r="B27" s="173" t="s">
        <v>192</v>
      </c>
      <c r="C27" s="173" t="s">
        <v>168</v>
      </c>
      <c r="D27" s="173" t="s">
        <v>169</v>
      </c>
      <c r="E27" s="173" t="s">
        <v>170</v>
      </c>
      <c r="F27" s="173" t="s">
        <v>171</v>
      </c>
      <c r="G27" s="173" t="s">
        <v>172</v>
      </c>
    </row>
    <row r="28" spans="1:15" x14ac:dyDescent="0.35">
      <c r="A28" s="176" t="s">
        <v>174</v>
      </c>
      <c r="B28" s="180"/>
      <c r="C28" s="181">
        <f t="shared" ref="C28:G30" si="14">C21*C14</f>
        <v>34650000</v>
      </c>
      <c r="D28" s="181">
        <f t="shared" si="14"/>
        <v>121275000</v>
      </c>
      <c r="E28" s="181">
        <f t="shared" si="14"/>
        <v>209563200</v>
      </c>
      <c r="F28" s="181">
        <f t="shared" si="14"/>
        <v>352066176.00000006</v>
      </c>
      <c r="G28" s="181">
        <f t="shared" si="14"/>
        <v>759142692.00000012</v>
      </c>
    </row>
    <row r="29" spans="1:15" x14ac:dyDescent="0.35">
      <c r="A29" s="175" t="s">
        <v>175</v>
      </c>
      <c r="B29" s="180"/>
      <c r="C29" s="181">
        <f t="shared" si="14"/>
        <v>49280000</v>
      </c>
      <c r="D29" s="181">
        <f t="shared" si="14"/>
        <v>181104000</v>
      </c>
      <c r="E29" s="181">
        <f t="shared" si="14"/>
        <v>391184640</v>
      </c>
      <c r="F29" s="181">
        <f t="shared" si="14"/>
        <v>751074508.80000007</v>
      </c>
      <c r="G29" s="181">
        <f t="shared" si="14"/>
        <v>1457553968.6400001</v>
      </c>
    </row>
    <row r="30" spans="1:15" x14ac:dyDescent="0.35">
      <c r="A30" s="176" t="s">
        <v>176</v>
      </c>
      <c r="B30" s="180"/>
      <c r="C30" s="181">
        <f t="shared" si="14"/>
        <v>39270000.000000007</v>
      </c>
      <c r="D30" s="181">
        <f t="shared" si="14"/>
        <v>219912000</v>
      </c>
      <c r="E30" s="181">
        <f t="shared" si="14"/>
        <v>534386159.99999994</v>
      </c>
      <c r="F30" s="181">
        <f t="shared" si="14"/>
        <v>798016665.5999999</v>
      </c>
      <c r="G30" s="181">
        <f t="shared" si="14"/>
        <v>1032434061.1200002</v>
      </c>
    </row>
    <row r="31" spans="1:15" x14ac:dyDescent="0.35">
      <c r="A31" s="167" t="s">
        <v>1</v>
      </c>
      <c r="B31" s="182">
        <v>41541036</v>
      </c>
      <c r="C31" s="183">
        <f>SUM(C28:C30)</f>
        <v>123200000</v>
      </c>
      <c r="D31" s="183">
        <f t="shared" ref="D31:G31" si="15">SUM(D28:D30)</f>
        <v>522291000</v>
      </c>
      <c r="E31" s="183">
        <f t="shared" si="15"/>
        <v>1135134000</v>
      </c>
      <c r="F31" s="183">
        <f t="shared" si="15"/>
        <v>1901157350.4000001</v>
      </c>
      <c r="G31" s="183">
        <f t="shared" si="15"/>
        <v>3249130721.7600007</v>
      </c>
    </row>
    <row r="32" spans="1:15" x14ac:dyDescent="0.35">
      <c r="A32" s="167" t="s">
        <v>179</v>
      </c>
      <c r="B32" s="182">
        <f>B31/10^7</f>
        <v>4.1541036</v>
      </c>
      <c r="C32" s="182">
        <f t="shared" ref="C32:G32" si="16">C31/10^7</f>
        <v>12.32</v>
      </c>
      <c r="D32" s="182">
        <f t="shared" si="16"/>
        <v>52.229100000000003</v>
      </c>
      <c r="E32" s="182">
        <f t="shared" si="16"/>
        <v>113.5134</v>
      </c>
      <c r="F32" s="182">
        <f t="shared" si="16"/>
        <v>190.11573504</v>
      </c>
      <c r="G32" s="182">
        <f t="shared" si="16"/>
        <v>324.91307217600007</v>
      </c>
    </row>
    <row r="33" spans="1:11" x14ac:dyDescent="0.35">
      <c r="A33" s="167" t="s">
        <v>180</v>
      </c>
      <c r="B33" s="182"/>
      <c r="C33" s="184">
        <f>C31/B31-1</f>
        <v>1.9657421158201256</v>
      </c>
      <c r="D33" s="184">
        <f t="shared" ref="D33:F33" si="17">D31/C31-1</f>
        <v>3.2393749999999999</v>
      </c>
      <c r="E33" s="184">
        <f t="shared" si="17"/>
        <v>1.1733746130030958</v>
      </c>
      <c r="F33" s="184">
        <f t="shared" si="17"/>
        <v>0.67483076923076935</v>
      </c>
      <c r="G33" s="184">
        <f>G31/F31-1</f>
        <v>0.70902777777777803</v>
      </c>
    </row>
    <row r="34" spans="1:11" x14ac:dyDescent="0.35">
      <c r="A34" s="17"/>
      <c r="B34" s="185"/>
      <c r="C34" s="186"/>
      <c r="D34" s="186"/>
      <c r="E34" s="186"/>
      <c r="F34" s="186"/>
      <c r="G34" s="186"/>
    </row>
    <row r="35" spans="1:11" x14ac:dyDescent="0.35">
      <c r="A35"/>
      <c r="B35" s="187"/>
      <c r="C35" s="187"/>
      <c r="D35" s="187"/>
      <c r="E35" s="187"/>
      <c r="F35" s="187"/>
      <c r="G35" s="187"/>
    </row>
    <row r="36" spans="1:11" x14ac:dyDescent="0.35">
      <c r="A36" s="168" t="s">
        <v>181</v>
      </c>
      <c r="B36" s="189">
        <v>0.25</v>
      </c>
      <c r="C36" s="189">
        <v>0.25</v>
      </c>
      <c r="D36" s="190">
        <v>0.15</v>
      </c>
      <c r="E36" s="189">
        <v>0.25</v>
      </c>
      <c r="F36" s="189">
        <v>0.3</v>
      </c>
      <c r="G36" s="189">
        <v>0.35</v>
      </c>
    </row>
    <row r="37" spans="1:11" x14ac:dyDescent="0.35">
      <c r="A37" s="168" t="s">
        <v>203</v>
      </c>
      <c r="B37" s="191">
        <f>B39*B36</f>
        <v>137.5</v>
      </c>
      <c r="C37" s="191">
        <f>C39*C36</f>
        <v>385</v>
      </c>
      <c r="D37" s="191">
        <f t="shared" ref="D37:G37" si="18">D39*D36</f>
        <v>924</v>
      </c>
      <c r="E37" s="191">
        <f t="shared" si="18"/>
        <v>3080</v>
      </c>
      <c r="F37" s="191">
        <f t="shared" si="18"/>
        <v>5544</v>
      </c>
      <c r="G37" s="191">
        <f t="shared" si="18"/>
        <v>9702</v>
      </c>
    </row>
    <row r="38" spans="1:11" x14ac:dyDescent="0.35">
      <c r="A38" s="168" t="s">
        <v>182</v>
      </c>
      <c r="B38" s="191">
        <f t="shared" ref="B38:G38" si="19">B24-B37</f>
        <v>412.5</v>
      </c>
      <c r="C38" s="191">
        <f t="shared" si="19"/>
        <v>1155</v>
      </c>
      <c r="D38" s="191">
        <f t="shared" si="19"/>
        <v>5236</v>
      </c>
      <c r="E38" s="191">
        <f t="shared" si="19"/>
        <v>9240</v>
      </c>
      <c r="F38" s="191">
        <f t="shared" si="19"/>
        <v>12936</v>
      </c>
      <c r="G38" s="191">
        <f t="shared" si="19"/>
        <v>18018</v>
      </c>
    </row>
    <row r="39" spans="1:11" x14ac:dyDescent="0.35">
      <c r="A39" s="167" t="s">
        <v>183</v>
      </c>
      <c r="B39" s="192">
        <f>B24</f>
        <v>550</v>
      </c>
      <c r="C39" s="192">
        <f>C24</f>
        <v>1540</v>
      </c>
      <c r="D39" s="192">
        <f t="shared" ref="D39:G39" si="20">D24</f>
        <v>6160</v>
      </c>
      <c r="E39" s="192">
        <f t="shared" si="20"/>
        <v>12320</v>
      </c>
      <c r="F39" s="192">
        <f t="shared" si="20"/>
        <v>18480</v>
      </c>
      <c r="G39" s="192">
        <f t="shared" si="20"/>
        <v>27720</v>
      </c>
    </row>
    <row r="42" spans="1:11" ht="15.5" x14ac:dyDescent="0.35">
      <c r="A42" s="167" t="s">
        <v>17</v>
      </c>
      <c r="B42" s="173" t="s">
        <v>224</v>
      </c>
      <c r="C42" s="173" t="s">
        <v>168</v>
      </c>
      <c r="D42" s="173" t="s">
        <v>169</v>
      </c>
      <c r="E42" s="173" t="s">
        <v>170</v>
      </c>
      <c r="F42" s="173" t="s">
        <v>171</v>
      </c>
      <c r="G42" s="173" t="s">
        <v>172</v>
      </c>
    </row>
    <row r="43" spans="1:11" ht="43.5" x14ac:dyDescent="0.35">
      <c r="A43" s="166" t="s">
        <v>229</v>
      </c>
      <c r="B43" s="208">
        <f>(192+13)*75</f>
        <v>15375</v>
      </c>
      <c r="C43" s="246">
        <f>(C22+C23)*B43</f>
        <v>16574250</v>
      </c>
      <c r="D43" s="247">
        <v>0</v>
      </c>
      <c r="E43" s="247">
        <v>0</v>
      </c>
      <c r="F43" s="247">
        <v>0</v>
      </c>
      <c r="G43" s="180">
        <v>0</v>
      </c>
      <c r="H43" s="43"/>
      <c r="I43" s="43"/>
      <c r="J43" s="43"/>
      <c r="K43" s="43"/>
    </row>
    <row r="44" spans="1:11" x14ac:dyDescent="0.35">
      <c r="A44" s="259" t="s">
        <v>184</v>
      </c>
      <c r="B44" s="249">
        <v>2.9499999999999998E-2</v>
      </c>
      <c r="C44" s="249">
        <f>B44-0.05%</f>
        <v>2.8999999999999998E-2</v>
      </c>
      <c r="D44" s="249">
        <f t="shared" ref="D44:G44" si="21">C44-0.05%</f>
        <v>2.8499999999999998E-2</v>
      </c>
      <c r="E44" s="249">
        <f t="shared" si="21"/>
        <v>2.7999999999999997E-2</v>
      </c>
      <c r="F44" s="249">
        <f t="shared" si="21"/>
        <v>2.7499999999999997E-2</v>
      </c>
      <c r="G44" s="249">
        <f t="shared" si="21"/>
        <v>2.6999999999999996E-2</v>
      </c>
    </row>
    <row r="45" spans="1:11" x14ac:dyDescent="0.35">
      <c r="A45" s="260"/>
      <c r="B45" s="262"/>
      <c r="C45" s="264">
        <f>C31*C44</f>
        <v>3572799.9999999995</v>
      </c>
      <c r="D45" s="264">
        <f>D31*D44</f>
        <v>14885293.499999998</v>
      </c>
      <c r="E45" s="264">
        <f>E31*E44</f>
        <v>31783751.999999996</v>
      </c>
      <c r="F45" s="264">
        <f>F31*F44</f>
        <v>52281827.136</v>
      </c>
      <c r="G45" s="264">
        <f>G31*G44</f>
        <v>87726529.487520009</v>
      </c>
    </row>
    <row r="46" spans="1:11" x14ac:dyDescent="0.35">
      <c r="A46" s="261"/>
      <c r="B46" s="266"/>
      <c r="C46" s="265"/>
      <c r="D46" s="265"/>
      <c r="E46" s="265"/>
      <c r="F46" s="265"/>
      <c r="G46" s="265"/>
    </row>
    <row r="47" spans="1:11" x14ac:dyDescent="0.35">
      <c r="A47" s="259" t="s">
        <v>185</v>
      </c>
      <c r="B47" s="252">
        <v>0.01</v>
      </c>
      <c r="C47" s="250">
        <f>B47+0.25%</f>
        <v>1.2500000000000001E-2</v>
      </c>
      <c r="D47" s="250">
        <f t="shared" ref="D47" si="22">C47+0.25%</f>
        <v>1.5000000000000001E-2</v>
      </c>
      <c r="E47" s="250">
        <f>D47-0.1%</f>
        <v>1.4000000000000002E-2</v>
      </c>
      <c r="F47" s="250">
        <f t="shared" ref="F47:G47" si="23">E47-0.1%</f>
        <v>1.3000000000000001E-2</v>
      </c>
      <c r="G47" s="250">
        <f t="shared" si="23"/>
        <v>1.2E-2</v>
      </c>
    </row>
    <row r="48" spans="1:11" x14ac:dyDescent="0.35">
      <c r="A48" s="260"/>
      <c r="B48" s="262"/>
      <c r="C48" s="264">
        <f>C31*C47</f>
        <v>1540000</v>
      </c>
      <c r="D48" s="264">
        <f>D31*D47</f>
        <v>7834365.0000000009</v>
      </c>
      <c r="E48" s="264">
        <f>E31*E47</f>
        <v>15891876.000000002</v>
      </c>
      <c r="F48" s="264">
        <f>F31*F47</f>
        <v>24715045.555200003</v>
      </c>
      <c r="G48" s="264">
        <f>G31*G47</f>
        <v>38989568.661120012</v>
      </c>
    </row>
    <row r="49" spans="1:10" x14ac:dyDescent="0.35">
      <c r="A49" s="261"/>
      <c r="B49" s="266"/>
      <c r="C49" s="265"/>
      <c r="D49" s="265"/>
      <c r="E49" s="265"/>
      <c r="F49" s="265"/>
      <c r="G49" s="265"/>
    </row>
    <row r="50" spans="1:10" x14ac:dyDescent="0.35">
      <c r="A50" s="259" t="s">
        <v>186</v>
      </c>
      <c r="B50" s="252">
        <v>1.2999999999999999E-2</v>
      </c>
      <c r="C50" s="250">
        <f>B50+0.1%</f>
        <v>1.3999999999999999E-2</v>
      </c>
      <c r="D50" s="250">
        <f t="shared" ref="D50" si="24">C50+0.1%</f>
        <v>1.4999999999999999E-2</v>
      </c>
      <c r="E50" s="250">
        <f>D50-0.1%</f>
        <v>1.3999999999999999E-2</v>
      </c>
      <c r="F50" s="250">
        <f t="shared" ref="F50:G50" si="25">E50-0.1%</f>
        <v>1.2999999999999998E-2</v>
      </c>
      <c r="G50" s="250">
        <f t="shared" si="25"/>
        <v>1.1999999999999997E-2</v>
      </c>
    </row>
    <row r="51" spans="1:10" x14ac:dyDescent="0.35">
      <c r="A51" s="260"/>
      <c r="B51" s="262"/>
      <c r="C51" s="267">
        <f>C31*C50</f>
        <v>1724799.9999999998</v>
      </c>
      <c r="D51" s="267">
        <f>D31*D50</f>
        <v>7834365</v>
      </c>
      <c r="E51" s="267">
        <f>E31*E50</f>
        <v>15891875.999999998</v>
      </c>
      <c r="F51" s="267">
        <f>F31*F50</f>
        <v>24715045.555199996</v>
      </c>
      <c r="G51" s="267">
        <f>G31*G50</f>
        <v>38989568.661119998</v>
      </c>
    </row>
    <row r="52" spans="1:10" x14ac:dyDescent="0.35">
      <c r="A52" s="261"/>
      <c r="B52" s="263"/>
      <c r="C52" s="268"/>
      <c r="D52" s="268"/>
      <c r="E52" s="268"/>
      <c r="F52" s="268"/>
      <c r="G52" s="268"/>
    </row>
    <row r="53" spans="1:10" x14ac:dyDescent="0.35">
      <c r="A53" s="248" t="s">
        <v>200</v>
      </c>
      <c r="B53" s="251"/>
      <c r="C53" s="256"/>
      <c r="D53" s="256">
        <v>1.05</v>
      </c>
      <c r="E53" s="256">
        <v>1.1000000000000001</v>
      </c>
      <c r="F53" s="256">
        <v>1.1499999999999999</v>
      </c>
      <c r="G53" s="256">
        <v>1.2</v>
      </c>
    </row>
    <row r="54" spans="1:10" ht="29" x14ac:dyDescent="0.35">
      <c r="A54" s="166" t="s">
        <v>230</v>
      </c>
      <c r="B54" s="254">
        <f>3500</f>
        <v>3500</v>
      </c>
      <c r="C54" s="246">
        <f>C21*B54*C53</f>
        <v>0</v>
      </c>
      <c r="D54" s="246">
        <f>D24*$B$54*D53</f>
        <v>22638000</v>
      </c>
      <c r="E54" s="246">
        <f>E24*$B$54*E53</f>
        <v>47432000.000000007</v>
      </c>
      <c r="F54" s="246">
        <f>F24*$B$54*F53</f>
        <v>74382000</v>
      </c>
      <c r="G54" s="246">
        <f>G24*$B$54*G53</f>
        <v>116424000</v>
      </c>
    </row>
    <row r="55" spans="1:10" ht="14.5" customHeight="1" x14ac:dyDescent="0.35">
      <c r="A55" s="248" t="s">
        <v>200</v>
      </c>
      <c r="B55" s="254"/>
      <c r="C55" s="256"/>
      <c r="D55" s="256">
        <v>1.05</v>
      </c>
      <c r="E55" s="256">
        <v>1.1000000000000001</v>
      </c>
      <c r="F55" s="256">
        <v>1.1499999999999999</v>
      </c>
      <c r="G55" s="256">
        <v>1.2</v>
      </c>
    </row>
    <row r="56" spans="1:10" ht="43.5" x14ac:dyDescent="0.35">
      <c r="A56" s="166" t="s">
        <v>204</v>
      </c>
      <c r="B56" s="255">
        <f>(13+10)*75</f>
        <v>1725</v>
      </c>
      <c r="C56" s="246">
        <f>C21*B56</f>
        <v>796950</v>
      </c>
      <c r="D56" s="208"/>
      <c r="E56" s="208"/>
      <c r="F56" s="208"/>
      <c r="G56" s="168"/>
    </row>
    <row r="57" spans="1:10" ht="43.5" x14ac:dyDescent="0.35">
      <c r="A57" s="166" t="s">
        <v>188</v>
      </c>
      <c r="B57" s="255">
        <f>(13+10)*75</f>
        <v>1725</v>
      </c>
      <c r="C57" s="166"/>
      <c r="D57" s="253">
        <f>D24*$B$57*D55</f>
        <v>11157300</v>
      </c>
      <c r="E57" s="253">
        <f t="shared" ref="E57:G57" si="26">E24*$B$57*E55</f>
        <v>23377200.000000004</v>
      </c>
      <c r="F57" s="253">
        <f t="shared" si="26"/>
        <v>36659700</v>
      </c>
      <c r="G57" s="253">
        <f t="shared" si="26"/>
        <v>57380400</v>
      </c>
      <c r="H57" s="2"/>
    </row>
    <row r="58" spans="1:10" x14ac:dyDescent="0.35">
      <c r="A58" s="167" t="s">
        <v>42</v>
      </c>
      <c r="B58" s="178"/>
      <c r="C58" s="178">
        <f>C43+C45+C48+C51+C54+C56+C57</f>
        <v>24208800</v>
      </c>
      <c r="D58" s="178">
        <f t="shared" ref="D58:G58" si="27">D43+D45+D48+D51+D54+D56+D57</f>
        <v>64349323.5</v>
      </c>
      <c r="E58" s="178">
        <f t="shared" si="27"/>
        <v>134376704</v>
      </c>
      <c r="F58" s="178">
        <f t="shared" si="27"/>
        <v>212753618.2464</v>
      </c>
      <c r="G58" s="178">
        <f t="shared" si="27"/>
        <v>339510066.80976003</v>
      </c>
    </row>
    <row r="59" spans="1:10" x14ac:dyDescent="0.35">
      <c r="A59"/>
    </row>
    <row r="60" spans="1:10" x14ac:dyDescent="0.35">
      <c r="A60"/>
    </row>
    <row r="61" spans="1:10" ht="15.5" x14ac:dyDescent="0.35">
      <c r="A61" s="167" t="s">
        <v>189</v>
      </c>
      <c r="B61" s="173" t="s">
        <v>192</v>
      </c>
      <c r="C61" s="173" t="s">
        <v>168</v>
      </c>
      <c r="D61" s="173" t="s">
        <v>169</v>
      </c>
      <c r="E61" s="173" t="s">
        <v>170</v>
      </c>
      <c r="F61" s="173" t="s">
        <v>171</v>
      </c>
      <c r="G61" s="173" t="s">
        <v>172</v>
      </c>
    </row>
    <row r="62" spans="1:10" x14ac:dyDescent="0.35">
      <c r="A62" s="167" t="s">
        <v>173</v>
      </c>
      <c r="B62" s="168"/>
      <c r="C62" s="190">
        <v>1.2</v>
      </c>
      <c r="D62" s="190">
        <v>3</v>
      </c>
      <c r="E62" s="190">
        <v>1.2</v>
      </c>
      <c r="F62" s="190">
        <v>2</v>
      </c>
      <c r="G62" s="190">
        <v>1.2</v>
      </c>
    </row>
    <row r="63" spans="1:10" x14ac:dyDescent="0.35">
      <c r="A63" s="168" t="s">
        <v>190</v>
      </c>
      <c r="B63" s="181">
        <v>989678</v>
      </c>
      <c r="C63" s="188">
        <f>B63*C62</f>
        <v>1187613.5999999999</v>
      </c>
      <c r="D63" s="188">
        <f t="shared" ref="D63:G63" si="28">C63*D62</f>
        <v>3562840.8</v>
      </c>
      <c r="E63" s="188">
        <f t="shared" si="28"/>
        <v>4275408.96</v>
      </c>
      <c r="F63" s="188">
        <f t="shared" si="28"/>
        <v>8550817.9199999999</v>
      </c>
      <c r="G63" s="188">
        <f t="shared" si="28"/>
        <v>10260981.503999999</v>
      </c>
      <c r="J63" s="195"/>
    </row>
    <row r="64" spans="1:10" x14ac:dyDescent="0.35">
      <c r="A64" s="168" t="s">
        <v>191</v>
      </c>
      <c r="B64" s="188">
        <v>600000</v>
      </c>
      <c r="C64" s="188">
        <f>B64*C62</f>
        <v>720000</v>
      </c>
      <c r="D64" s="188">
        <f t="shared" ref="D64:G64" si="29">C64*D62</f>
        <v>2160000</v>
      </c>
      <c r="E64" s="188">
        <f t="shared" si="29"/>
        <v>2592000</v>
      </c>
      <c r="F64" s="188">
        <f t="shared" si="29"/>
        <v>5184000</v>
      </c>
      <c r="G64" s="188">
        <f t="shared" si="29"/>
        <v>6220800</v>
      </c>
      <c r="J64" s="195"/>
    </row>
    <row r="65" spans="1:7" x14ac:dyDescent="0.35">
      <c r="A65" s="209" t="s">
        <v>205</v>
      </c>
      <c r="B65" s="188">
        <f>109232+70660</f>
        <v>179892</v>
      </c>
      <c r="C65" s="188">
        <f>B65*C62</f>
        <v>215870.4</v>
      </c>
      <c r="D65" s="188">
        <f t="shared" ref="D65:G65" si="30">C65*D62</f>
        <v>647611.19999999995</v>
      </c>
      <c r="E65" s="188">
        <f t="shared" si="30"/>
        <v>777133.44</v>
      </c>
      <c r="F65" s="188">
        <f t="shared" si="30"/>
        <v>1554266.88</v>
      </c>
      <c r="G65" s="188">
        <f t="shared" si="30"/>
        <v>1865120.2559999998</v>
      </c>
    </row>
    <row r="66" spans="1:7" x14ac:dyDescent="0.35">
      <c r="A66" s="167" t="s">
        <v>42</v>
      </c>
      <c r="B66" s="178">
        <f>SUM(B63:B65)</f>
        <v>1769570</v>
      </c>
      <c r="C66" s="178">
        <f t="shared" ref="C66:G66" si="31">SUM(C63:C65)</f>
        <v>2123484</v>
      </c>
      <c r="D66" s="178">
        <f t="shared" si="31"/>
        <v>6370452</v>
      </c>
      <c r="E66" s="178">
        <f t="shared" si="31"/>
        <v>7644542.4000000004</v>
      </c>
      <c r="F66" s="178">
        <f t="shared" si="31"/>
        <v>15289084.800000001</v>
      </c>
      <c r="G66" s="178">
        <f t="shared" si="31"/>
        <v>18346901.759999998</v>
      </c>
    </row>
    <row r="67" spans="1:7" x14ac:dyDescent="0.35">
      <c r="A67"/>
    </row>
    <row r="68" spans="1:7" x14ac:dyDescent="0.35">
      <c r="A68"/>
    </row>
    <row r="69" spans="1:7" ht="15.5" x14ac:dyDescent="0.35">
      <c r="A69" s="167" t="s">
        <v>206</v>
      </c>
      <c r="B69" s="173" t="s">
        <v>192</v>
      </c>
      <c r="C69" s="173" t="s">
        <v>168</v>
      </c>
      <c r="D69" s="173" t="s">
        <v>169</v>
      </c>
      <c r="E69" s="173" t="s">
        <v>170</v>
      </c>
      <c r="F69" s="173" t="s">
        <v>171</v>
      </c>
      <c r="G69" s="173" t="s">
        <v>172</v>
      </c>
    </row>
    <row r="70" spans="1:7" x14ac:dyDescent="0.35">
      <c r="A70" s="167" t="s">
        <v>173</v>
      </c>
      <c r="B70" s="168"/>
      <c r="C70" s="190">
        <v>1.2</v>
      </c>
      <c r="D70" s="190">
        <v>3</v>
      </c>
      <c r="E70" s="190">
        <v>1.2</v>
      </c>
      <c r="F70" s="190">
        <v>2</v>
      </c>
      <c r="G70" s="190">
        <v>1.2</v>
      </c>
    </row>
    <row r="71" spans="1:7" x14ac:dyDescent="0.35">
      <c r="A71" s="211" t="s">
        <v>207</v>
      </c>
      <c r="B71" s="180">
        <f>6400</f>
        <v>6400</v>
      </c>
      <c r="C71" s="188">
        <f>B71*C70</f>
        <v>7680</v>
      </c>
      <c r="D71" s="188">
        <f t="shared" ref="D71:G71" si="32">C71*D70</f>
        <v>23040</v>
      </c>
      <c r="E71" s="188">
        <f t="shared" si="32"/>
        <v>27648</v>
      </c>
      <c r="F71" s="188">
        <f t="shared" si="32"/>
        <v>55296</v>
      </c>
      <c r="G71" s="188">
        <f t="shared" si="32"/>
        <v>66355.199999999997</v>
      </c>
    </row>
    <row r="72" spans="1:7" x14ac:dyDescent="0.35">
      <c r="A72" s="211" t="s">
        <v>208</v>
      </c>
      <c r="B72" s="180">
        <f>8000</f>
        <v>8000</v>
      </c>
      <c r="C72" s="188">
        <f>B72*C70</f>
        <v>9600</v>
      </c>
      <c r="D72" s="188">
        <f t="shared" ref="D72:G72" si="33">C72*D70</f>
        <v>28800</v>
      </c>
      <c r="E72" s="188">
        <f t="shared" si="33"/>
        <v>34560</v>
      </c>
      <c r="F72" s="188">
        <f t="shared" si="33"/>
        <v>69120</v>
      </c>
      <c r="G72" s="188">
        <f t="shared" si="33"/>
        <v>82944</v>
      </c>
    </row>
    <row r="73" spans="1:7" x14ac:dyDescent="0.35">
      <c r="A73" s="167" t="s">
        <v>42</v>
      </c>
      <c r="B73" s="178">
        <f>SUM(B70:B72)</f>
        <v>14400</v>
      </c>
      <c r="C73" s="178">
        <f t="shared" ref="C73" si="34">SUM(C70:C72)</f>
        <v>17281.2</v>
      </c>
      <c r="D73" s="178">
        <f t="shared" ref="D73" si="35">SUM(D70:D72)</f>
        <v>51843</v>
      </c>
      <c r="E73" s="178">
        <f t="shared" ref="E73" si="36">SUM(E70:E72)</f>
        <v>62209.2</v>
      </c>
      <c r="F73" s="178">
        <f t="shared" ref="F73" si="37">SUM(F70:F72)</f>
        <v>124418</v>
      </c>
      <c r="G73" s="178">
        <f t="shared" ref="G73" si="38">SUM(G70:G72)</f>
        <v>149300.4</v>
      </c>
    </row>
    <row r="74" spans="1:7" x14ac:dyDescent="0.35">
      <c r="A74"/>
    </row>
    <row r="75" spans="1:7" x14ac:dyDescent="0.35">
      <c r="A75"/>
    </row>
    <row r="76" spans="1:7" ht="15.5" x14ac:dyDescent="0.35">
      <c r="A76" s="167" t="s">
        <v>209</v>
      </c>
      <c r="B76" s="173" t="s">
        <v>192</v>
      </c>
      <c r="C76" s="173" t="s">
        <v>168</v>
      </c>
      <c r="D76" s="173" t="s">
        <v>169</v>
      </c>
      <c r="E76" s="173" t="s">
        <v>170</v>
      </c>
      <c r="F76" s="173" t="s">
        <v>171</v>
      </c>
      <c r="G76" s="173" t="s">
        <v>172</v>
      </c>
    </row>
    <row r="77" spans="1:7" x14ac:dyDescent="0.35">
      <c r="A77" s="167" t="s">
        <v>173</v>
      </c>
      <c r="B77" s="212"/>
      <c r="C77" s="213">
        <v>1.5</v>
      </c>
      <c r="D77" s="213">
        <v>1.5</v>
      </c>
      <c r="E77" s="213">
        <v>1.5</v>
      </c>
      <c r="F77" s="213">
        <v>1.5</v>
      </c>
      <c r="G77" s="213">
        <v>1.5</v>
      </c>
    </row>
    <row r="78" spans="1:7" x14ac:dyDescent="0.35">
      <c r="A78" s="211" t="s">
        <v>210</v>
      </c>
      <c r="B78" s="180">
        <f>100000</f>
        <v>100000</v>
      </c>
      <c r="C78" s="180">
        <f>B78*C77</f>
        <v>150000</v>
      </c>
      <c r="D78" s="180">
        <f t="shared" ref="D78:G78" si="39">C78*D77</f>
        <v>225000</v>
      </c>
      <c r="E78" s="180">
        <f t="shared" si="39"/>
        <v>337500</v>
      </c>
      <c r="F78" s="180">
        <f t="shared" si="39"/>
        <v>506250</v>
      </c>
      <c r="G78" s="180">
        <f t="shared" si="39"/>
        <v>759375</v>
      </c>
    </row>
    <row r="79" spans="1:7" x14ac:dyDescent="0.35">
      <c r="A79" s="211" t="s">
        <v>211</v>
      </c>
      <c r="B79" s="180">
        <f>90000</f>
        <v>90000</v>
      </c>
      <c r="C79" s="180">
        <v>1000000</v>
      </c>
      <c r="D79" s="180">
        <f>B79*D77</f>
        <v>135000</v>
      </c>
      <c r="E79" s="180">
        <v>1500000</v>
      </c>
      <c r="F79" s="180">
        <f>D79*F77</f>
        <v>202500</v>
      </c>
      <c r="G79" s="180">
        <f t="shared" ref="G79" si="40">F79*110%</f>
        <v>222750.00000000003</v>
      </c>
    </row>
    <row r="80" spans="1:7" x14ac:dyDescent="0.35">
      <c r="A80" s="167" t="s">
        <v>42</v>
      </c>
      <c r="B80" s="178">
        <f t="shared" ref="B80:G80" si="41">SUM(B78:B79)</f>
        <v>190000</v>
      </c>
      <c r="C80" s="178">
        <f t="shared" si="41"/>
        <v>1150000</v>
      </c>
      <c r="D80" s="178">
        <f t="shared" si="41"/>
        <v>360000</v>
      </c>
      <c r="E80" s="178">
        <f t="shared" si="41"/>
        <v>1837500</v>
      </c>
      <c r="F80" s="178">
        <f t="shared" si="41"/>
        <v>708750</v>
      </c>
      <c r="G80" s="178">
        <f t="shared" si="41"/>
        <v>982125</v>
      </c>
    </row>
    <row r="81" spans="1:16" x14ac:dyDescent="0.35">
      <c r="A81"/>
    </row>
    <row r="82" spans="1:16" ht="15" thickBot="1" x14ac:dyDescent="0.4">
      <c r="A82"/>
    </row>
    <row r="83" spans="1:16" ht="15.5" x14ac:dyDescent="0.35">
      <c r="A83" s="167" t="s">
        <v>2</v>
      </c>
      <c r="B83" s="173" t="s">
        <v>192</v>
      </c>
      <c r="C83" s="173" t="s">
        <v>168</v>
      </c>
      <c r="D83" s="173" t="s">
        <v>169</v>
      </c>
      <c r="E83" s="173" t="s">
        <v>170</v>
      </c>
      <c r="F83" s="173" t="s">
        <v>171</v>
      </c>
      <c r="G83" s="173" t="s">
        <v>172</v>
      </c>
      <c r="I83" s="148" t="s">
        <v>0</v>
      </c>
      <c r="J83" s="150"/>
      <c r="K83" s="173" t="s">
        <v>192</v>
      </c>
      <c r="L83" s="173" t="s">
        <v>168</v>
      </c>
      <c r="M83" s="173" t="s">
        <v>169</v>
      </c>
      <c r="N83" s="173" t="s">
        <v>170</v>
      </c>
      <c r="O83" s="173" t="s">
        <v>171</v>
      </c>
      <c r="P83" s="173" t="s">
        <v>172</v>
      </c>
    </row>
    <row r="84" spans="1:16" ht="15" thickBot="1" x14ac:dyDescent="0.4">
      <c r="A84" s="211" t="s">
        <v>212</v>
      </c>
      <c r="B84" s="196">
        <f>950000+100000</f>
        <v>1050000</v>
      </c>
      <c r="C84" s="168"/>
      <c r="D84" s="168"/>
      <c r="E84" s="168"/>
      <c r="F84" s="168"/>
      <c r="G84" s="168"/>
      <c r="I84" s="22" t="s">
        <v>139</v>
      </c>
      <c r="J84" s="25"/>
      <c r="K84" s="216">
        <f t="shared" ref="K84:P84" si="42">B87/B31</f>
        <v>0.15767541281348882</v>
      </c>
      <c r="L84" s="216">
        <f t="shared" si="42"/>
        <v>0.2</v>
      </c>
      <c r="M84" s="216">
        <f t="shared" si="42"/>
        <v>0.37741412354415449</v>
      </c>
      <c r="N84" s="216">
        <f t="shared" si="42"/>
        <v>0.2821869488536155</v>
      </c>
      <c r="O84" s="216">
        <f t="shared" si="42"/>
        <v>0.19440789576004155</v>
      </c>
      <c r="P84" s="219">
        <f t="shared" si="42"/>
        <v>0.1365042031179812</v>
      </c>
    </row>
    <row r="85" spans="1:16" x14ac:dyDescent="0.35">
      <c r="A85" s="211" t="s">
        <v>187</v>
      </c>
      <c r="B85" s="196">
        <v>5500000</v>
      </c>
      <c r="C85" s="168"/>
      <c r="D85" s="168"/>
      <c r="E85" s="168"/>
      <c r="F85" s="168"/>
      <c r="G85" s="168"/>
    </row>
    <row r="86" spans="1:16" x14ac:dyDescent="0.35">
      <c r="A86" s="214" t="s">
        <v>235</v>
      </c>
      <c r="B86" s="168"/>
      <c r="C86" s="168"/>
      <c r="D86" s="168"/>
      <c r="E86" s="168"/>
      <c r="F86" s="168"/>
      <c r="G86" s="168"/>
    </row>
    <row r="87" spans="1:16" x14ac:dyDescent="0.35">
      <c r="A87" s="215" t="s">
        <v>42</v>
      </c>
      <c r="B87" s="178">
        <f>B84+B85</f>
        <v>6550000</v>
      </c>
      <c r="C87" s="178">
        <f>C88*C89</f>
        <v>24640000</v>
      </c>
      <c r="D87" s="178">
        <f t="shared" ref="D87:G87" si="43">D88*D89</f>
        <v>197120000</v>
      </c>
      <c r="E87" s="178">
        <f t="shared" si="43"/>
        <v>320320000</v>
      </c>
      <c r="F87" s="178">
        <f t="shared" si="43"/>
        <v>369600000</v>
      </c>
      <c r="G87" s="178">
        <f t="shared" si="43"/>
        <v>443520000</v>
      </c>
    </row>
    <row r="88" spans="1:16" x14ac:dyDescent="0.35">
      <c r="A88" s="214" t="s">
        <v>177</v>
      </c>
      <c r="B88" s="196">
        <f>B24</f>
        <v>550</v>
      </c>
      <c r="C88" s="196">
        <f t="shared" ref="C88:G88" si="44">C24</f>
        <v>1540</v>
      </c>
      <c r="D88" s="196">
        <f t="shared" si="44"/>
        <v>6160</v>
      </c>
      <c r="E88" s="196">
        <f t="shared" si="44"/>
        <v>12320</v>
      </c>
      <c r="F88" s="196">
        <f t="shared" si="44"/>
        <v>18480</v>
      </c>
      <c r="G88" s="196">
        <f t="shared" si="44"/>
        <v>27720</v>
      </c>
    </row>
    <row r="89" spans="1:16" x14ac:dyDescent="0.35">
      <c r="A89" s="214" t="s">
        <v>213</v>
      </c>
      <c r="B89" s="188">
        <f>B87/B88</f>
        <v>11909.09090909091</v>
      </c>
      <c r="C89" s="168">
        <v>16000</v>
      </c>
      <c r="D89" s="168">
        <v>32000</v>
      </c>
      <c r="E89" s="168">
        <v>26000</v>
      </c>
      <c r="F89" s="168">
        <v>20000</v>
      </c>
      <c r="G89" s="168">
        <v>16000</v>
      </c>
    </row>
    <row r="90" spans="1:16" x14ac:dyDescent="0.35">
      <c r="A90" s="210"/>
    </row>
    <row r="91" spans="1:16" ht="15.5" x14ac:dyDescent="0.35">
      <c r="A91" s="210"/>
      <c r="I91" s="173" t="s">
        <v>0</v>
      </c>
      <c r="J91" s="173" t="s">
        <v>168</v>
      </c>
      <c r="K91" s="173" t="s">
        <v>169</v>
      </c>
      <c r="L91" s="173" t="s">
        <v>170</v>
      </c>
      <c r="M91" s="173" t="s">
        <v>171</v>
      </c>
      <c r="N91" s="173" t="s">
        <v>172</v>
      </c>
    </row>
    <row r="92" spans="1:16" ht="15.5" x14ac:dyDescent="0.35">
      <c r="A92" s="197" t="s">
        <v>193</v>
      </c>
      <c r="B92" s="173" t="s">
        <v>192</v>
      </c>
      <c r="C92" s="173" t="s">
        <v>168</v>
      </c>
      <c r="D92" s="173" t="s">
        <v>169</v>
      </c>
      <c r="E92" s="173" t="s">
        <v>170</v>
      </c>
      <c r="F92" s="173" t="s">
        <v>171</v>
      </c>
      <c r="G92" s="173" t="s">
        <v>172</v>
      </c>
      <c r="I92" s="168" t="s">
        <v>214</v>
      </c>
      <c r="J92" s="190">
        <v>0.25</v>
      </c>
      <c r="K92" s="190">
        <v>0.25</v>
      </c>
      <c r="L92" s="190">
        <v>0.25</v>
      </c>
      <c r="M92" s="190">
        <v>0.25</v>
      </c>
      <c r="N92" s="190">
        <v>0.25</v>
      </c>
    </row>
    <row r="93" spans="1:16" x14ac:dyDescent="0.35">
      <c r="A93" s="198" t="s">
        <v>194</v>
      </c>
      <c r="B93" s="199">
        <v>3119712</v>
      </c>
      <c r="C93" s="199">
        <f t="shared" ref="C93:G93" si="45">B97</f>
        <v>2910633</v>
      </c>
      <c r="D93" s="199">
        <f t="shared" si="45"/>
        <v>15232974.75</v>
      </c>
      <c r="E93" s="199">
        <f t="shared" si="45"/>
        <v>12567204.168749999</v>
      </c>
      <c r="F93" s="199">
        <f t="shared" si="45"/>
        <v>10367943.439218748</v>
      </c>
      <c r="G93" s="199">
        <f t="shared" si="45"/>
        <v>8553553.3373554684</v>
      </c>
      <c r="I93" s="168" t="s">
        <v>215</v>
      </c>
      <c r="J93" s="190">
        <v>0.1</v>
      </c>
      <c r="K93" s="190">
        <v>0.1</v>
      </c>
      <c r="L93" s="190">
        <v>0.1</v>
      </c>
      <c r="M93" s="190">
        <v>0.1</v>
      </c>
      <c r="N93" s="190">
        <v>0.1</v>
      </c>
    </row>
    <row r="94" spans="1:16" x14ac:dyDescent="0.35">
      <c r="A94" s="198" t="s">
        <v>195</v>
      </c>
      <c r="B94" s="199">
        <v>112581</v>
      </c>
      <c r="C94" s="199">
        <f>15000000+2400000</f>
        <v>17400000</v>
      </c>
      <c r="D94" s="199">
        <f>D93*J93</f>
        <v>1523297.4750000001</v>
      </c>
      <c r="E94" s="199">
        <f t="shared" ref="E94:G94" si="46">E93*K93</f>
        <v>1256720.4168749999</v>
      </c>
      <c r="F94" s="199">
        <f t="shared" si="46"/>
        <v>1036794.3439218749</v>
      </c>
      <c r="G94" s="199">
        <f t="shared" si="46"/>
        <v>855355.33373554691</v>
      </c>
    </row>
    <row r="95" spans="1:16" x14ac:dyDescent="0.35">
      <c r="A95" s="198" t="s">
        <v>196</v>
      </c>
      <c r="B95" s="199">
        <f t="shared" ref="B95:G95" si="47">B93+B94</f>
        <v>3232293</v>
      </c>
      <c r="C95" s="199">
        <f t="shared" si="47"/>
        <v>20310633</v>
      </c>
      <c r="D95" s="199">
        <f t="shared" si="47"/>
        <v>16756272.225</v>
      </c>
      <c r="E95" s="199">
        <f t="shared" si="47"/>
        <v>13823924.585624998</v>
      </c>
      <c r="F95" s="199">
        <f t="shared" si="47"/>
        <v>11404737.783140624</v>
      </c>
      <c r="G95" s="199">
        <f t="shared" si="47"/>
        <v>9408908.6710910145</v>
      </c>
    </row>
    <row r="96" spans="1:16" x14ac:dyDescent="0.35">
      <c r="A96" s="198" t="s">
        <v>197</v>
      </c>
      <c r="B96" s="199">
        <v>321660</v>
      </c>
      <c r="C96" s="199">
        <f>C95*J92</f>
        <v>5077658.25</v>
      </c>
      <c r="D96" s="199">
        <f>D95*K92</f>
        <v>4189068.0562499999</v>
      </c>
      <c r="E96" s="199">
        <f>E95*L92</f>
        <v>3455981.1464062496</v>
      </c>
      <c r="F96" s="199">
        <f>F95*M92</f>
        <v>2851184.445785156</v>
      </c>
      <c r="G96" s="199">
        <f>G95*N92</f>
        <v>2352227.1677727536</v>
      </c>
    </row>
    <row r="97" spans="1:7" ht="15" thickBot="1" x14ac:dyDescent="0.4">
      <c r="A97" s="218" t="s">
        <v>198</v>
      </c>
      <c r="B97" s="200">
        <f t="shared" ref="B97:G97" si="48">B95-B96</f>
        <v>2910633</v>
      </c>
      <c r="C97" s="200">
        <f>C95-C96</f>
        <v>15232974.75</v>
      </c>
      <c r="D97" s="200">
        <f t="shared" si="48"/>
        <v>12567204.168749999</v>
      </c>
      <c r="E97" s="200">
        <f t="shared" si="48"/>
        <v>10367943.439218748</v>
      </c>
      <c r="F97" s="200">
        <f t="shared" si="48"/>
        <v>8553553.3373554684</v>
      </c>
      <c r="G97" s="199">
        <f t="shared" si="48"/>
        <v>7056681.5033182614</v>
      </c>
    </row>
    <row r="98" spans="1:7" ht="15" thickTop="1" x14ac:dyDescent="0.35">
      <c r="A98" s="201"/>
      <c r="B98" s="202"/>
      <c r="C98" s="202"/>
      <c r="D98" s="202"/>
      <c r="E98" s="202"/>
      <c r="F98" s="217"/>
      <c r="G98" s="217"/>
    </row>
  </sheetData>
  <mergeCells count="22">
    <mergeCell ref="F45:F46"/>
    <mergeCell ref="G45:G46"/>
    <mergeCell ref="F48:F49"/>
    <mergeCell ref="G48:G49"/>
    <mergeCell ref="C51:C52"/>
    <mergeCell ref="D51:D52"/>
    <mergeCell ref="E51:E52"/>
    <mergeCell ref="F51:F52"/>
    <mergeCell ref="G51:G52"/>
    <mergeCell ref="D48:D49"/>
    <mergeCell ref="E48:E49"/>
    <mergeCell ref="A2:E2"/>
    <mergeCell ref="A50:A52"/>
    <mergeCell ref="B51:B52"/>
    <mergeCell ref="C48:C49"/>
    <mergeCell ref="A44:A46"/>
    <mergeCell ref="A47:A49"/>
    <mergeCell ref="B48:B49"/>
    <mergeCell ref="B45:B46"/>
    <mergeCell ref="C45:C46"/>
    <mergeCell ref="D45:D46"/>
    <mergeCell ref="E45:E46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25"/>
  <sheetViews>
    <sheetView showGridLines="0" topLeftCell="A4" workbookViewId="0">
      <selection activeCell="G21" sqref="G21"/>
    </sheetView>
  </sheetViews>
  <sheetFormatPr defaultRowHeight="14.5" x14ac:dyDescent="0.35"/>
  <cols>
    <col min="1" max="1" width="4" customWidth="1"/>
    <col min="2" max="2" width="26.26953125" bestFit="1" customWidth="1"/>
    <col min="3" max="4" width="12.36328125" bestFit="1" customWidth="1"/>
    <col min="5" max="7" width="13.6328125" bestFit="1" customWidth="1"/>
    <col min="8" max="8" width="6.1796875" customWidth="1"/>
    <col min="9" max="9" width="18.453125" bestFit="1" customWidth="1"/>
    <col min="10" max="10" width="18.453125" customWidth="1"/>
    <col min="11" max="12" width="9.7265625" bestFit="1" customWidth="1"/>
    <col min="13" max="13" width="12.54296875" bestFit="1" customWidth="1"/>
    <col min="14" max="15" width="11.54296875" bestFit="1" customWidth="1"/>
    <col min="16" max="16" width="6.1796875" customWidth="1"/>
    <col min="17" max="17" width="31.6328125" bestFit="1" customWidth="1"/>
    <col min="18" max="20" width="12.36328125" bestFit="1" customWidth="1"/>
    <col min="21" max="21" width="13.6328125" bestFit="1" customWidth="1"/>
    <col min="22" max="23" width="14" bestFit="1" customWidth="1"/>
  </cols>
  <sheetData>
    <row r="1" spans="2:23" ht="23.5" x14ac:dyDescent="0.55000000000000004">
      <c r="B1" s="29" t="s">
        <v>136</v>
      </c>
    </row>
    <row r="2" spans="2:23" ht="15.75" customHeight="1" x14ac:dyDescent="0.55000000000000004">
      <c r="B2" s="29"/>
      <c r="I2" s="270" t="s">
        <v>133</v>
      </c>
      <c r="J2" s="270"/>
      <c r="K2" s="270"/>
      <c r="L2" s="270"/>
      <c r="M2" s="270"/>
      <c r="N2" s="270"/>
      <c r="O2" s="270"/>
      <c r="R2" s="269" t="s">
        <v>225</v>
      </c>
      <c r="S2" s="269"/>
      <c r="T2" s="269"/>
      <c r="U2" s="269"/>
      <c r="V2" s="269"/>
    </row>
    <row r="3" spans="2:23" ht="15.5" x14ac:dyDescent="0.35">
      <c r="B3" s="221" t="s">
        <v>0</v>
      </c>
      <c r="C3" s="173" t="s">
        <v>168</v>
      </c>
      <c r="D3" s="173" t="s">
        <v>169</v>
      </c>
      <c r="E3" s="173" t="s">
        <v>170</v>
      </c>
      <c r="F3" s="173" t="s">
        <v>171</v>
      </c>
      <c r="G3" s="173" t="s">
        <v>172</v>
      </c>
      <c r="I3" s="221" t="s">
        <v>0</v>
      </c>
      <c r="J3" s="221" t="s">
        <v>224</v>
      </c>
      <c r="K3" s="229" t="s">
        <v>168</v>
      </c>
      <c r="L3" s="229" t="s">
        <v>169</v>
      </c>
      <c r="M3" s="229" t="s">
        <v>170</v>
      </c>
      <c r="N3" s="229" t="s">
        <v>171</v>
      </c>
      <c r="O3" s="229" t="s">
        <v>172</v>
      </c>
      <c r="Q3" s="221" t="s">
        <v>0</v>
      </c>
      <c r="R3" s="238" t="s">
        <v>224</v>
      </c>
      <c r="S3" s="235" t="s">
        <v>168</v>
      </c>
      <c r="T3" s="235" t="s">
        <v>169</v>
      </c>
      <c r="U3" s="235" t="s">
        <v>170</v>
      </c>
      <c r="V3" s="235" t="s">
        <v>171</v>
      </c>
      <c r="W3" s="236" t="s">
        <v>172</v>
      </c>
    </row>
    <row r="4" spans="2:23" x14ac:dyDescent="0.35">
      <c r="B4" s="163" t="s">
        <v>153</v>
      </c>
      <c r="C4" s="147">
        <v>3</v>
      </c>
      <c r="D4" s="147">
        <v>3</v>
      </c>
      <c r="E4" s="147">
        <v>4</v>
      </c>
      <c r="F4" s="147">
        <v>4</v>
      </c>
      <c r="G4" s="220">
        <v>5</v>
      </c>
      <c r="I4" s="241" t="s">
        <v>200</v>
      </c>
      <c r="J4" s="242"/>
      <c r="K4" s="243">
        <v>1.1000000000000001</v>
      </c>
      <c r="L4" s="243">
        <v>1.1200000000000001</v>
      </c>
      <c r="M4" s="243">
        <v>1.1499999999999999</v>
      </c>
      <c r="N4" s="243">
        <v>1.18</v>
      </c>
      <c r="O4" s="244">
        <v>1.2</v>
      </c>
      <c r="Q4" s="228"/>
      <c r="R4" s="20"/>
      <c r="S4" s="7"/>
      <c r="T4" s="7"/>
      <c r="U4" s="7"/>
      <c r="V4" s="7"/>
      <c r="W4" s="220"/>
    </row>
    <row r="5" spans="2:23" x14ac:dyDescent="0.35">
      <c r="B5" s="245" t="s">
        <v>216</v>
      </c>
      <c r="C5" s="147">
        <f>Assumptions!C24</f>
        <v>1540</v>
      </c>
      <c r="D5" s="147">
        <f>Assumptions!D24</f>
        <v>6160</v>
      </c>
      <c r="E5" s="147">
        <f>Assumptions!E24</f>
        <v>12320</v>
      </c>
      <c r="F5" s="147">
        <f>Assumptions!F24</f>
        <v>18480</v>
      </c>
      <c r="G5" s="220">
        <f>Assumptions!G24</f>
        <v>27720</v>
      </c>
      <c r="I5" s="228" t="s">
        <v>153</v>
      </c>
      <c r="J5" s="43">
        <v>110000</v>
      </c>
      <c r="K5" s="7">
        <f>J5*K4</f>
        <v>121000.00000000001</v>
      </c>
      <c r="L5" s="7">
        <f t="shared" ref="L5:O5" si="0">K5*L4</f>
        <v>135520.00000000003</v>
      </c>
      <c r="M5" s="7">
        <f t="shared" si="0"/>
        <v>155848.00000000003</v>
      </c>
      <c r="N5" s="7">
        <f t="shared" si="0"/>
        <v>183900.64</v>
      </c>
      <c r="O5" s="220">
        <f t="shared" si="0"/>
        <v>220680.76800000001</v>
      </c>
      <c r="Q5" s="228" t="s">
        <v>153</v>
      </c>
      <c r="R5" s="20"/>
      <c r="S5" s="7">
        <f>C4*K5</f>
        <v>363000.00000000006</v>
      </c>
      <c r="T5" s="7">
        <f>D4*L5</f>
        <v>406560.00000000012</v>
      </c>
      <c r="U5" s="7">
        <f>E4*M5</f>
        <v>623392.00000000012</v>
      </c>
      <c r="V5" s="7">
        <f>F4*N5</f>
        <v>735602.56</v>
      </c>
      <c r="W5" s="220">
        <f>G4*O5</f>
        <v>1103403.8400000001</v>
      </c>
    </row>
    <row r="6" spans="2:23" x14ac:dyDescent="0.35">
      <c r="B6" s="222" t="s">
        <v>217</v>
      </c>
      <c r="C6" s="147">
        <v>15</v>
      </c>
      <c r="D6" s="147">
        <v>20</v>
      </c>
      <c r="E6" s="147">
        <v>25</v>
      </c>
      <c r="F6" s="147">
        <v>25</v>
      </c>
      <c r="G6" s="220">
        <v>25</v>
      </c>
      <c r="I6" s="228" t="s">
        <v>154</v>
      </c>
      <c r="J6" s="43">
        <v>25000</v>
      </c>
      <c r="K6" s="7">
        <f>J6*K4</f>
        <v>27500.000000000004</v>
      </c>
      <c r="L6" s="7">
        <f t="shared" ref="L6:O6" si="1">K6*L4</f>
        <v>30800.000000000007</v>
      </c>
      <c r="M6" s="7">
        <f t="shared" si="1"/>
        <v>35420.000000000007</v>
      </c>
      <c r="N6" s="7">
        <f t="shared" si="1"/>
        <v>41795.600000000006</v>
      </c>
      <c r="O6" s="220">
        <f t="shared" si="1"/>
        <v>50154.720000000008</v>
      </c>
      <c r="Q6" s="228" t="s">
        <v>154</v>
      </c>
      <c r="R6" s="20"/>
      <c r="S6" s="7">
        <f>C7*K6</f>
        <v>2823333.333333334</v>
      </c>
      <c r="T6" s="7">
        <f>D7*L6</f>
        <v>9486400.0000000019</v>
      </c>
      <c r="U6" s="7">
        <f>E7*M6</f>
        <v>17454976.000000004</v>
      </c>
      <c r="V6" s="7">
        <f>F7*N6</f>
        <v>30895307.520000007</v>
      </c>
      <c r="W6" s="220">
        <f>G7*O6</f>
        <v>55611553.536000006</v>
      </c>
    </row>
    <row r="7" spans="2:23" x14ac:dyDescent="0.35">
      <c r="B7" s="163" t="s">
        <v>154</v>
      </c>
      <c r="C7" s="7">
        <f>C5/C6</f>
        <v>102.66666666666667</v>
      </c>
      <c r="D7" s="7">
        <f t="shared" ref="D7:G7" si="2">D5/D6</f>
        <v>308</v>
      </c>
      <c r="E7" s="7">
        <f t="shared" si="2"/>
        <v>492.8</v>
      </c>
      <c r="F7" s="7">
        <f t="shared" si="2"/>
        <v>739.2</v>
      </c>
      <c r="G7" s="220">
        <f t="shared" si="2"/>
        <v>1108.8</v>
      </c>
      <c r="I7" s="228" t="s">
        <v>220</v>
      </c>
      <c r="J7" s="43">
        <v>40000</v>
      </c>
      <c r="K7" s="7">
        <f>J7*K4</f>
        <v>44000</v>
      </c>
      <c r="L7" s="7">
        <f t="shared" ref="L7:O7" si="3">K7*L4</f>
        <v>49280.000000000007</v>
      </c>
      <c r="M7" s="7">
        <f t="shared" si="3"/>
        <v>56672.000000000007</v>
      </c>
      <c r="N7" s="7">
        <f t="shared" si="3"/>
        <v>66872.960000000006</v>
      </c>
      <c r="O7" s="220">
        <f t="shared" si="3"/>
        <v>80247.552000000011</v>
      </c>
      <c r="Q7" s="228" t="s">
        <v>220</v>
      </c>
      <c r="R7" s="20"/>
      <c r="S7" s="7">
        <f>C9*K7</f>
        <v>112933.33333333334</v>
      </c>
      <c r="T7" s="7">
        <f>D9*L7</f>
        <v>337294.22222222225</v>
      </c>
      <c r="U7" s="7">
        <f>E9*M7</f>
        <v>558559.23200000008</v>
      </c>
      <c r="V7" s="7">
        <f>F9*N7</f>
        <v>988649.84064000018</v>
      </c>
      <c r="W7" s="220">
        <f>G9*O7</f>
        <v>1779569.7131520002</v>
      </c>
    </row>
    <row r="8" spans="2:23" x14ac:dyDescent="0.35">
      <c r="B8" s="222" t="s">
        <v>218</v>
      </c>
      <c r="C8" s="7">
        <v>40</v>
      </c>
      <c r="D8" s="7">
        <v>45</v>
      </c>
      <c r="E8" s="7">
        <v>50</v>
      </c>
      <c r="F8" s="7">
        <v>50</v>
      </c>
      <c r="G8" s="220">
        <v>50</v>
      </c>
      <c r="I8" s="228" t="s">
        <v>155</v>
      </c>
      <c r="J8" s="231">
        <v>35000</v>
      </c>
      <c r="K8" s="7">
        <f>J8*K4</f>
        <v>38500</v>
      </c>
      <c r="L8" s="7">
        <f t="shared" ref="L8:O8" si="4">K8*L4</f>
        <v>43120.000000000007</v>
      </c>
      <c r="M8" s="7">
        <f t="shared" si="4"/>
        <v>49588.000000000007</v>
      </c>
      <c r="N8" s="7">
        <f t="shared" si="4"/>
        <v>58513.840000000004</v>
      </c>
      <c r="O8" s="220">
        <f t="shared" si="4"/>
        <v>70216.608000000007</v>
      </c>
      <c r="Q8" s="228" t="s">
        <v>155</v>
      </c>
      <c r="R8" s="20"/>
      <c r="S8" s="7">
        <f t="shared" ref="S8:W10" si="5">C11*K8</f>
        <v>1185800</v>
      </c>
      <c r="T8" s="7">
        <f t="shared" si="5"/>
        <v>4426986.6666666679</v>
      </c>
      <c r="U8" s="7">
        <f t="shared" si="5"/>
        <v>7636552.0000000009</v>
      </c>
      <c r="V8" s="7">
        <f t="shared" si="5"/>
        <v>10813357.632000001</v>
      </c>
      <c r="W8" s="220">
        <f t="shared" si="5"/>
        <v>19464043.737600002</v>
      </c>
    </row>
    <row r="9" spans="2:23" x14ac:dyDescent="0.35">
      <c r="B9" s="163" t="s">
        <v>220</v>
      </c>
      <c r="C9" s="7">
        <f>C7/C8</f>
        <v>2.5666666666666669</v>
      </c>
      <c r="D9" s="7">
        <f t="shared" ref="D9:G9" si="6">D7/D8</f>
        <v>6.8444444444444441</v>
      </c>
      <c r="E9" s="7">
        <f t="shared" si="6"/>
        <v>9.8559999999999999</v>
      </c>
      <c r="F9" s="7">
        <f t="shared" si="6"/>
        <v>14.784000000000001</v>
      </c>
      <c r="G9" s="220">
        <f t="shared" si="6"/>
        <v>22.175999999999998</v>
      </c>
      <c r="I9" s="228" t="s">
        <v>156</v>
      </c>
      <c r="J9" s="231">
        <v>40000</v>
      </c>
      <c r="K9" s="7">
        <f>J9*K4</f>
        <v>44000</v>
      </c>
      <c r="L9" s="7">
        <f t="shared" ref="L9:O9" si="7">K9*L4</f>
        <v>49280.000000000007</v>
      </c>
      <c r="M9" s="7">
        <f t="shared" si="7"/>
        <v>56672.000000000007</v>
      </c>
      <c r="N9" s="7">
        <f t="shared" si="7"/>
        <v>66872.960000000006</v>
      </c>
      <c r="O9" s="220">
        <f t="shared" si="7"/>
        <v>80247.552000000011</v>
      </c>
      <c r="Q9" s="228" t="s">
        <v>156</v>
      </c>
      <c r="R9" s="20"/>
      <c r="S9" s="7">
        <f t="shared" si="5"/>
        <v>220000</v>
      </c>
      <c r="T9" s="7">
        <f t="shared" si="5"/>
        <v>394240.00000000006</v>
      </c>
      <c r="U9" s="7">
        <f t="shared" si="5"/>
        <v>680064.00000000012</v>
      </c>
      <c r="V9" s="7">
        <f t="shared" si="5"/>
        <v>1003094.4000000001</v>
      </c>
      <c r="W9" s="220">
        <f t="shared" si="5"/>
        <v>1203713.2800000003</v>
      </c>
    </row>
    <row r="10" spans="2:23" x14ac:dyDescent="0.35">
      <c r="B10" s="222" t="s">
        <v>219</v>
      </c>
      <c r="C10" s="7">
        <v>50</v>
      </c>
      <c r="D10" s="7">
        <v>60</v>
      </c>
      <c r="E10" s="7">
        <v>80</v>
      </c>
      <c r="F10" s="7">
        <v>100</v>
      </c>
      <c r="G10" s="220">
        <v>100</v>
      </c>
      <c r="I10" s="228" t="s">
        <v>157</v>
      </c>
      <c r="J10" s="231">
        <v>25000</v>
      </c>
      <c r="K10" s="7">
        <f>J10*K4</f>
        <v>27500.000000000004</v>
      </c>
      <c r="L10" s="7">
        <f t="shared" ref="L10:O10" si="8">K10*L4</f>
        <v>30800.000000000007</v>
      </c>
      <c r="M10" s="7">
        <f t="shared" si="8"/>
        <v>35420.000000000007</v>
      </c>
      <c r="N10" s="7">
        <f t="shared" si="8"/>
        <v>41795.600000000006</v>
      </c>
      <c r="O10" s="220">
        <f t="shared" si="8"/>
        <v>50154.720000000008</v>
      </c>
      <c r="Q10" s="228" t="s">
        <v>157</v>
      </c>
      <c r="R10" s="20"/>
      <c r="S10" s="7">
        <f t="shared" si="5"/>
        <v>82500.000000000015</v>
      </c>
      <c r="T10" s="7">
        <f t="shared" si="5"/>
        <v>154000.00000000003</v>
      </c>
      <c r="U10" s="7">
        <f t="shared" si="5"/>
        <v>354200.00000000006</v>
      </c>
      <c r="V10" s="7">
        <f t="shared" si="5"/>
        <v>501547.20000000007</v>
      </c>
      <c r="W10" s="220">
        <f t="shared" si="5"/>
        <v>752320.80000000016</v>
      </c>
    </row>
    <row r="11" spans="2:23" x14ac:dyDescent="0.35">
      <c r="B11" s="163" t="s">
        <v>155</v>
      </c>
      <c r="C11" s="7">
        <f>C5/C10</f>
        <v>30.8</v>
      </c>
      <c r="D11" s="7">
        <f t="shared" ref="D11:G11" si="9">D5/D10</f>
        <v>102.66666666666667</v>
      </c>
      <c r="E11" s="7">
        <f t="shared" si="9"/>
        <v>154</v>
      </c>
      <c r="F11" s="7">
        <f t="shared" si="9"/>
        <v>184.8</v>
      </c>
      <c r="G11" s="220">
        <f t="shared" si="9"/>
        <v>277.2</v>
      </c>
      <c r="I11" s="228" t="s">
        <v>158</v>
      </c>
      <c r="J11" s="231">
        <v>35000</v>
      </c>
      <c r="K11" s="7">
        <f>J11*K4</f>
        <v>38500</v>
      </c>
      <c r="L11" s="7">
        <f t="shared" ref="L11:O11" si="10">K11*L4</f>
        <v>43120.000000000007</v>
      </c>
      <c r="M11" s="7">
        <f t="shared" si="10"/>
        <v>49588.000000000007</v>
      </c>
      <c r="N11" s="7">
        <f t="shared" si="10"/>
        <v>58513.840000000004</v>
      </c>
      <c r="O11" s="220">
        <f t="shared" si="10"/>
        <v>70216.608000000007</v>
      </c>
      <c r="Q11" s="228" t="s">
        <v>158</v>
      </c>
      <c r="R11" s="20"/>
      <c r="S11" s="7">
        <f t="shared" ref="S11:W13" si="11">C16*K11</f>
        <v>431200</v>
      </c>
      <c r="T11" s="7">
        <f t="shared" si="11"/>
        <v>1828018.4999999998</v>
      </c>
      <c r="U11" s="7">
        <f t="shared" si="11"/>
        <v>3972969.0000000005</v>
      </c>
      <c r="V11" s="7">
        <f t="shared" si="11"/>
        <v>6654050.7264</v>
      </c>
      <c r="W11" s="220">
        <f t="shared" si="11"/>
        <v>11371957.526160004</v>
      </c>
    </row>
    <row r="12" spans="2:23" x14ac:dyDescent="0.35">
      <c r="B12" s="163" t="s">
        <v>156</v>
      </c>
      <c r="C12" s="7">
        <v>5</v>
      </c>
      <c r="D12" s="7">
        <v>8</v>
      </c>
      <c r="E12" s="7">
        <v>12</v>
      </c>
      <c r="F12" s="7">
        <v>15</v>
      </c>
      <c r="G12" s="220">
        <v>15</v>
      </c>
      <c r="I12" s="228" t="s">
        <v>135</v>
      </c>
      <c r="J12" s="231">
        <v>30000</v>
      </c>
      <c r="K12" s="7">
        <f>J12*K4</f>
        <v>33000</v>
      </c>
      <c r="L12" s="7">
        <f t="shared" ref="L12:O12" si="12">K12*L4</f>
        <v>36960</v>
      </c>
      <c r="M12" s="7">
        <f t="shared" si="12"/>
        <v>42504</v>
      </c>
      <c r="N12" s="7">
        <f t="shared" si="12"/>
        <v>50154.719999999994</v>
      </c>
      <c r="O12" s="220">
        <f t="shared" si="12"/>
        <v>60185.66399999999</v>
      </c>
      <c r="Q12" s="228" t="s">
        <v>135</v>
      </c>
      <c r="R12" s="20"/>
      <c r="S12" s="7">
        <f t="shared" si="11"/>
        <v>99000</v>
      </c>
      <c r="T12" s="7">
        <f t="shared" si="11"/>
        <v>184800</v>
      </c>
      <c r="U12" s="7">
        <f t="shared" si="11"/>
        <v>425040</v>
      </c>
      <c r="V12" s="7">
        <f t="shared" si="11"/>
        <v>501547.19999999995</v>
      </c>
      <c r="W12" s="220">
        <f t="shared" si="11"/>
        <v>722227.96799999988</v>
      </c>
    </row>
    <row r="13" spans="2:23" x14ac:dyDescent="0.35">
      <c r="B13" s="163" t="s">
        <v>157</v>
      </c>
      <c r="C13" s="7">
        <v>3</v>
      </c>
      <c r="D13" s="7">
        <v>5</v>
      </c>
      <c r="E13" s="7">
        <v>10</v>
      </c>
      <c r="F13" s="7">
        <v>12</v>
      </c>
      <c r="G13" s="220">
        <v>15</v>
      </c>
      <c r="I13" s="228" t="s">
        <v>159</v>
      </c>
      <c r="J13" s="231">
        <v>15000</v>
      </c>
      <c r="K13" s="7">
        <f>J13*K4</f>
        <v>16500</v>
      </c>
      <c r="L13" s="7">
        <f t="shared" ref="L13:O13" si="13">K13*L4</f>
        <v>18480</v>
      </c>
      <c r="M13" s="7">
        <f t="shared" si="13"/>
        <v>21252</v>
      </c>
      <c r="N13" s="7">
        <f t="shared" si="13"/>
        <v>25077.359999999997</v>
      </c>
      <c r="O13" s="220">
        <f t="shared" si="13"/>
        <v>30092.831999999995</v>
      </c>
      <c r="Q13" s="228" t="s">
        <v>159</v>
      </c>
      <c r="R13" s="20"/>
      <c r="S13" s="7">
        <f t="shared" si="11"/>
        <v>33000</v>
      </c>
      <c r="T13" s="7">
        <f t="shared" si="11"/>
        <v>55440</v>
      </c>
      <c r="U13" s="7">
        <f t="shared" si="11"/>
        <v>85008</v>
      </c>
      <c r="V13" s="7">
        <f t="shared" si="11"/>
        <v>125386.79999999999</v>
      </c>
      <c r="W13" s="220">
        <f t="shared" si="11"/>
        <v>180556.99199999997</v>
      </c>
    </row>
    <row r="14" spans="2:23" x14ac:dyDescent="0.35">
      <c r="B14" s="163" t="s">
        <v>15</v>
      </c>
      <c r="C14" s="7">
        <f>Assumptions!C31</f>
        <v>123200000</v>
      </c>
      <c r="D14" s="7">
        <f>Assumptions!D31</f>
        <v>522291000</v>
      </c>
      <c r="E14" s="7">
        <f>Assumptions!E31</f>
        <v>1135134000</v>
      </c>
      <c r="F14" s="7">
        <f>Assumptions!F31</f>
        <v>1901157350.4000001</v>
      </c>
      <c r="G14" s="220">
        <f>Assumptions!G31</f>
        <v>3249130721.7600007</v>
      </c>
      <c r="I14" s="126" t="s">
        <v>134</v>
      </c>
      <c r="J14" s="232">
        <v>30000</v>
      </c>
      <c r="K14" s="83">
        <f>J14*K4</f>
        <v>33000</v>
      </c>
      <c r="L14" s="83">
        <f t="shared" ref="L14:O14" si="14">K14*L4</f>
        <v>36960</v>
      </c>
      <c r="M14" s="83">
        <f t="shared" si="14"/>
        <v>42504</v>
      </c>
      <c r="N14" s="83">
        <f t="shared" si="14"/>
        <v>50154.719999999994</v>
      </c>
      <c r="O14" s="233">
        <f t="shared" si="14"/>
        <v>60185.66399999999</v>
      </c>
      <c r="Q14" s="228" t="s">
        <v>134</v>
      </c>
      <c r="R14" s="20"/>
      <c r="S14" s="7">
        <f>C22*K14</f>
        <v>269334.99999999994</v>
      </c>
      <c r="T14" s="7">
        <f>D22*L14</f>
        <v>596170.7888888889</v>
      </c>
      <c r="U14" s="7">
        <f>E22*M14</f>
        <v>825401.71559999988</v>
      </c>
      <c r="V14" s="7">
        <f>F22*N14</f>
        <v>1101900.7566335998</v>
      </c>
      <c r="W14" s="220">
        <f>G22*O14</f>
        <v>1628153.9991023999</v>
      </c>
    </row>
    <row r="15" spans="2:23" x14ac:dyDescent="0.35">
      <c r="B15" s="222" t="s">
        <v>221</v>
      </c>
      <c r="C15" s="7">
        <f>10^7*K4</f>
        <v>11000000</v>
      </c>
      <c r="D15" s="7">
        <f>C15*L4</f>
        <v>12320000.000000002</v>
      </c>
      <c r="E15" s="7">
        <f t="shared" ref="E15:G15" si="15">D15*M4</f>
        <v>14168000.000000002</v>
      </c>
      <c r="F15" s="7">
        <f t="shared" si="15"/>
        <v>16718240.000000002</v>
      </c>
      <c r="G15" s="7">
        <f t="shared" si="15"/>
        <v>20061888</v>
      </c>
      <c r="I15" s="20"/>
      <c r="J15" s="20"/>
      <c r="K15" s="7"/>
      <c r="L15" s="7"/>
      <c r="M15" s="7"/>
      <c r="N15" s="7"/>
      <c r="O15" s="7"/>
      <c r="Q15" s="228" t="s">
        <v>226</v>
      </c>
      <c r="R15" s="20"/>
      <c r="S15" s="15">
        <f>SUM(S5:S14)</f>
        <v>5620101.6666666679</v>
      </c>
      <c r="T15" s="15">
        <f t="shared" ref="T15:W15" si="16">SUM(T5:T14)</f>
        <v>17869910.177777782</v>
      </c>
      <c r="U15" s="15">
        <f t="shared" si="16"/>
        <v>32616161.947600003</v>
      </c>
      <c r="V15" s="15">
        <f t="shared" si="16"/>
        <v>53320444.635673612</v>
      </c>
      <c r="W15" s="15">
        <f t="shared" si="16"/>
        <v>93817501.392014399</v>
      </c>
    </row>
    <row r="16" spans="2:23" x14ac:dyDescent="0.35">
      <c r="B16" s="163" t="s">
        <v>158</v>
      </c>
      <c r="C16" s="7">
        <f>C14/C15</f>
        <v>11.2</v>
      </c>
      <c r="D16" s="7">
        <f>D14/D15</f>
        <v>42.39374999999999</v>
      </c>
      <c r="E16" s="7">
        <f>E14/E15</f>
        <v>80.119565217391298</v>
      </c>
      <c r="F16" s="7">
        <f>F14/F15</f>
        <v>113.71755342667649</v>
      </c>
      <c r="G16" s="220">
        <f>G14/G15</f>
        <v>161.95538135593225</v>
      </c>
      <c r="I16" s="20"/>
      <c r="J16" s="20"/>
      <c r="K16" s="7"/>
      <c r="L16" s="7"/>
      <c r="M16" s="7"/>
      <c r="N16" s="7"/>
      <c r="O16" s="7"/>
      <c r="P16" s="17"/>
      <c r="Q16" s="228" t="s">
        <v>227</v>
      </c>
      <c r="R16" s="20"/>
      <c r="S16" s="7">
        <f>S15*12</f>
        <v>67441220.000000015</v>
      </c>
      <c r="T16" s="7">
        <f t="shared" ref="T16:W16" si="17">T15*12</f>
        <v>214438922.13333338</v>
      </c>
      <c r="U16" s="7">
        <f t="shared" si="17"/>
        <v>391393943.37120003</v>
      </c>
      <c r="V16" s="7">
        <f t="shared" si="17"/>
        <v>639845335.62808335</v>
      </c>
      <c r="W16" s="220">
        <f t="shared" si="17"/>
        <v>1125810016.7041728</v>
      </c>
    </row>
    <row r="17" spans="2:23" x14ac:dyDescent="0.35">
      <c r="B17" s="163" t="s">
        <v>135</v>
      </c>
      <c r="C17" s="7">
        <v>3</v>
      </c>
      <c r="D17" s="7">
        <v>5</v>
      </c>
      <c r="E17" s="7">
        <v>10</v>
      </c>
      <c r="F17" s="7">
        <v>10</v>
      </c>
      <c r="G17" s="220">
        <v>12</v>
      </c>
      <c r="I17" s="20"/>
      <c r="J17" s="20"/>
      <c r="K17" s="7"/>
      <c r="L17" s="7"/>
      <c r="M17" s="7"/>
      <c r="N17" s="7"/>
      <c r="O17" s="7"/>
      <c r="Q17" s="228" t="s">
        <v>233</v>
      </c>
      <c r="R17" s="129">
        <v>0.12</v>
      </c>
      <c r="S17" s="7">
        <f>S16*$R$17</f>
        <v>8092946.4000000013</v>
      </c>
      <c r="T17" s="7">
        <f t="shared" ref="T17:W17" si="18">T16*$R$17</f>
        <v>25732670.656000007</v>
      </c>
      <c r="U17" s="7">
        <f t="shared" si="18"/>
        <v>46967273.204544</v>
      </c>
      <c r="V17" s="7">
        <f t="shared" si="18"/>
        <v>76781440.275370002</v>
      </c>
      <c r="W17" s="7">
        <f t="shared" si="18"/>
        <v>135097202.00450075</v>
      </c>
    </row>
    <row r="18" spans="2:23" x14ac:dyDescent="0.35">
      <c r="B18" s="163" t="s">
        <v>159</v>
      </c>
      <c r="C18" s="7">
        <v>2</v>
      </c>
      <c r="D18" s="7">
        <v>3</v>
      </c>
      <c r="E18" s="7">
        <v>4</v>
      </c>
      <c r="F18" s="7">
        <v>5</v>
      </c>
      <c r="G18" s="220">
        <v>6</v>
      </c>
      <c r="I18" s="20"/>
      <c r="J18" s="20"/>
      <c r="K18" s="15"/>
      <c r="L18" s="15"/>
      <c r="M18" s="15"/>
      <c r="N18" s="15"/>
      <c r="O18" s="15"/>
      <c r="Q18" s="234" t="s">
        <v>228</v>
      </c>
      <c r="R18" s="240">
        <v>0.02</v>
      </c>
      <c r="S18" s="7">
        <f>S16*$R$18</f>
        <v>1348824.4000000004</v>
      </c>
      <c r="T18" s="7">
        <f t="shared" ref="T18:W18" si="19">T16*$R$18</f>
        <v>4288778.4426666675</v>
      </c>
      <c r="U18" s="7">
        <f t="shared" si="19"/>
        <v>7827878.867424001</v>
      </c>
      <c r="V18" s="7">
        <f t="shared" si="19"/>
        <v>12796906.712561667</v>
      </c>
      <c r="W18" s="7">
        <f t="shared" si="19"/>
        <v>22516200.334083457</v>
      </c>
    </row>
    <row r="19" spans="2:23" x14ac:dyDescent="0.35">
      <c r="B19" s="222" t="s">
        <v>223</v>
      </c>
      <c r="C19" s="15">
        <f>C4+C7+C9+C11+C12+C13+C16+C17+C18</f>
        <v>163.23333333333332</v>
      </c>
      <c r="D19" s="15">
        <f>D4+D7+D9+D11+D12+D13+D16+D17+D18</f>
        <v>483.90486111111113</v>
      </c>
      <c r="E19" s="15">
        <f>E4+E7+E9+E11+E12+E13+E16+E17+E18</f>
        <v>776.7755652173912</v>
      </c>
      <c r="F19" s="15">
        <f>F4+F7+F9+F11+F12+F13+F16+F17+F18</f>
        <v>1098.5015534266765</v>
      </c>
      <c r="G19" s="223">
        <f>G4+G7+G9+G11+G12+G13+G16+G17+G18</f>
        <v>1623.1313813559323</v>
      </c>
      <c r="Q19" s="237" t="s">
        <v>42</v>
      </c>
      <c r="R19" s="239"/>
      <c r="S19" s="230">
        <f>S16+S17+S18</f>
        <v>76882990.800000027</v>
      </c>
      <c r="T19" s="230">
        <f t="shared" ref="T19:W19" si="20">T16+T17+T18</f>
        <v>244460371.23200008</v>
      </c>
      <c r="U19" s="230">
        <f t="shared" si="20"/>
        <v>446189095.44316804</v>
      </c>
      <c r="V19" s="230">
        <f t="shared" si="20"/>
        <v>729423682.61601496</v>
      </c>
      <c r="W19" s="230">
        <f t="shared" si="20"/>
        <v>1283423419.042757</v>
      </c>
    </row>
    <row r="20" spans="2:23" x14ac:dyDescent="0.35">
      <c r="B20" s="163"/>
      <c r="C20" s="7"/>
      <c r="D20" s="7"/>
      <c r="E20" s="7"/>
      <c r="F20" s="7"/>
      <c r="G20" s="220"/>
    </row>
    <row r="21" spans="2:23" x14ac:dyDescent="0.35">
      <c r="B21" s="222" t="s">
        <v>222</v>
      </c>
      <c r="C21" s="7">
        <v>20</v>
      </c>
      <c r="D21" s="7">
        <v>30</v>
      </c>
      <c r="E21" s="7">
        <v>40</v>
      </c>
      <c r="F21" s="7">
        <v>50</v>
      </c>
      <c r="G21" s="220">
        <v>60</v>
      </c>
    </row>
    <row r="22" spans="2:23" x14ac:dyDescent="0.35">
      <c r="B22" s="224" t="s">
        <v>134</v>
      </c>
      <c r="C22" s="7">
        <f>C19/C21</f>
        <v>8.1616666666666653</v>
      </c>
      <c r="D22" s="7">
        <f t="shared" ref="D22:G22" si="21">D19/D21</f>
        <v>16.130162037037039</v>
      </c>
      <c r="E22" s="7">
        <f t="shared" si="21"/>
        <v>19.41938913043478</v>
      </c>
      <c r="F22" s="7">
        <f t="shared" si="21"/>
        <v>21.97003106853353</v>
      </c>
      <c r="G22" s="220">
        <f t="shared" si="21"/>
        <v>27.052189689265539</v>
      </c>
    </row>
    <row r="23" spans="2:23" x14ac:dyDescent="0.35">
      <c r="B23" s="225" t="s">
        <v>42</v>
      </c>
      <c r="C23" s="226">
        <f>C19+C22</f>
        <v>171.39499999999998</v>
      </c>
      <c r="D23" s="226">
        <f t="shared" ref="D23:G23" si="22">D19+D22</f>
        <v>500.03502314814818</v>
      </c>
      <c r="E23" s="226">
        <f t="shared" si="22"/>
        <v>796.19495434782596</v>
      </c>
      <c r="F23" s="226">
        <f t="shared" si="22"/>
        <v>1120.47158449521</v>
      </c>
      <c r="G23" s="227">
        <f t="shared" si="22"/>
        <v>1650.1835710451978</v>
      </c>
      <c r="H23" s="17"/>
    </row>
    <row r="24" spans="2:23" x14ac:dyDescent="0.35">
      <c r="B24" s="40"/>
      <c r="C24" s="15"/>
      <c r="D24" s="15"/>
      <c r="E24" s="15"/>
      <c r="F24" s="15"/>
      <c r="G24" s="15"/>
      <c r="H24" s="17"/>
      <c r="I24" s="17"/>
      <c r="J24" s="17"/>
    </row>
    <row r="25" spans="2:23" x14ac:dyDescent="0.35">
      <c r="I25" s="17"/>
      <c r="J25" s="17"/>
    </row>
  </sheetData>
  <mergeCells count="2">
    <mergeCell ref="R2:V2"/>
    <mergeCell ref="I2:O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8"/>
  <sheetViews>
    <sheetView showGridLines="0" workbookViewId="0">
      <selection activeCell="C11" sqref="C11"/>
    </sheetView>
  </sheetViews>
  <sheetFormatPr defaultRowHeight="14.5" x14ac:dyDescent="0.35"/>
  <cols>
    <col min="1" max="1" width="3.453125" customWidth="1"/>
    <col min="2" max="2" width="36.453125" bestFit="1" customWidth="1"/>
    <col min="3" max="5" width="12.36328125" bestFit="1" customWidth="1"/>
    <col min="6" max="7" width="14" bestFit="1" customWidth="1"/>
  </cols>
  <sheetData>
    <row r="2" spans="2:9" ht="23.5" x14ac:dyDescent="0.55000000000000004">
      <c r="B2" s="29" t="s">
        <v>10</v>
      </c>
    </row>
    <row r="3" spans="2:9" ht="15" thickBot="1" x14ac:dyDescent="0.4">
      <c r="B3" s="28" t="s">
        <v>11</v>
      </c>
    </row>
    <row r="4" spans="2:9" ht="15.5" x14ac:dyDescent="0.35">
      <c r="B4" s="148" t="s">
        <v>0</v>
      </c>
      <c r="C4" s="173" t="s">
        <v>168</v>
      </c>
      <c r="D4" s="173" t="s">
        <v>169</v>
      </c>
      <c r="E4" s="173" t="s">
        <v>170</v>
      </c>
      <c r="F4" s="173" t="s">
        <v>171</v>
      </c>
      <c r="G4" s="257" t="s">
        <v>172</v>
      </c>
      <c r="I4" s="40"/>
    </row>
    <row r="5" spans="2:9" x14ac:dyDescent="0.35">
      <c r="B5" s="18" t="str">
        <f>Assumptions!A61</f>
        <v>Office Expenses</v>
      </c>
      <c r="C5" s="98">
        <f>Assumptions!C66</f>
        <v>2123484</v>
      </c>
      <c r="D5" s="98">
        <f>Assumptions!D66</f>
        <v>6370452</v>
      </c>
      <c r="E5" s="98">
        <f>Assumptions!E66</f>
        <v>7644542.4000000004</v>
      </c>
      <c r="F5" s="98">
        <f>Assumptions!F66</f>
        <v>15289084.800000001</v>
      </c>
      <c r="G5" s="149">
        <f>Assumptions!G66</f>
        <v>18346901.759999998</v>
      </c>
      <c r="I5" s="20"/>
    </row>
    <row r="6" spans="2:9" x14ac:dyDescent="0.35">
      <c r="B6" s="18" t="str">
        <f>Assumptions!A76</f>
        <v>Professional Expenses</v>
      </c>
      <c r="C6" s="7">
        <f>Assumptions!C80</f>
        <v>1150000</v>
      </c>
      <c r="D6" s="7">
        <f>Assumptions!D80</f>
        <v>360000</v>
      </c>
      <c r="E6" s="7">
        <f>Assumptions!E80</f>
        <v>1837500</v>
      </c>
      <c r="F6" s="7">
        <f>Assumptions!F80</f>
        <v>708750</v>
      </c>
      <c r="G6" s="8">
        <f>Assumptions!G80</f>
        <v>982125</v>
      </c>
      <c r="I6" s="20"/>
    </row>
    <row r="7" spans="2:9" x14ac:dyDescent="0.35">
      <c r="B7" s="18" t="str">
        <f>Assumptions!A83</f>
        <v>Marketing Expenses</v>
      </c>
      <c r="C7" s="7">
        <f>Assumptions!C87</f>
        <v>24640000</v>
      </c>
      <c r="D7" s="7">
        <f>Assumptions!D87</f>
        <v>197120000</v>
      </c>
      <c r="E7" s="7">
        <f>Assumptions!E87</f>
        <v>320320000</v>
      </c>
      <c r="F7" s="7">
        <f>Assumptions!F87</f>
        <v>369600000</v>
      </c>
      <c r="G7" s="8">
        <f>Assumptions!G87</f>
        <v>443520000</v>
      </c>
      <c r="I7" s="20"/>
    </row>
    <row r="8" spans="2:9" x14ac:dyDescent="0.35">
      <c r="B8" s="64" t="s">
        <v>4</v>
      </c>
      <c r="C8" s="98">
        <f>Payroll!S19</f>
        <v>76882990.800000027</v>
      </c>
      <c r="D8" s="98">
        <f>Payroll!T19</f>
        <v>244460371.23200008</v>
      </c>
      <c r="E8" s="98">
        <f>Payroll!U19</f>
        <v>446189095.44316804</v>
      </c>
      <c r="F8" s="98">
        <f>Payroll!V19</f>
        <v>729423682.61601496</v>
      </c>
      <c r="G8" s="149">
        <f>Payroll!W19</f>
        <v>1283423419.042757</v>
      </c>
      <c r="I8" s="40"/>
    </row>
    <row r="9" spans="2:9" x14ac:dyDescent="0.35">
      <c r="B9" s="64" t="str">
        <f>Assumptions!A69</f>
        <v>Miscellaneous Expenses</v>
      </c>
      <c r="C9" s="98">
        <f>50000*12</f>
        <v>600000</v>
      </c>
      <c r="D9" s="98">
        <f>C9*1.2</f>
        <v>720000</v>
      </c>
      <c r="E9" s="98">
        <f t="shared" ref="E9:G9" si="0">D9*1.2</f>
        <v>864000</v>
      </c>
      <c r="F9" s="98">
        <f t="shared" si="0"/>
        <v>1036800</v>
      </c>
      <c r="G9" s="149">
        <f t="shared" si="0"/>
        <v>1244160</v>
      </c>
      <c r="I9" s="20"/>
    </row>
    <row r="10" spans="2:9" ht="15" thickBot="1" x14ac:dyDescent="0.4">
      <c r="B10" s="19" t="s">
        <v>5</v>
      </c>
      <c r="C10" s="12">
        <f>SUM(C5:C9)</f>
        <v>105396474.80000003</v>
      </c>
      <c r="D10" s="12">
        <f>SUM(D5:D9)</f>
        <v>449030823.23200011</v>
      </c>
      <c r="E10" s="12">
        <f>SUM(E5:E9)</f>
        <v>776855137.84316802</v>
      </c>
      <c r="F10" s="12">
        <f>SUM(F5:F9)</f>
        <v>1116058317.4160149</v>
      </c>
      <c r="G10" s="13">
        <f>SUM(G5:G9)</f>
        <v>1747516605.802757</v>
      </c>
    </row>
    <row r="11" spans="2:9" x14ac:dyDescent="0.35">
      <c r="B11" t="s">
        <v>234</v>
      </c>
      <c r="C11" s="1">
        <f>C10/Revenues!C18</f>
        <v>0.85549086688311715</v>
      </c>
      <c r="D11" s="1">
        <f>D10/Revenues!D18</f>
        <v>0.8597330285836825</v>
      </c>
      <c r="E11" s="1">
        <f>E10/Revenues!E18</f>
        <v>0.68437306771109663</v>
      </c>
      <c r="F11" s="1">
        <f>F10/Revenues!F18</f>
        <v>0.58704152877256488</v>
      </c>
      <c r="G11" s="1">
        <f>G10/Revenues!G18</f>
        <v>0.53784127369801726</v>
      </c>
      <c r="I11" s="17"/>
    </row>
    <row r="14" spans="2:9" x14ac:dyDescent="0.35">
      <c r="I14" s="17"/>
    </row>
    <row r="17" spans="9:9" x14ac:dyDescent="0.35">
      <c r="I17" s="17"/>
    </row>
    <row r="18" spans="9:9" x14ac:dyDescent="0.35">
      <c r="I18" s="15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4"/>
  <sheetViews>
    <sheetView showGridLines="0" workbookViewId="0">
      <selection activeCell="C10" sqref="C10"/>
    </sheetView>
  </sheetViews>
  <sheetFormatPr defaultColWidth="9.1796875" defaultRowHeight="14.5" x14ac:dyDescent="0.35"/>
  <cols>
    <col min="1" max="1" width="7" style="3" bestFit="1" customWidth="1"/>
    <col min="2" max="2" width="42.7265625" style="3" customWidth="1"/>
    <col min="3" max="4" width="15.7265625" style="3" bestFit="1" customWidth="1"/>
    <col min="5" max="7" width="17.26953125" style="3" bestFit="1" customWidth="1"/>
    <col min="8" max="16384" width="9.1796875" style="3"/>
  </cols>
  <sheetData>
    <row r="2" spans="1:12" ht="23.5" x14ac:dyDescent="0.55000000000000004">
      <c r="B2" s="152" t="s">
        <v>12</v>
      </c>
    </row>
    <row r="3" spans="1:12" ht="15" thickBot="1" x14ac:dyDescent="0.4">
      <c r="B3" s="31" t="s">
        <v>11</v>
      </c>
    </row>
    <row r="4" spans="1:12" ht="15.5" x14ac:dyDescent="0.35">
      <c r="B4" s="151" t="s">
        <v>0</v>
      </c>
      <c r="C4" s="173" t="s">
        <v>168</v>
      </c>
      <c r="D4" s="173" t="s">
        <v>169</v>
      </c>
      <c r="E4" s="173" t="s">
        <v>170</v>
      </c>
      <c r="F4" s="173" t="s">
        <v>171</v>
      </c>
      <c r="G4" s="173" t="s">
        <v>172</v>
      </c>
    </row>
    <row r="5" spans="1:12" x14ac:dyDescent="0.35">
      <c r="B5" s="6"/>
      <c r="C5" s="7"/>
      <c r="D5" s="7"/>
      <c r="E5" s="7"/>
      <c r="F5" s="7"/>
      <c r="G5" s="8"/>
      <c r="I5" s="158"/>
    </row>
    <row r="6" spans="1:12" x14ac:dyDescent="0.35">
      <c r="B6" s="6"/>
      <c r="C6" s="7"/>
      <c r="D6" s="7"/>
      <c r="E6" s="7"/>
      <c r="F6" s="7"/>
      <c r="G6" s="8"/>
    </row>
    <row r="7" spans="1:12" x14ac:dyDescent="0.35">
      <c r="B7" s="14" t="s">
        <v>231</v>
      </c>
      <c r="C7" s="15"/>
      <c r="D7" s="15"/>
      <c r="E7" s="15"/>
      <c r="F7" s="15"/>
      <c r="G7" s="16"/>
      <c r="J7" s="5"/>
    </row>
    <row r="8" spans="1:12" x14ac:dyDescent="0.35">
      <c r="B8" s="6"/>
      <c r="C8" s="7">
        <f>Assumptions!C31</f>
        <v>123200000</v>
      </c>
      <c r="D8" s="7">
        <f>Assumptions!D31</f>
        <v>522291000</v>
      </c>
      <c r="E8" s="7">
        <f>Assumptions!E31</f>
        <v>1135134000</v>
      </c>
      <c r="F8" s="7">
        <f>Assumptions!F31</f>
        <v>1901157350.4000001</v>
      </c>
      <c r="G8" s="7">
        <f>Assumptions!G31</f>
        <v>3249130721.7600007</v>
      </c>
      <c r="H8" s="1"/>
      <c r="J8" s="1"/>
      <c r="K8" s="1"/>
      <c r="L8" s="1"/>
    </row>
    <row r="9" spans="1:12" x14ac:dyDescent="0.35">
      <c r="B9" s="6"/>
      <c r="C9" s="7"/>
      <c r="D9" s="7"/>
      <c r="E9" s="7"/>
      <c r="F9" s="7"/>
      <c r="G9" s="8"/>
    </row>
    <row r="10" spans="1:12" x14ac:dyDescent="0.35">
      <c r="B10" s="6"/>
      <c r="C10" s="9"/>
      <c r="D10" s="9"/>
      <c r="E10" s="9"/>
      <c r="F10" s="9"/>
      <c r="G10" s="10"/>
    </row>
    <row r="11" spans="1:12" x14ac:dyDescent="0.35">
      <c r="A11" s="1"/>
      <c r="B11" s="6"/>
      <c r="C11" s="7"/>
      <c r="D11" s="7"/>
      <c r="E11" s="7"/>
      <c r="F11" s="7"/>
      <c r="G11" s="8"/>
    </row>
    <row r="12" spans="1:12" x14ac:dyDescent="0.35">
      <c r="A12" s="1"/>
      <c r="B12" s="14" t="s">
        <v>232</v>
      </c>
      <c r="C12" s="7"/>
      <c r="D12" s="7"/>
      <c r="E12" s="7"/>
      <c r="F12" s="7"/>
      <c r="G12" s="8"/>
    </row>
    <row r="13" spans="1:12" x14ac:dyDescent="0.35">
      <c r="A13" s="1"/>
      <c r="B13" s="6"/>
      <c r="C13" s="7"/>
      <c r="D13" s="7"/>
      <c r="E13" s="7"/>
      <c r="F13" s="7"/>
      <c r="G13" s="8"/>
    </row>
    <row r="14" spans="1:12" x14ac:dyDescent="0.35">
      <c r="A14" s="1"/>
      <c r="B14" s="6"/>
      <c r="C14" s="7"/>
      <c r="D14" s="7"/>
      <c r="E14" s="7"/>
      <c r="F14" s="7"/>
      <c r="G14" s="8"/>
    </row>
    <row r="15" spans="1:12" x14ac:dyDescent="0.35">
      <c r="A15" s="1"/>
      <c r="B15" s="6"/>
      <c r="C15" s="7"/>
      <c r="D15" s="7"/>
      <c r="E15" s="7"/>
      <c r="F15" s="7"/>
      <c r="G15" s="8"/>
    </row>
    <row r="16" spans="1:12" x14ac:dyDescent="0.35">
      <c r="A16" s="1"/>
      <c r="B16" s="6"/>
      <c r="C16" s="7"/>
      <c r="D16" s="7"/>
      <c r="E16" s="7"/>
      <c r="F16" s="7"/>
      <c r="G16" s="8"/>
    </row>
    <row r="17" spans="2:9" x14ac:dyDescent="0.35">
      <c r="B17" s="6"/>
      <c r="C17" s="7"/>
      <c r="D17" s="7"/>
      <c r="E17" s="7"/>
      <c r="F17" s="7"/>
      <c r="G17" s="8"/>
    </row>
    <row r="18" spans="2:9" ht="15" thickBot="1" x14ac:dyDescent="0.4">
      <c r="B18" s="11" t="s">
        <v>1</v>
      </c>
      <c r="C18" s="12">
        <f>C8+C13</f>
        <v>123200000</v>
      </c>
      <c r="D18" s="12">
        <f t="shared" ref="D18:G18" si="0">D8+D13</f>
        <v>522291000</v>
      </c>
      <c r="E18" s="12">
        <f t="shared" si="0"/>
        <v>1135134000</v>
      </c>
      <c r="F18" s="12">
        <f t="shared" si="0"/>
        <v>1901157350.4000001</v>
      </c>
      <c r="G18" s="12">
        <f t="shared" si="0"/>
        <v>3249130721.7600007</v>
      </c>
    </row>
    <row r="19" spans="2:9" x14ac:dyDescent="0.35">
      <c r="C19" s="156"/>
      <c r="D19" s="156"/>
      <c r="E19" s="156"/>
      <c r="F19" s="156"/>
      <c r="G19" s="157"/>
    </row>
    <row r="20" spans="2:9" x14ac:dyDescent="0.35">
      <c r="C20" s="32"/>
      <c r="D20" s="32"/>
      <c r="E20" s="32"/>
      <c r="F20" s="32"/>
      <c r="G20" s="32"/>
    </row>
    <row r="24" spans="2:9" x14ac:dyDescent="0.35">
      <c r="I24" s="15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1"/>
  <sheetViews>
    <sheetView showGridLines="0" topLeftCell="A8" workbookViewId="0">
      <selection activeCell="G28" sqref="G28"/>
    </sheetView>
  </sheetViews>
  <sheetFormatPr defaultRowHeight="14.5" x14ac:dyDescent="0.35"/>
  <cols>
    <col min="1" max="1" width="1" customWidth="1"/>
    <col min="2" max="3" width="0.81640625" customWidth="1"/>
    <col min="4" max="4" width="5.7265625" customWidth="1"/>
    <col min="5" max="5" width="36.54296875" bestFit="1" customWidth="1"/>
    <col min="6" max="6" width="2.7265625" customWidth="1"/>
    <col min="7" max="7" width="15.26953125" bestFit="1" customWidth="1"/>
    <col min="8" max="8" width="14.26953125" bestFit="1" customWidth="1"/>
    <col min="9" max="10" width="15.26953125" bestFit="1" customWidth="1"/>
    <col min="11" max="12" width="16.81640625" bestFit="1" customWidth="1"/>
  </cols>
  <sheetData>
    <row r="1" spans="1:12" ht="23.5" x14ac:dyDescent="0.55000000000000004">
      <c r="A1" s="30" t="s">
        <v>13</v>
      </c>
    </row>
    <row r="2" spans="1:12" ht="15" thickBot="1" x14ac:dyDescent="0.4">
      <c r="D2" s="33" t="s">
        <v>14</v>
      </c>
    </row>
    <row r="3" spans="1:12" ht="15.5" x14ac:dyDescent="0.35">
      <c r="E3" s="34" t="s">
        <v>0</v>
      </c>
      <c r="F3" s="35"/>
      <c r="G3" s="173" t="s">
        <v>168</v>
      </c>
      <c r="H3" s="173" t="s">
        <v>169</v>
      </c>
      <c r="I3" s="173" t="s">
        <v>170</v>
      </c>
      <c r="J3" s="173" t="s">
        <v>171</v>
      </c>
      <c r="K3" s="173" t="s">
        <v>172</v>
      </c>
      <c r="L3" s="38"/>
    </row>
    <row r="4" spans="1:12" x14ac:dyDescent="0.35">
      <c r="E4" s="39" t="s">
        <v>15</v>
      </c>
      <c r="F4" s="40"/>
      <c r="G4" s="7">
        <f>Revenues!C18</f>
        <v>123200000</v>
      </c>
      <c r="H4" s="7">
        <f>Revenues!D18</f>
        <v>522291000</v>
      </c>
      <c r="I4" s="7">
        <f>Revenues!E18</f>
        <v>1135134000</v>
      </c>
      <c r="J4" s="7">
        <f>Revenues!F18</f>
        <v>1901157350.4000001</v>
      </c>
      <c r="K4" s="8">
        <f>Revenues!G18</f>
        <v>3249130721.7600007</v>
      </c>
      <c r="L4" s="41"/>
    </row>
    <row r="5" spans="1:12" x14ac:dyDescent="0.35">
      <c r="E5" s="42" t="s">
        <v>16</v>
      </c>
      <c r="F5" s="40"/>
      <c r="G5" s="43">
        <v>0</v>
      </c>
      <c r="H5" s="44">
        <f>H4/G4-1</f>
        <v>3.2393749999999999</v>
      </c>
      <c r="I5" s="44">
        <f t="shared" ref="I5:K5" si="0">I4/H4-1</f>
        <v>1.1733746130030958</v>
      </c>
      <c r="J5" s="44">
        <f t="shared" si="0"/>
        <v>0.67483076923076935</v>
      </c>
      <c r="K5" s="45">
        <f t="shared" si="0"/>
        <v>0.70902777777777803</v>
      </c>
      <c r="L5" s="46"/>
    </row>
    <row r="6" spans="1:12" x14ac:dyDescent="0.35">
      <c r="E6" s="47" t="s">
        <v>17</v>
      </c>
      <c r="F6" s="48"/>
      <c r="G6" s="49">
        <f>Assumptions!C58</f>
        <v>24208800</v>
      </c>
      <c r="H6" s="49">
        <f>Assumptions!D58</f>
        <v>64349323.5</v>
      </c>
      <c r="I6" s="49">
        <f>Assumptions!E58</f>
        <v>134376704</v>
      </c>
      <c r="J6" s="49">
        <f>Assumptions!F58</f>
        <v>212753618.2464</v>
      </c>
      <c r="K6" s="50">
        <f>Assumptions!G58</f>
        <v>339510066.80976003</v>
      </c>
      <c r="L6" s="51"/>
    </row>
    <row r="7" spans="1:12" x14ac:dyDescent="0.35">
      <c r="E7" s="53" t="s">
        <v>18</v>
      </c>
      <c r="F7" s="54"/>
      <c r="G7" s="55">
        <f>G4-G6</f>
        <v>98991200</v>
      </c>
      <c r="H7" s="55">
        <f>H4-H6</f>
        <v>457941676.5</v>
      </c>
      <c r="I7" s="55">
        <f>I4-I6</f>
        <v>1000757296</v>
      </c>
      <c r="J7" s="55">
        <f>J4-J6</f>
        <v>1688403732.1536002</v>
      </c>
      <c r="K7" s="56">
        <f>K4-K6</f>
        <v>2909620654.9502406</v>
      </c>
      <c r="L7" s="57"/>
    </row>
    <row r="8" spans="1:12" x14ac:dyDescent="0.35">
      <c r="E8" s="58" t="s">
        <v>19</v>
      </c>
      <c r="F8" s="59"/>
      <c r="G8" s="44">
        <f>G7/G4</f>
        <v>0.80349999999999999</v>
      </c>
      <c r="H8" s="44">
        <f>H7/H4</f>
        <v>0.87679411764705883</v>
      </c>
      <c r="I8" s="44">
        <f>I7/I4</f>
        <v>0.881620404287071</v>
      </c>
      <c r="J8" s="44">
        <f>J7/J4</f>
        <v>0.88809257781759254</v>
      </c>
      <c r="K8" s="45">
        <f>K7/K4</f>
        <v>0.89550741540314105</v>
      </c>
      <c r="L8" s="57"/>
    </row>
    <row r="9" spans="1:12" x14ac:dyDescent="0.35">
      <c r="E9" s="47" t="s">
        <v>20</v>
      </c>
      <c r="F9" s="60"/>
      <c r="G9" s="61">
        <f>SUM(G10:G14)</f>
        <v>105396474.80000003</v>
      </c>
      <c r="H9" s="61">
        <f>SUM(H10:H14)</f>
        <v>449030823.23200011</v>
      </c>
      <c r="I9" s="61">
        <f>SUM(I10:I14)</f>
        <v>776855137.84316802</v>
      </c>
      <c r="J9" s="61">
        <f>SUM(J10:J14)</f>
        <v>1116058317.4160149</v>
      </c>
      <c r="K9" s="62">
        <f>SUM(K10:K14)</f>
        <v>1747516605.802757</v>
      </c>
      <c r="L9" s="63"/>
    </row>
    <row r="10" spans="1:12" x14ac:dyDescent="0.35">
      <c r="E10" s="64" t="str">
        <f>Expenses!B5</f>
        <v>Office Expenses</v>
      </c>
      <c r="F10" s="20"/>
      <c r="G10" s="7">
        <f>Expenses!C5</f>
        <v>2123484</v>
      </c>
      <c r="H10" s="7">
        <f>Expenses!D5</f>
        <v>6370452</v>
      </c>
      <c r="I10" s="7">
        <f>Expenses!E5</f>
        <v>7644542.4000000004</v>
      </c>
      <c r="J10" s="7">
        <f>Expenses!F5</f>
        <v>15289084.800000001</v>
      </c>
      <c r="K10" s="8">
        <f>Expenses!G5</f>
        <v>18346901.759999998</v>
      </c>
      <c r="L10" s="41"/>
    </row>
    <row r="11" spans="1:12" x14ac:dyDescent="0.35">
      <c r="E11" s="64" t="str">
        <f>Expenses!B6</f>
        <v>Professional Expenses</v>
      </c>
      <c r="F11" s="20"/>
      <c r="G11" s="7">
        <f>Expenses!C6</f>
        <v>1150000</v>
      </c>
      <c r="H11" s="7">
        <f>Expenses!D6</f>
        <v>360000</v>
      </c>
      <c r="I11" s="7">
        <f>Expenses!E6</f>
        <v>1837500</v>
      </c>
      <c r="J11" s="7">
        <f>Expenses!F6</f>
        <v>708750</v>
      </c>
      <c r="K11" s="8">
        <f>Expenses!G6</f>
        <v>982125</v>
      </c>
      <c r="L11" s="41"/>
    </row>
    <row r="12" spans="1:12" x14ac:dyDescent="0.35">
      <c r="E12" s="64" t="str">
        <f>Expenses!B7</f>
        <v>Marketing Expenses</v>
      </c>
      <c r="F12" s="20"/>
      <c r="G12" s="7">
        <f>Expenses!C7</f>
        <v>24640000</v>
      </c>
      <c r="H12" s="7">
        <f>Expenses!D7</f>
        <v>197120000</v>
      </c>
      <c r="I12" s="7">
        <f>Expenses!E7</f>
        <v>320320000</v>
      </c>
      <c r="J12" s="7">
        <f>Expenses!F7</f>
        <v>369600000</v>
      </c>
      <c r="K12" s="8">
        <f>Expenses!G7</f>
        <v>443520000</v>
      </c>
      <c r="L12" s="41"/>
    </row>
    <row r="13" spans="1:12" x14ac:dyDescent="0.35">
      <c r="E13" s="64" t="str">
        <f>Expenses!B8</f>
        <v>Salary Expenses</v>
      </c>
      <c r="F13" s="20"/>
      <c r="G13" s="7">
        <f>Expenses!C8</f>
        <v>76882990.800000027</v>
      </c>
      <c r="H13" s="7">
        <f>Expenses!D8</f>
        <v>244460371.23200008</v>
      </c>
      <c r="I13" s="7">
        <f>Expenses!E8</f>
        <v>446189095.44316804</v>
      </c>
      <c r="J13" s="7">
        <f>Expenses!F8</f>
        <v>729423682.61601496</v>
      </c>
      <c r="K13" s="8">
        <f>Expenses!G8</f>
        <v>1283423419.042757</v>
      </c>
      <c r="L13" s="41"/>
    </row>
    <row r="14" spans="1:12" x14ac:dyDescent="0.35">
      <c r="E14" s="64" t="str">
        <f>Expenses!B9</f>
        <v>Miscellaneous Expenses</v>
      </c>
      <c r="F14" s="20"/>
      <c r="G14" s="7">
        <f>Expenses!C9</f>
        <v>600000</v>
      </c>
      <c r="H14" s="7">
        <f>Expenses!D9</f>
        <v>720000</v>
      </c>
      <c r="I14" s="7">
        <f>Expenses!E9</f>
        <v>864000</v>
      </c>
      <c r="J14" s="7">
        <f>Expenses!F9</f>
        <v>1036800</v>
      </c>
      <c r="K14" s="8">
        <f>Expenses!G9</f>
        <v>1244160</v>
      </c>
      <c r="L14" s="41"/>
    </row>
    <row r="15" spans="1:12" x14ac:dyDescent="0.35">
      <c r="E15" s="47" t="s">
        <v>21</v>
      </c>
      <c r="F15" s="48"/>
      <c r="G15" s="61">
        <f>G7-G9</f>
        <v>-6405274.8000000268</v>
      </c>
      <c r="H15" s="61">
        <f>H7-H9</f>
        <v>8910853.2679998875</v>
      </c>
      <c r="I15" s="61">
        <f>I7-I9</f>
        <v>223902158.15683198</v>
      </c>
      <c r="J15" s="61">
        <f>J7-J9</f>
        <v>572345414.73758531</v>
      </c>
      <c r="K15" s="62">
        <f>K7-K9</f>
        <v>1162104049.1474836</v>
      </c>
      <c r="L15" s="63"/>
    </row>
    <row r="16" spans="1:12" x14ac:dyDescent="0.35">
      <c r="E16" s="42" t="s">
        <v>22</v>
      </c>
      <c r="F16" s="20"/>
      <c r="G16" s="44">
        <f>G15/G4</f>
        <v>-5.1990866883117104E-2</v>
      </c>
      <c r="H16" s="44">
        <f>H15/H4</f>
        <v>1.706108906337633E-2</v>
      </c>
      <c r="I16" s="44">
        <f>I15/I4</f>
        <v>0.19724733657597426</v>
      </c>
      <c r="J16" s="44">
        <f>J15/J4</f>
        <v>0.30105104904502766</v>
      </c>
      <c r="K16" s="45">
        <f>K15/K4</f>
        <v>0.35766614170512379</v>
      </c>
      <c r="L16" s="46"/>
    </row>
    <row r="17" spans="5:12" x14ac:dyDescent="0.35">
      <c r="E17" s="65" t="s">
        <v>23</v>
      </c>
      <c r="F17" s="20"/>
      <c r="G17" s="7">
        <f>Assumptions!C96</f>
        <v>5077658.25</v>
      </c>
      <c r="H17" s="7">
        <f>Assumptions!D96</f>
        <v>4189068.0562499999</v>
      </c>
      <c r="I17" s="7">
        <f>Assumptions!E96</f>
        <v>3455981.1464062496</v>
      </c>
      <c r="J17" s="7">
        <f>Assumptions!F96</f>
        <v>2851184.445785156</v>
      </c>
      <c r="K17" s="233">
        <f>Assumptions!G96</f>
        <v>2352227.1677727536</v>
      </c>
      <c r="L17" s="41"/>
    </row>
    <row r="18" spans="5:12" x14ac:dyDescent="0.35">
      <c r="E18" s="47" t="s">
        <v>24</v>
      </c>
      <c r="F18" s="48"/>
      <c r="G18" s="61">
        <f>G15-G17</f>
        <v>-11482933.050000027</v>
      </c>
      <c r="H18" s="61">
        <f t="shared" ref="H18:K18" si="1">H15-H17</f>
        <v>4721785.2117498871</v>
      </c>
      <c r="I18" s="61">
        <f t="shared" si="1"/>
        <v>220446177.01042572</v>
      </c>
      <c r="J18" s="61">
        <f t="shared" si="1"/>
        <v>569494230.29180014</v>
      </c>
      <c r="K18" s="62">
        <f t="shared" si="1"/>
        <v>1159751821.9797108</v>
      </c>
      <c r="L18" s="63"/>
    </row>
    <row r="19" spans="5:12" x14ac:dyDescent="0.35">
      <c r="E19" s="58" t="s">
        <v>25</v>
      </c>
      <c r="F19" s="66"/>
      <c r="G19" s="67">
        <f>G18/G4</f>
        <v>-9.3205625405844372E-2</v>
      </c>
      <c r="H19" s="67">
        <f>H18/H4</f>
        <v>9.0405257064546142E-3</v>
      </c>
      <c r="I19" s="67">
        <f>I18/I4</f>
        <v>0.19420277871196326</v>
      </c>
      <c r="J19" s="67">
        <f>J18/J4</f>
        <v>0.29955133917346694</v>
      </c>
      <c r="K19" s="68">
        <f>K18/K4</f>
        <v>0.35694218586302134</v>
      </c>
      <c r="L19" s="69"/>
    </row>
    <row r="20" spans="5:12" x14ac:dyDescent="0.35">
      <c r="E20" s="18" t="s">
        <v>26</v>
      </c>
      <c r="F20" s="20"/>
      <c r="G20" s="43">
        <v>0</v>
      </c>
      <c r="H20" s="43">
        <v>0</v>
      </c>
      <c r="I20" s="43">
        <v>0</v>
      </c>
      <c r="J20" s="43">
        <v>0</v>
      </c>
      <c r="K20" s="70">
        <v>0</v>
      </c>
      <c r="L20" s="71"/>
    </row>
    <row r="21" spans="5:12" x14ac:dyDescent="0.35">
      <c r="E21" s="47" t="s">
        <v>27</v>
      </c>
      <c r="F21" s="48"/>
      <c r="G21" s="61">
        <f>G18-G20</f>
        <v>-11482933.050000027</v>
      </c>
      <c r="H21" s="61">
        <f t="shared" ref="H21:K21" si="2">H18-H20</f>
        <v>4721785.2117498871</v>
      </c>
      <c r="I21" s="61">
        <f t="shared" si="2"/>
        <v>220446177.01042572</v>
      </c>
      <c r="J21" s="61">
        <f t="shared" si="2"/>
        <v>569494230.29180014</v>
      </c>
      <c r="K21" s="62">
        <f t="shared" si="2"/>
        <v>1159751821.9797108</v>
      </c>
      <c r="L21" s="63"/>
    </row>
    <row r="22" spans="5:12" x14ac:dyDescent="0.35">
      <c r="E22" s="42" t="s">
        <v>28</v>
      </c>
      <c r="F22" s="72"/>
      <c r="G22" s="44">
        <f>G21/G4</f>
        <v>-9.3205625405844372E-2</v>
      </c>
      <c r="H22" s="44">
        <f>H21/H4</f>
        <v>9.0405257064546142E-3</v>
      </c>
      <c r="I22" s="44">
        <f>I21/I4</f>
        <v>0.19420277871196326</v>
      </c>
      <c r="J22" s="44">
        <f>J21/J4</f>
        <v>0.29955133917346694</v>
      </c>
      <c r="K22" s="45">
        <f>K21/K4</f>
        <v>0.35694218586302134</v>
      </c>
      <c r="L22" s="69"/>
    </row>
    <row r="23" spans="5:12" x14ac:dyDescent="0.35">
      <c r="E23" s="18" t="s">
        <v>29</v>
      </c>
      <c r="F23" s="20"/>
      <c r="G23" s="73">
        <f>IF(G21&lt;0,0,Assumptions!K2*'P&amp;L'!G21)</f>
        <v>0</v>
      </c>
      <c r="H23" s="73">
        <f>IF(H21&lt;0,0,Assumptions!L2*'P&amp;L'!H21)</f>
        <v>1180446.3029374718</v>
      </c>
      <c r="I23" s="73">
        <f>IF(I21&lt;0,0,Assumptions!M2*'P&amp;L'!I21)</f>
        <v>55111544.252606429</v>
      </c>
      <c r="J23" s="73">
        <f>IF(J21&lt;0,0,Assumptions!N2*'P&amp;L'!J21)</f>
        <v>142373557.57295004</v>
      </c>
      <c r="K23" s="74">
        <f>IF(K21&lt;0,0,Assumptions!O2*'P&amp;L'!K21)</f>
        <v>289937955.4949277</v>
      </c>
      <c r="L23" s="57"/>
    </row>
    <row r="24" spans="5:12" x14ac:dyDescent="0.35">
      <c r="E24" s="47" t="s">
        <v>30</v>
      </c>
      <c r="F24" s="48"/>
      <c r="G24" s="61">
        <f>G21-G23</f>
        <v>-11482933.050000027</v>
      </c>
      <c r="H24" s="61">
        <f t="shared" ref="H24:K24" si="3">H21-H23</f>
        <v>3541338.9088124153</v>
      </c>
      <c r="I24" s="61">
        <f t="shared" si="3"/>
        <v>165334632.75781929</v>
      </c>
      <c r="J24" s="61">
        <f t="shared" si="3"/>
        <v>427120672.71885014</v>
      </c>
      <c r="K24" s="62">
        <f t="shared" si="3"/>
        <v>869813866.48478317</v>
      </c>
      <c r="L24" s="63"/>
    </row>
    <row r="25" spans="5:12" ht="15" thickBot="1" x14ac:dyDescent="0.4">
      <c r="E25" s="75" t="s">
        <v>31</v>
      </c>
      <c r="F25" s="76"/>
      <c r="G25" s="77">
        <f>G24/G4</f>
        <v>-9.3205625405844372E-2</v>
      </c>
      <c r="H25" s="77">
        <f>H24/H4</f>
        <v>6.7803942798409607E-3</v>
      </c>
      <c r="I25" s="77">
        <f>I24/I4</f>
        <v>0.14565208403397245</v>
      </c>
      <c r="J25" s="77">
        <f>J24/J4</f>
        <v>0.22466350438010022</v>
      </c>
      <c r="K25" s="78">
        <f>K24/K4</f>
        <v>0.26770663939726602</v>
      </c>
      <c r="L25" s="46"/>
    </row>
    <row r="28" spans="5:12" x14ac:dyDescent="0.35">
      <c r="E28" s="17"/>
    </row>
    <row r="29" spans="5:12" x14ac:dyDescent="0.35">
      <c r="E29" s="79"/>
      <c r="F29" s="79"/>
      <c r="G29" s="79"/>
      <c r="H29" s="80"/>
      <c r="I29" s="80"/>
      <c r="J29" s="80"/>
      <c r="K29" s="80"/>
      <c r="L29" s="80"/>
    </row>
    <row r="30" spans="5:12" x14ac:dyDescent="0.35">
      <c r="E30" s="79"/>
      <c r="F30" s="79"/>
      <c r="G30" s="79"/>
      <c r="H30" s="80"/>
      <c r="I30" s="80"/>
      <c r="J30" s="80"/>
      <c r="K30" s="80"/>
      <c r="L30" s="80"/>
    </row>
    <row r="31" spans="5:12" x14ac:dyDescent="0.35">
      <c r="E31" s="79"/>
      <c r="F31" s="79"/>
      <c r="G31" s="79"/>
      <c r="H31" s="80"/>
      <c r="I31" s="80"/>
      <c r="J31" s="80"/>
      <c r="K31" s="80"/>
      <c r="L31" s="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1"/>
  <sheetViews>
    <sheetView showGridLines="0" topLeftCell="A25" workbookViewId="0">
      <selection activeCell="F45" sqref="F45"/>
    </sheetView>
  </sheetViews>
  <sheetFormatPr defaultRowHeight="14.5" x14ac:dyDescent="0.35"/>
  <cols>
    <col min="1" max="1" width="0.7265625" customWidth="1"/>
    <col min="2" max="2" width="0.81640625" customWidth="1"/>
    <col min="3" max="3" width="0.7265625" customWidth="1"/>
    <col min="4" max="4" width="5" customWidth="1"/>
    <col min="5" max="5" width="41.54296875" bestFit="1" customWidth="1"/>
    <col min="6" max="6" width="2.54296875" customWidth="1"/>
    <col min="7" max="7" width="13.453125" bestFit="1" customWidth="1"/>
    <col min="8" max="10" width="14.26953125" bestFit="1" customWidth="1"/>
    <col min="11" max="11" width="15.26953125" bestFit="1" customWidth="1"/>
    <col min="12" max="12" width="14.453125" bestFit="1" customWidth="1"/>
  </cols>
  <sheetData>
    <row r="1" spans="1:12" ht="23.5" x14ac:dyDescent="0.55000000000000004">
      <c r="A1" s="30" t="s">
        <v>33</v>
      </c>
    </row>
    <row r="2" spans="1:12" ht="15" thickBot="1" x14ac:dyDescent="0.4">
      <c r="D2" s="33" t="s">
        <v>14</v>
      </c>
    </row>
    <row r="3" spans="1:12" ht="15.5" x14ac:dyDescent="0.35">
      <c r="E3" s="34" t="s">
        <v>0</v>
      </c>
      <c r="F3" s="81"/>
      <c r="G3" s="173" t="s">
        <v>168</v>
      </c>
      <c r="H3" s="173" t="s">
        <v>169</v>
      </c>
      <c r="I3" s="173" t="s">
        <v>170</v>
      </c>
      <c r="J3" s="173" t="s">
        <v>171</v>
      </c>
      <c r="K3" s="173" t="s">
        <v>172</v>
      </c>
      <c r="L3" s="38"/>
    </row>
    <row r="4" spans="1:12" x14ac:dyDescent="0.35">
      <c r="E4" s="39" t="s">
        <v>34</v>
      </c>
      <c r="F4" s="20"/>
      <c r="G4" s="20"/>
      <c r="H4" s="20"/>
      <c r="I4" s="20"/>
      <c r="J4" s="20"/>
      <c r="K4" s="21"/>
    </row>
    <row r="5" spans="1:12" x14ac:dyDescent="0.35">
      <c r="E5" s="18" t="s">
        <v>35</v>
      </c>
      <c r="F5" s="20"/>
      <c r="G5" s="43">
        <v>0</v>
      </c>
      <c r="H5" s="43">
        <v>0</v>
      </c>
      <c r="I5" s="43">
        <v>0</v>
      </c>
      <c r="J5" s="43">
        <v>0</v>
      </c>
      <c r="K5" s="70">
        <v>0</v>
      </c>
      <c r="L5" s="2"/>
    </row>
    <row r="6" spans="1:12" x14ac:dyDescent="0.35">
      <c r="E6" s="82" t="s">
        <v>36</v>
      </c>
      <c r="F6" s="20"/>
      <c r="G6" s="83">
        <f>F6+'P&amp;L'!G24</f>
        <v>-11482933.050000027</v>
      </c>
      <c r="H6" s="83">
        <f>G6+'P&amp;L'!H24</f>
        <v>-7941594.141187612</v>
      </c>
      <c r="I6" s="83">
        <f>H6+'P&amp;L'!I24</f>
        <v>157393038.61663169</v>
      </c>
      <c r="J6" s="83">
        <f>I6+'P&amp;L'!J24</f>
        <v>584513711.33548188</v>
      </c>
      <c r="K6" s="84">
        <f>J6+'P&amp;L'!K24</f>
        <v>1454327577.8202651</v>
      </c>
      <c r="L6" s="7"/>
    </row>
    <row r="7" spans="1:12" x14ac:dyDescent="0.35">
      <c r="E7" s="85" t="s">
        <v>37</v>
      </c>
      <c r="F7" s="20"/>
      <c r="G7" s="7">
        <f>G5+G6</f>
        <v>-11482933.050000027</v>
      </c>
      <c r="H7" s="7">
        <f t="shared" ref="H7:K7" si="0">H5+H6</f>
        <v>-7941594.141187612</v>
      </c>
      <c r="I7" s="7">
        <f t="shared" si="0"/>
        <v>157393038.61663169</v>
      </c>
      <c r="J7" s="7">
        <f t="shared" si="0"/>
        <v>584513711.33548188</v>
      </c>
      <c r="K7" s="8">
        <f t="shared" si="0"/>
        <v>1454327577.8202651</v>
      </c>
      <c r="L7" s="7"/>
    </row>
    <row r="8" spans="1:12" x14ac:dyDescent="0.35">
      <c r="E8" s="18"/>
      <c r="F8" s="20"/>
      <c r="G8" s="20"/>
      <c r="H8" s="20"/>
      <c r="I8" s="20"/>
      <c r="J8" s="20"/>
      <c r="K8" s="21"/>
      <c r="L8" s="20"/>
    </row>
    <row r="9" spans="1:12" x14ac:dyDescent="0.35">
      <c r="E9" s="39" t="s">
        <v>38</v>
      </c>
      <c r="F9" s="20"/>
      <c r="G9" s="20"/>
      <c r="H9" s="20"/>
      <c r="I9" s="20"/>
      <c r="J9" s="20"/>
      <c r="K9" s="21"/>
      <c r="L9" s="52"/>
    </row>
    <row r="10" spans="1:12" x14ac:dyDescent="0.35">
      <c r="E10" s="18" t="s">
        <v>39</v>
      </c>
      <c r="F10" s="20"/>
      <c r="G10" s="43">
        <v>0</v>
      </c>
      <c r="H10" s="43">
        <v>0</v>
      </c>
      <c r="I10" s="43">
        <v>0</v>
      </c>
      <c r="J10" s="43">
        <v>0</v>
      </c>
      <c r="K10" s="70">
        <v>0</v>
      </c>
      <c r="L10" s="43"/>
    </row>
    <row r="11" spans="1:12" x14ac:dyDescent="0.35">
      <c r="E11" s="82" t="s">
        <v>40</v>
      </c>
      <c r="F11" s="20"/>
      <c r="G11" s="86">
        <v>0</v>
      </c>
      <c r="H11" s="86">
        <v>0</v>
      </c>
      <c r="I11" s="86">
        <v>0</v>
      </c>
      <c r="J11" s="86">
        <v>0</v>
      </c>
      <c r="K11" s="87">
        <v>0</v>
      </c>
      <c r="L11" s="43"/>
    </row>
    <row r="12" spans="1:12" x14ac:dyDescent="0.35">
      <c r="E12" s="85" t="s">
        <v>37</v>
      </c>
      <c r="F12" s="20"/>
      <c r="G12" s="43">
        <f>G11+G10</f>
        <v>0</v>
      </c>
      <c r="H12" s="43">
        <f t="shared" ref="H12:K12" si="1">H11+H10</f>
        <v>0</v>
      </c>
      <c r="I12" s="43">
        <f t="shared" si="1"/>
        <v>0</v>
      </c>
      <c r="J12" s="43">
        <f t="shared" si="1"/>
        <v>0</v>
      </c>
      <c r="K12" s="70">
        <f t="shared" si="1"/>
        <v>0</v>
      </c>
      <c r="L12" s="43"/>
    </row>
    <row r="13" spans="1:12" x14ac:dyDescent="0.35">
      <c r="E13" s="88" t="s">
        <v>41</v>
      </c>
      <c r="F13" s="20"/>
      <c r="G13" s="86">
        <v>0</v>
      </c>
      <c r="H13" s="86">
        <v>0</v>
      </c>
      <c r="I13" s="86">
        <v>0</v>
      </c>
      <c r="J13" s="86">
        <v>0</v>
      </c>
      <c r="K13" s="87">
        <v>0</v>
      </c>
      <c r="L13" s="43"/>
    </row>
    <row r="14" spans="1:12" x14ac:dyDescent="0.35">
      <c r="E14" s="85" t="s">
        <v>42</v>
      </c>
      <c r="F14" s="20"/>
      <c r="G14" s="43">
        <f>G12+G13</f>
        <v>0</v>
      </c>
      <c r="H14" s="43">
        <f t="shared" ref="H14:K14" si="2">H12+H13</f>
        <v>0</v>
      </c>
      <c r="I14" s="43">
        <f t="shared" si="2"/>
        <v>0</v>
      </c>
      <c r="J14" s="43">
        <f t="shared" si="2"/>
        <v>0</v>
      </c>
      <c r="K14" s="70">
        <f t="shared" si="2"/>
        <v>0</v>
      </c>
      <c r="L14" s="43"/>
    </row>
    <row r="15" spans="1:12" x14ac:dyDescent="0.35">
      <c r="E15" s="18"/>
      <c r="F15" s="20"/>
      <c r="G15" s="20"/>
      <c r="H15" s="20"/>
      <c r="I15" s="20"/>
      <c r="J15" s="20"/>
      <c r="K15" s="21"/>
      <c r="L15" s="20"/>
    </row>
    <row r="16" spans="1:12" x14ac:dyDescent="0.35">
      <c r="E16" s="85" t="s">
        <v>43</v>
      </c>
      <c r="F16" s="20"/>
      <c r="G16" s="20"/>
      <c r="H16" s="20"/>
      <c r="I16" s="20"/>
      <c r="J16" s="20"/>
      <c r="K16" s="21"/>
      <c r="L16" s="20"/>
    </row>
    <row r="17" spans="5:12" x14ac:dyDescent="0.35">
      <c r="E17" s="18" t="s">
        <v>44</v>
      </c>
      <c r="F17" s="20"/>
      <c r="G17" s="43">
        <v>0</v>
      </c>
      <c r="H17" s="43">
        <v>0</v>
      </c>
      <c r="I17" s="43">
        <v>0</v>
      </c>
      <c r="J17" s="43">
        <v>0</v>
      </c>
      <c r="K17" s="70">
        <v>0</v>
      </c>
      <c r="L17" s="43"/>
    </row>
    <row r="18" spans="5:12" x14ac:dyDescent="0.35">
      <c r="E18" s="89" t="s">
        <v>45</v>
      </c>
      <c r="F18" s="20"/>
      <c r="G18" s="43">
        <v>0</v>
      </c>
      <c r="H18" s="43">
        <v>0</v>
      </c>
      <c r="I18" s="43">
        <v>0</v>
      </c>
      <c r="J18" s="43">
        <v>0</v>
      </c>
      <c r="K18" s="70">
        <v>0</v>
      </c>
      <c r="L18" s="43"/>
    </row>
    <row r="19" spans="5:12" x14ac:dyDescent="0.35">
      <c r="E19" s="18" t="s">
        <v>46</v>
      </c>
      <c r="F19" s="20"/>
      <c r="G19" s="43">
        <v>0</v>
      </c>
      <c r="H19" s="43">
        <v>0</v>
      </c>
      <c r="I19" s="43">
        <v>0</v>
      </c>
      <c r="J19" s="43">
        <v>0</v>
      </c>
      <c r="K19" s="70">
        <v>0</v>
      </c>
      <c r="L19" s="43"/>
    </row>
    <row r="20" spans="5:12" x14ac:dyDescent="0.35">
      <c r="E20" s="90" t="s">
        <v>47</v>
      </c>
      <c r="F20" s="20"/>
      <c r="G20" s="83">
        <f>'P&amp;L'!G23</f>
        <v>0</v>
      </c>
      <c r="H20" s="83">
        <f>'P&amp;L'!H23</f>
        <v>1180446.3029374718</v>
      </c>
      <c r="I20" s="83">
        <f>'P&amp;L'!I23</f>
        <v>55111544.252606429</v>
      </c>
      <c r="J20" s="83">
        <f>'P&amp;L'!J23</f>
        <v>142373557.57295004</v>
      </c>
      <c r="K20" s="84">
        <f>'P&amp;L'!K23</f>
        <v>289937955.4949277</v>
      </c>
      <c r="L20" s="7"/>
    </row>
    <row r="21" spans="5:12" x14ac:dyDescent="0.35">
      <c r="E21" s="39" t="s">
        <v>37</v>
      </c>
      <c r="F21" s="20"/>
      <c r="G21" s="7">
        <f>SUM(G17:G20)</f>
        <v>0</v>
      </c>
      <c r="H21" s="7">
        <f t="shared" ref="H21:K21" si="3">SUM(H17:H20)</f>
        <v>1180446.3029374718</v>
      </c>
      <c r="I21" s="7">
        <f t="shared" si="3"/>
        <v>55111544.252606429</v>
      </c>
      <c r="J21" s="7">
        <f t="shared" si="3"/>
        <v>142373557.57295004</v>
      </c>
      <c r="K21" s="8">
        <f t="shared" si="3"/>
        <v>289937955.4949277</v>
      </c>
      <c r="L21" s="7"/>
    </row>
    <row r="22" spans="5:12" x14ac:dyDescent="0.35">
      <c r="E22" s="18"/>
      <c r="F22" s="20"/>
      <c r="G22" s="20"/>
      <c r="H22" s="20"/>
      <c r="I22" s="20"/>
      <c r="J22" s="20"/>
      <c r="K22" s="21"/>
      <c r="L22" s="20"/>
    </row>
    <row r="23" spans="5:12" x14ac:dyDescent="0.35">
      <c r="E23" s="47" t="s">
        <v>48</v>
      </c>
      <c r="F23" s="60"/>
      <c r="G23" s="49">
        <f>G21+G14+G7</f>
        <v>-11482933.050000027</v>
      </c>
      <c r="H23" s="49">
        <f t="shared" ref="H23:K23" si="4">H21+H14+H7</f>
        <v>-6761147.8382501397</v>
      </c>
      <c r="I23" s="49">
        <f t="shared" si="4"/>
        <v>212504582.86923811</v>
      </c>
      <c r="J23" s="49">
        <f t="shared" si="4"/>
        <v>726887268.90843189</v>
      </c>
      <c r="K23" s="50">
        <f t="shared" si="4"/>
        <v>1744265533.3151927</v>
      </c>
      <c r="L23" s="7"/>
    </row>
    <row r="24" spans="5:12" x14ac:dyDescent="0.35">
      <c r="E24" s="18"/>
      <c r="F24" s="20"/>
      <c r="G24" s="20"/>
      <c r="H24" s="20"/>
      <c r="I24" s="20"/>
      <c r="J24" s="20"/>
      <c r="K24" s="21"/>
      <c r="L24" s="20"/>
    </row>
    <row r="25" spans="5:12" x14ac:dyDescent="0.35">
      <c r="E25" s="85" t="s">
        <v>32</v>
      </c>
      <c r="F25" s="20"/>
      <c r="G25" s="20"/>
      <c r="H25" s="20"/>
      <c r="I25" s="20"/>
      <c r="J25" s="20"/>
      <c r="K25" s="21"/>
      <c r="L25" s="20"/>
    </row>
    <row r="26" spans="5:12" x14ac:dyDescent="0.35">
      <c r="E26" s="39" t="s">
        <v>49</v>
      </c>
      <c r="F26" s="20"/>
      <c r="G26" s="20"/>
      <c r="H26" s="20"/>
      <c r="I26" s="20"/>
      <c r="J26" s="20"/>
      <c r="K26" s="21"/>
      <c r="L26" s="20"/>
    </row>
    <row r="27" spans="5:12" x14ac:dyDescent="0.35">
      <c r="E27" s="65" t="s">
        <v>50</v>
      </c>
      <c r="F27" s="20"/>
      <c r="G27" s="7">
        <f>Assumptions!C97</f>
        <v>15232974.75</v>
      </c>
      <c r="H27" s="7">
        <f>Assumptions!D97</f>
        <v>12567204.168749999</v>
      </c>
      <c r="I27" s="7">
        <f>Assumptions!E97</f>
        <v>10367943.439218748</v>
      </c>
      <c r="J27" s="7">
        <f>Assumptions!F97</f>
        <v>8553553.3373554684</v>
      </c>
      <c r="K27" s="7">
        <f>Assumptions!G97</f>
        <v>7056681.5033182614</v>
      </c>
      <c r="L27" s="7"/>
    </row>
    <row r="28" spans="5:12" x14ac:dyDescent="0.35">
      <c r="E28" s="65" t="s">
        <v>51</v>
      </c>
      <c r="F28" s="20"/>
      <c r="G28" s="43">
        <v>0</v>
      </c>
      <c r="H28" s="43">
        <v>0</v>
      </c>
      <c r="I28" s="43">
        <v>0</v>
      </c>
      <c r="J28" s="43">
        <v>0</v>
      </c>
      <c r="K28" s="70">
        <v>0</v>
      </c>
      <c r="L28" s="43"/>
    </row>
    <row r="29" spans="5:12" x14ac:dyDescent="0.35">
      <c r="E29" s="91" t="s">
        <v>52</v>
      </c>
      <c r="F29" s="20"/>
      <c r="G29" s="86">
        <v>0</v>
      </c>
      <c r="H29" s="86">
        <v>0</v>
      </c>
      <c r="I29" s="86">
        <v>0</v>
      </c>
      <c r="J29" s="86">
        <v>0</v>
      </c>
      <c r="K29" s="87">
        <v>0</v>
      </c>
      <c r="L29" s="43"/>
    </row>
    <row r="30" spans="5:12" x14ac:dyDescent="0.35">
      <c r="E30" s="85" t="s">
        <v>37</v>
      </c>
      <c r="F30" s="20"/>
      <c r="G30" s="73">
        <f>SUM(G27:G29)</f>
        <v>15232974.75</v>
      </c>
      <c r="H30" s="73">
        <f t="shared" ref="H30:K30" si="5">SUM(H27:H29)</f>
        <v>12567204.168749999</v>
      </c>
      <c r="I30" s="73">
        <f t="shared" si="5"/>
        <v>10367943.439218748</v>
      </c>
      <c r="J30" s="73">
        <f t="shared" si="5"/>
        <v>8553553.3373554684</v>
      </c>
      <c r="K30" s="74">
        <f t="shared" si="5"/>
        <v>7056681.5033182614</v>
      </c>
      <c r="L30" s="73"/>
    </row>
    <row r="31" spans="5:12" x14ac:dyDescent="0.35">
      <c r="E31" s="18"/>
      <c r="F31" s="20"/>
      <c r="G31" s="20"/>
      <c r="H31" s="20"/>
      <c r="I31" s="20"/>
      <c r="J31" s="20"/>
      <c r="K31" s="21"/>
      <c r="L31" s="20"/>
    </row>
    <row r="32" spans="5:12" x14ac:dyDescent="0.35">
      <c r="E32" s="39" t="s">
        <v>53</v>
      </c>
      <c r="F32" s="20"/>
      <c r="G32" s="20"/>
      <c r="H32" s="20"/>
      <c r="I32" s="20"/>
      <c r="J32" s="20"/>
      <c r="K32" s="21"/>
      <c r="L32" s="20"/>
    </row>
    <row r="33" spans="5:12" x14ac:dyDescent="0.35">
      <c r="E33" s="18" t="s">
        <v>54</v>
      </c>
      <c r="F33" s="20"/>
      <c r="G33" s="7">
        <f>CFS!G34</f>
        <v>-23805274.800000027</v>
      </c>
      <c r="H33" s="7">
        <f>CFS!H34</f>
        <v>-16417719.007000139</v>
      </c>
      <c r="I33" s="7">
        <f>CFS!I34</f>
        <v>205047272.43001935</v>
      </c>
      <c r="J33" s="7">
        <f>CFS!J34</f>
        <v>721244348.57107627</v>
      </c>
      <c r="K33" s="8">
        <f>CFS!K34</f>
        <v>1740119484.8118744</v>
      </c>
      <c r="L33" s="7"/>
    </row>
    <row r="34" spans="5:12" x14ac:dyDescent="0.35">
      <c r="E34" s="65" t="s">
        <v>55</v>
      </c>
      <c r="F34" s="20"/>
      <c r="G34" s="7">
        <v>0</v>
      </c>
      <c r="H34" s="7">
        <v>0</v>
      </c>
      <c r="I34" s="7">
        <v>0</v>
      </c>
      <c r="J34" s="7">
        <v>0</v>
      </c>
      <c r="K34" s="8">
        <v>0</v>
      </c>
      <c r="L34" s="7"/>
    </row>
    <row r="35" spans="5:12" x14ac:dyDescent="0.35">
      <c r="E35" s="82" t="s">
        <v>56</v>
      </c>
      <c r="F35" s="20"/>
      <c r="G35" s="83">
        <v>0</v>
      </c>
      <c r="H35" s="83">
        <v>0</v>
      </c>
      <c r="I35" s="83">
        <v>0</v>
      </c>
      <c r="J35" s="83">
        <v>0</v>
      </c>
      <c r="K35" s="84">
        <v>0</v>
      </c>
      <c r="L35" s="7"/>
    </row>
    <row r="36" spans="5:12" x14ac:dyDescent="0.35">
      <c r="E36" s="85" t="s">
        <v>37</v>
      </c>
      <c r="F36" s="20"/>
      <c r="G36" s="7">
        <f>SUM(G33:G35)</f>
        <v>-23805274.800000027</v>
      </c>
      <c r="H36" s="7">
        <f t="shared" ref="H36:K36" si="6">SUM(H33:H35)</f>
        <v>-16417719.007000139</v>
      </c>
      <c r="I36" s="7">
        <f t="shared" si="6"/>
        <v>205047272.43001935</v>
      </c>
      <c r="J36" s="7">
        <f t="shared" si="6"/>
        <v>721244348.57107627</v>
      </c>
      <c r="K36" s="8">
        <f t="shared" si="6"/>
        <v>1740119484.8118744</v>
      </c>
      <c r="L36" s="7"/>
    </row>
    <row r="37" spans="5:12" x14ac:dyDescent="0.35">
      <c r="E37" s="18"/>
      <c r="F37" s="20"/>
      <c r="G37" s="7"/>
      <c r="H37" s="7"/>
      <c r="I37" s="7"/>
      <c r="J37" s="7"/>
      <c r="K37" s="8"/>
      <c r="L37" s="7"/>
    </row>
    <row r="38" spans="5:12" ht="15" thickBot="1" x14ac:dyDescent="0.4">
      <c r="E38" s="92" t="s">
        <v>57</v>
      </c>
      <c r="F38" s="93"/>
      <c r="G38" s="94">
        <f>G36+G30</f>
        <v>-8572300.0500000268</v>
      </c>
      <c r="H38" s="94">
        <f t="shared" ref="H38:K38" si="7">H36+H30</f>
        <v>-3850514.8382501397</v>
      </c>
      <c r="I38" s="94">
        <f t="shared" si="7"/>
        <v>215415215.86923811</v>
      </c>
      <c r="J38" s="94">
        <f t="shared" si="7"/>
        <v>729797901.90843177</v>
      </c>
      <c r="K38" s="95">
        <f t="shared" si="7"/>
        <v>1747176166.3151927</v>
      </c>
      <c r="L38" s="7"/>
    </row>
    <row r="39" spans="5:12" x14ac:dyDescent="0.35">
      <c r="L39" s="20"/>
    </row>
    <row r="40" spans="5:12" x14ac:dyDescent="0.35">
      <c r="E40" t="s">
        <v>58</v>
      </c>
      <c r="G40" s="3">
        <f>G23-G38</f>
        <v>-2910633</v>
      </c>
      <c r="H40" s="3">
        <f t="shared" ref="H40:K40" si="8">H23-H38</f>
        <v>-2910633</v>
      </c>
      <c r="I40" s="3">
        <f t="shared" si="8"/>
        <v>-2910633</v>
      </c>
      <c r="J40" s="3">
        <f t="shared" si="8"/>
        <v>-2910632.9999998808</v>
      </c>
      <c r="K40" s="3">
        <f t="shared" si="8"/>
        <v>-2910633</v>
      </c>
      <c r="L40" s="7"/>
    </row>
    <row r="41" spans="5:12" x14ac:dyDescent="0.35">
      <c r="L41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5"/>
  <sheetViews>
    <sheetView showGridLines="0" topLeftCell="A17" workbookViewId="0">
      <selection activeCell="I37" sqref="I37"/>
    </sheetView>
  </sheetViews>
  <sheetFormatPr defaultRowHeight="14.5" x14ac:dyDescent="0.35"/>
  <cols>
    <col min="1" max="1" width="0.81640625" customWidth="1"/>
    <col min="2" max="2" width="0.54296875" customWidth="1"/>
    <col min="3" max="3" width="0.7265625" customWidth="1"/>
    <col min="4" max="4" width="5.453125" customWidth="1"/>
    <col min="5" max="5" width="50.81640625" bestFit="1" customWidth="1"/>
    <col min="6" max="6" width="2.7265625" customWidth="1"/>
    <col min="7" max="7" width="13.453125" bestFit="1" customWidth="1"/>
    <col min="8" max="10" width="14.26953125" bestFit="1" customWidth="1"/>
    <col min="11" max="11" width="15.26953125" bestFit="1" customWidth="1"/>
    <col min="12" max="12" width="14.453125" bestFit="1" customWidth="1"/>
  </cols>
  <sheetData>
    <row r="1" spans="1:12" ht="23.5" x14ac:dyDescent="0.55000000000000004">
      <c r="A1" s="30" t="s">
        <v>59</v>
      </c>
    </row>
    <row r="2" spans="1:12" ht="15" thickBot="1" x14ac:dyDescent="0.4">
      <c r="D2" s="33" t="s">
        <v>14</v>
      </c>
    </row>
    <row r="3" spans="1:12" ht="15.5" x14ac:dyDescent="0.35">
      <c r="E3" s="34" t="s">
        <v>0</v>
      </c>
      <c r="F3" s="81"/>
      <c r="G3" s="173" t="s">
        <v>168</v>
      </c>
      <c r="H3" s="173" t="s">
        <v>169</v>
      </c>
      <c r="I3" s="173" t="s">
        <v>170</v>
      </c>
      <c r="J3" s="173" t="s">
        <v>171</v>
      </c>
      <c r="K3" s="173" t="s">
        <v>172</v>
      </c>
      <c r="L3" s="38"/>
    </row>
    <row r="4" spans="1:12" x14ac:dyDescent="0.35">
      <c r="E4" s="39" t="s">
        <v>60</v>
      </c>
      <c r="F4" s="20"/>
      <c r="G4" s="20"/>
      <c r="H4" s="20"/>
      <c r="I4" s="20"/>
      <c r="J4" s="20"/>
      <c r="K4" s="21"/>
      <c r="L4" s="96"/>
    </row>
    <row r="5" spans="1:12" x14ac:dyDescent="0.35">
      <c r="E5" s="82" t="s">
        <v>61</v>
      </c>
      <c r="F5" s="97"/>
      <c r="G5" s="83">
        <f>'P&amp;L'!G24</f>
        <v>-11482933.050000027</v>
      </c>
      <c r="H5" s="83">
        <f>'P&amp;L'!H24</f>
        <v>3541338.9088124153</v>
      </c>
      <c r="I5" s="83">
        <f>'P&amp;L'!I24</f>
        <v>165334632.75781929</v>
      </c>
      <c r="J5" s="83">
        <f>'P&amp;L'!J24</f>
        <v>427120672.71885014</v>
      </c>
      <c r="K5" s="84">
        <f>'P&amp;L'!K24</f>
        <v>869813866.48478317</v>
      </c>
      <c r="L5" s="98"/>
    </row>
    <row r="6" spans="1:12" x14ac:dyDescent="0.35">
      <c r="E6" s="99" t="s">
        <v>62</v>
      </c>
      <c r="F6" s="20"/>
      <c r="G6" s="20"/>
      <c r="H6" s="20"/>
      <c r="I6" s="20"/>
      <c r="J6" s="20"/>
      <c r="K6" s="21"/>
      <c r="L6" s="52"/>
    </row>
    <row r="7" spans="1:12" x14ac:dyDescent="0.35">
      <c r="E7" s="85" t="s">
        <v>63</v>
      </c>
      <c r="F7" s="20"/>
      <c r="G7" s="43"/>
      <c r="H7" s="43"/>
      <c r="I7" s="43"/>
      <c r="J7" s="43"/>
      <c r="K7" s="70"/>
      <c r="L7" s="100"/>
    </row>
    <row r="8" spans="1:12" x14ac:dyDescent="0.35">
      <c r="E8" s="99" t="s">
        <v>64</v>
      </c>
      <c r="F8" s="20"/>
      <c r="G8" s="43">
        <v>0</v>
      </c>
      <c r="H8" s="43">
        <v>0</v>
      </c>
      <c r="I8" s="43">
        <v>0</v>
      </c>
      <c r="J8" s="43">
        <v>0</v>
      </c>
      <c r="K8" s="70">
        <v>0</v>
      </c>
      <c r="L8" s="100"/>
    </row>
    <row r="9" spans="1:12" x14ac:dyDescent="0.35">
      <c r="E9" s="99" t="s">
        <v>23</v>
      </c>
      <c r="F9" s="20"/>
      <c r="G9" s="7">
        <f>'P&amp;L'!G17</f>
        <v>5077658.25</v>
      </c>
      <c r="H9" s="7">
        <f>'P&amp;L'!H17</f>
        <v>4189068.0562499999</v>
      </c>
      <c r="I9" s="7">
        <f>'P&amp;L'!I17</f>
        <v>3455981.1464062496</v>
      </c>
      <c r="J9" s="7">
        <f>'P&amp;L'!J17</f>
        <v>2851184.445785156</v>
      </c>
      <c r="K9" s="8">
        <f>'P&amp;L'!K17</f>
        <v>2352227.1677727536</v>
      </c>
      <c r="L9" s="98"/>
    </row>
    <row r="10" spans="1:12" x14ac:dyDescent="0.35">
      <c r="E10" s="99" t="s">
        <v>65</v>
      </c>
      <c r="F10" s="20"/>
      <c r="G10" s="43">
        <v>0</v>
      </c>
      <c r="H10" s="43">
        <v>0</v>
      </c>
      <c r="I10" s="43">
        <v>0</v>
      </c>
      <c r="J10" s="43">
        <v>0</v>
      </c>
      <c r="K10" s="70">
        <v>0</v>
      </c>
      <c r="L10" s="100"/>
    </row>
    <row r="11" spans="1:12" x14ac:dyDescent="0.35">
      <c r="E11" s="99" t="s">
        <v>66</v>
      </c>
      <c r="F11" s="20"/>
      <c r="G11" s="43">
        <v>0</v>
      </c>
      <c r="H11" s="43">
        <v>0</v>
      </c>
      <c r="I11" s="43">
        <v>0</v>
      </c>
      <c r="J11" s="43">
        <v>0</v>
      </c>
      <c r="K11" s="70">
        <v>0</v>
      </c>
      <c r="L11" s="100"/>
    </row>
    <row r="12" spans="1:12" x14ac:dyDescent="0.35">
      <c r="E12" s="88" t="s">
        <v>67</v>
      </c>
      <c r="F12" s="97"/>
      <c r="G12" s="83">
        <f>BS!G20</f>
        <v>0</v>
      </c>
      <c r="H12" s="83">
        <f>BS!H20</f>
        <v>1180446.3029374718</v>
      </c>
      <c r="I12" s="83">
        <f>BS!I20</f>
        <v>55111544.252606429</v>
      </c>
      <c r="J12" s="83">
        <f>BS!J20</f>
        <v>142373557.57295004</v>
      </c>
      <c r="K12" s="84">
        <f>BS!K20</f>
        <v>289937955.4949277</v>
      </c>
      <c r="L12" s="98"/>
    </row>
    <row r="13" spans="1:12" x14ac:dyDescent="0.35">
      <c r="E13" s="101" t="s">
        <v>68</v>
      </c>
      <c r="F13" s="48"/>
      <c r="G13" s="102">
        <f>G5+SUM(G8:G12)</f>
        <v>-6405274.8000000268</v>
      </c>
      <c r="H13" s="102">
        <f t="shared" ref="H13:K13" si="0">H5+SUM(H8:H12)</f>
        <v>8910853.2679998875</v>
      </c>
      <c r="I13" s="102">
        <f t="shared" si="0"/>
        <v>223902158.15683198</v>
      </c>
      <c r="J13" s="102">
        <f t="shared" si="0"/>
        <v>572345414.73758531</v>
      </c>
      <c r="K13" s="103">
        <f t="shared" si="0"/>
        <v>1162104049.1474836</v>
      </c>
      <c r="L13" s="98"/>
    </row>
    <row r="14" spans="1:12" x14ac:dyDescent="0.35">
      <c r="E14" s="99" t="s">
        <v>69</v>
      </c>
      <c r="F14" s="20"/>
      <c r="G14" s="20"/>
      <c r="H14" s="20"/>
      <c r="I14" s="20"/>
      <c r="J14" s="20"/>
      <c r="K14" s="21"/>
      <c r="L14" s="52"/>
    </row>
    <row r="15" spans="1:12" x14ac:dyDescent="0.35">
      <c r="E15" s="99" t="s">
        <v>70</v>
      </c>
      <c r="F15" s="20"/>
      <c r="G15" s="43">
        <v>0</v>
      </c>
      <c r="H15" s="43">
        <v>0</v>
      </c>
      <c r="I15" s="43">
        <v>0</v>
      </c>
      <c r="J15" s="43">
        <v>0</v>
      </c>
      <c r="K15" s="70">
        <v>0</v>
      </c>
      <c r="L15" s="100"/>
    </row>
    <row r="16" spans="1:12" x14ac:dyDescent="0.35">
      <c r="E16" s="99" t="s">
        <v>56</v>
      </c>
      <c r="F16" s="20"/>
      <c r="G16" s="43">
        <v>0</v>
      </c>
      <c r="H16" s="43">
        <v>0</v>
      </c>
      <c r="I16" s="43">
        <v>0</v>
      </c>
      <c r="J16" s="43">
        <v>0</v>
      </c>
      <c r="K16" s="70">
        <v>0</v>
      </c>
      <c r="L16" s="100"/>
    </row>
    <row r="17" spans="5:12" x14ac:dyDescent="0.35">
      <c r="E17" s="99" t="s">
        <v>71</v>
      </c>
      <c r="F17" s="20"/>
      <c r="G17" s="43">
        <f>0</f>
        <v>0</v>
      </c>
      <c r="H17" s="73">
        <f>-G12</f>
        <v>0</v>
      </c>
      <c r="I17" s="73">
        <f t="shared" ref="I17:K17" si="1">-H12</f>
        <v>-1180446.3029374718</v>
      </c>
      <c r="J17" s="73">
        <f t="shared" si="1"/>
        <v>-55111544.252606429</v>
      </c>
      <c r="K17" s="74">
        <f t="shared" si="1"/>
        <v>-142373557.57295004</v>
      </c>
      <c r="L17" s="104"/>
    </row>
    <row r="18" spans="5:12" x14ac:dyDescent="0.35">
      <c r="E18" s="88" t="s">
        <v>72</v>
      </c>
      <c r="F18" s="97"/>
      <c r="G18" s="43">
        <v>0</v>
      </c>
      <c r="H18" s="43">
        <v>0</v>
      </c>
      <c r="I18" s="43">
        <v>0</v>
      </c>
      <c r="J18" s="43">
        <v>0</v>
      </c>
      <c r="K18" s="70">
        <v>0</v>
      </c>
      <c r="L18" s="100"/>
    </row>
    <row r="19" spans="5:12" x14ac:dyDescent="0.35">
      <c r="E19" s="47" t="s">
        <v>73</v>
      </c>
      <c r="F19" s="48"/>
      <c r="G19" s="102">
        <f>G13+SUM(G15:G18)</f>
        <v>-6405274.8000000268</v>
      </c>
      <c r="H19" s="102">
        <f t="shared" ref="H19:K19" si="2">H13+SUM(H15:H18)</f>
        <v>8910853.2679998875</v>
      </c>
      <c r="I19" s="102">
        <f t="shared" si="2"/>
        <v>222721711.8538945</v>
      </c>
      <c r="J19" s="102">
        <f t="shared" si="2"/>
        <v>517233870.48497885</v>
      </c>
      <c r="K19" s="103">
        <f t="shared" si="2"/>
        <v>1019730491.5745336</v>
      </c>
      <c r="L19" s="98"/>
    </row>
    <row r="20" spans="5:12" x14ac:dyDescent="0.35">
      <c r="E20" s="18"/>
      <c r="F20" s="20"/>
      <c r="G20" s="20"/>
      <c r="H20" s="20"/>
      <c r="I20" s="20"/>
      <c r="J20" s="20"/>
      <c r="K20" s="21"/>
      <c r="L20" s="52"/>
    </row>
    <row r="21" spans="5:12" x14ac:dyDescent="0.35">
      <c r="E21" s="39" t="s">
        <v>74</v>
      </c>
      <c r="F21" s="20"/>
      <c r="G21" s="20"/>
      <c r="H21" s="20"/>
      <c r="I21" s="20"/>
      <c r="J21" s="20"/>
      <c r="K21" s="21"/>
      <c r="L21" s="52"/>
    </row>
    <row r="22" spans="5:12" x14ac:dyDescent="0.35">
      <c r="E22" s="18" t="s">
        <v>75</v>
      </c>
      <c r="F22" s="20"/>
      <c r="G22" s="7">
        <f>Assumptions!C94</f>
        <v>17400000</v>
      </c>
      <c r="H22" s="7">
        <f>Assumptions!D94</f>
        <v>1523297.4750000001</v>
      </c>
      <c r="I22" s="7">
        <f>Assumptions!E94</f>
        <v>1256720.4168749999</v>
      </c>
      <c r="J22" s="7">
        <f>Assumptions!F94</f>
        <v>1036794.3439218749</v>
      </c>
      <c r="K22" s="7">
        <f>Assumptions!G94</f>
        <v>855355.33373554691</v>
      </c>
      <c r="L22" s="98"/>
    </row>
    <row r="23" spans="5:12" x14ac:dyDescent="0.35">
      <c r="E23" s="65" t="s">
        <v>52</v>
      </c>
      <c r="F23" s="20"/>
      <c r="G23" s="43">
        <v>0</v>
      </c>
      <c r="H23" s="43">
        <v>0</v>
      </c>
      <c r="I23" s="43">
        <v>0</v>
      </c>
      <c r="J23" s="43">
        <v>0</v>
      </c>
      <c r="K23" s="70">
        <v>0</v>
      </c>
      <c r="L23" s="100"/>
    </row>
    <row r="24" spans="5:12" x14ac:dyDescent="0.35">
      <c r="E24" s="91" t="s">
        <v>76</v>
      </c>
      <c r="F24" s="97"/>
      <c r="G24" s="86">
        <v>0</v>
      </c>
      <c r="H24" s="86">
        <v>0</v>
      </c>
      <c r="I24" s="86">
        <v>0</v>
      </c>
      <c r="J24" s="86">
        <v>0</v>
      </c>
      <c r="K24" s="87">
        <v>0</v>
      </c>
      <c r="L24" s="100"/>
    </row>
    <row r="25" spans="5:12" x14ac:dyDescent="0.35">
      <c r="E25" s="47" t="s">
        <v>77</v>
      </c>
      <c r="F25" s="48"/>
      <c r="G25" s="105">
        <f>SUM(G22:G24)</f>
        <v>17400000</v>
      </c>
      <c r="H25" s="105">
        <f t="shared" ref="H25:K25" si="3">SUM(H22:H24)</f>
        <v>1523297.4750000001</v>
      </c>
      <c r="I25" s="105">
        <f t="shared" si="3"/>
        <v>1256720.4168749999</v>
      </c>
      <c r="J25" s="105">
        <f t="shared" si="3"/>
        <v>1036794.3439218749</v>
      </c>
      <c r="K25" s="106">
        <f t="shared" si="3"/>
        <v>855355.33373554691</v>
      </c>
      <c r="L25" s="104"/>
    </row>
    <row r="26" spans="5:12" x14ac:dyDescent="0.35">
      <c r="E26" s="18"/>
      <c r="F26" s="20"/>
      <c r="G26" s="20"/>
      <c r="H26" s="20"/>
      <c r="I26" s="20"/>
      <c r="J26" s="20"/>
      <c r="K26" s="21"/>
      <c r="L26" s="52"/>
    </row>
    <row r="27" spans="5:12" x14ac:dyDescent="0.35">
      <c r="E27" s="39" t="s">
        <v>78</v>
      </c>
      <c r="F27" s="20"/>
      <c r="G27" s="20"/>
      <c r="H27" s="20"/>
      <c r="I27" s="20"/>
      <c r="J27" s="20"/>
      <c r="K27" s="21"/>
      <c r="L27" s="52"/>
    </row>
    <row r="28" spans="5:12" x14ac:dyDescent="0.35">
      <c r="E28" s="18" t="s">
        <v>79</v>
      </c>
      <c r="F28" s="20"/>
      <c r="G28" s="43">
        <v>0</v>
      </c>
      <c r="H28" s="43">
        <v>0</v>
      </c>
      <c r="I28" s="43">
        <v>0</v>
      </c>
      <c r="J28" s="43">
        <v>0</v>
      </c>
      <c r="K28" s="70">
        <v>0</v>
      </c>
      <c r="L28" s="100"/>
    </row>
    <row r="29" spans="5:12" x14ac:dyDescent="0.35">
      <c r="E29" s="65" t="s">
        <v>80</v>
      </c>
      <c r="F29" s="20"/>
      <c r="G29" s="43">
        <v>0</v>
      </c>
      <c r="H29" s="43">
        <v>0</v>
      </c>
      <c r="I29" s="43">
        <v>0</v>
      </c>
      <c r="J29" s="43">
        <v>0</v>
      </c>
      <c r="K29" s="70">
        <v>0</v>
      </c>
      <c r="L29" s="100"/>
    </row>
    <row r="30" spans="5:12" x14ac:dyDescent="0.35">
      <c r="E30" s="91" t="s">
        <v>81</v>
      </c>
      <c r="F30" s="97"/>
      <c r="G30" s="86">
        <v>0</v>
      </c>
      <c r="H30" s="86">
        <v>0</v>
      </c>
      <c r="I30" s="86">
        <v>0</v>
      </c>
      <c r="J30" s="86">
        <v>0</v>
      </c>
      <c r="K30" s="87">
        <v>0</v>
      </c>
      <c r="L30" s="100"/>
    </row>
    <row r="31" spans="5:12" x14ac:dyDescent="0.35">
      <c r="E31" s="47" t="s">
        <v>82</v>
      </c>
      <c r="F31" s="48"/>
      <c r="G31" s="107">
        <f>SUM(G28:G30)</f>
        <v>0</v>
      </c>
      <c r="H31" s="107">
        <f t="shared" ref="H31:K31" si="4">SUM(H28:H30)</f>
        <v>0</v>
      </c>
      <c r="I31" s="107">
        <f t="shared" si="4"/>
        <v>0</v>
      </c>
      <c r="J31" s="107">
        <f t="shared" si="4"/>
        <v>0</v>
      </c>
      <c r="K31" s="108">
        <f t="shared" si="4"/>
        <v>0</v>
      </c>
      <c r="L31" s="109"/>
    </row>
    <row r="32" spans="5:12" x14ac:dyDescent="0.35">
      <c r="E32" s="85" t="s">
        <v>83</v>
      </c>
      <c r="F32" s="20"/>
      <c r="G32" s="73">
        <f>G31-G25+G19</f>
        <v>-23805274.800000027</v>
      </c>
      <c r="H32" s="73">
        <f t="shared" ref="H32:K32" si="5">H31-H25+H19</f>
        <v>7387555.7929998878</v>
      </c>
      <c r="I32" s="73">
        <f t="shared" si="5"/>
        <v>221464991.4370195</v>
      </c>
      <c r="J32" s="73">
        <f t="shared" si="5"/>
        <v>516197076.14105695</v>
      </c>
      <c r="K32" s="73">
        <f t="shared" si="5"/>
        <v>1018875136.240798</v>
      </c>
      <c r="L32" s="104"/>
    </row>
    <row r="33" spans="5:12" x14ac:dyDescent="0.35">
      <c r="E33" s="89" t="s">
        <v>84</v>
      </c>
      <c r="F33" s="20"/>
      <c r="G33" s="110">
        <v>0</v>
      </c>
      <c r="H33" s="7">
        <f>G34</f>
        <v>-23805274.800000027</v>
      </c>
      <c r="I33" s="7">
        <f t="shared" ref="I33:K33" si="6">H34</f>
        <v>-16417719.007000139</v>
      </c>
      <c r="J33" s="7">
        <f t="shared" si="6"/>
        <v>205047272.43001935</v>
      </c>
      <c r="K33" s="8">
        <f t="shared" si="6"/>
        <v>721244348.57107627</v>
      </c>
      <c r="L33" s="98"/>
    </row>
    <row r="34" spans="5:12" ht="15" thickBot="1" x14ac:dyDescent="0.4">
      <c r="E34" s="92" t="s">
        <v>85</v>
      </c>
      <c r="F34" s="111"/>
      <c r="G34" s="112">
        <f>G32+G33</f>
        <v>-23805274.800000027</v>
      </c>
      <c r="H34" s="112">
        <f t="shared" ref="H34:K34" si="7">H32+H33</f>
        <v>-16417719.007000139</v>
      </c>
      <c r="I34" s="112">
        <f t="shared" si="7"/>
        <v>205047272.43001935</v>
      </c>
      <c r="J34" s="112">
        <f t="shared" si="7"/>
        <v>721244348.57107627</v>
      </c>
      <c r="K34" s="113">
        <f t="shared" si="7"/>
        <v>1740119484.8118744</v>
      </c>
      <c r="L34" s="104"/>
    </row>
    <row r="35" spans="5:12" x14ac:dyDescent="0.35">
      <c r="L35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Market return</vt:lpstr>
      <vt:lpstr>Key Value assumptions</vt:lpstr>
      <vt:lpstr>Assumptions</vt:lpstr>
      <vt:lpstr>Payroll</vt:lpstr>
      <vt:lpstr>Expenses</vt:lpstr>
      <vt:lpstr>Revenues</vt:lpstr>
      <vt:lpstr>P&amp;L</vt:lpstr>
      <vt:lpstr>BS</vt:lpstr>
      <vt:lpstr>CFS</vt:lpstr>
      <vt:lpstr>DCF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Avenon Consultants</cp:lastModifiedBy>
  <dcterms:created xsi:type="dcterms:W3CDTF">2022-04-18T05:22:47Z</dcterms:created>
  <dcterms:modified xsi:type="dcterms:W3CDTF">2022-06-10T02:48:28Z</dcterms:modified>
</cp:coreProperties>
</file>