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N:\startup cases\Net Paisa\"/>
    </mc:Choice>
  </mc:AlternateContent>
  <xr:revisionPtr revIDLastSave="0" documentId="13_ncr:1_{5F9BC1F3-5C02-4793-AD93-A3B4D60603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1" r:id="rId1"/>
    <sheet name="NPV" sheetId="9" r:id="rId2"/>
    <sheet name="Revenue" sheetId="2" r:id="rId3"/>
    <sheet name="Expense" sheetId="3" r:id="rId4"/>
    <sheet name="P&amp;L" sheetId="4" r:id="rId5"/>
    <sheet name="Balance Sheet" sheetId="5" r:id="rId6"/>
    <sheet name="Cash Flow" sheetId="6" r:id="rId7"/>
    <sheet name="Assumptions" sheetId="7" r:id="rId8"/>
    <sheet name="Value Assumptions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14" i="2" s="1"/>
  <c r="D23" i="3"/>
  <c r="F42" i="2"/>
  <c r="F40" i="2"/>
  <c r="F41" i="2" s="1"/>
  <c r="E40" i="2"/>
  <c r="B51" i="3"/>
  <c r="F51" i="3" s="1"/>
  <c r="G51" i="3" s="1"/>
  <c r="E30" i="2"/>
  <c r="E8" i="2"/>
  <c r="E14" i="2" s="1"/>
  <c r="G23" i="3"/>
  <c r="F23" i="3"/>
  <c r="E23" i="3"/>
  <c r="D8" i="2"/>
  <c r="D14" i="2" s="1"/>
  <c r="C12" i="3"/>
  <c r="B14" i="2" l="1"/>
  <c r="C8" i="2"/>
  <c r="C14" i="2" s="1"/>
  <c r="E41" i="2"/>
  <c r="D41" i="2"/>
  <c r="C41" i="2"/>
  <c r="B11" i="4"/>
  <c r="B16" i="3"/>
  <c r="D12" i="3"/>
  <c r="C11" i="4" s="1"/>
  <c r="G11" i="3"/>
  <c r="F10" i="4" s="1"/>
  <c r="F11" i="3"/>
  <c r="E10" i="4" s="1"/>
  <c r="E11" i="3"/>
  <c r="D10" i="4" s="1"/>
  <c r="D11" i="3"/>
  <c r="C10" i="4" s="1"/>
  <c r="C11" i="3"/>
  <c r="B10" i="4" s="1"/>
  <c r="E42" i="2"/>
  <c r="D42" i="2"/>
  <c r="C42" i="2"/>
  <c r="B41" i="2"/>
  <c r="F12" i="2"/>
  <c r="E12" i="2"/>
  <c r="D12" i="2"/>
  <c r="B12" i="2"/>
  <c r="C12" i="2"/>
  <c r="E19" i="3" l="1"/>
  <c r="F19" i="3"/>
  <c r="G19" i="3" s="1"/>
  <c r="D19" i="3"/>
  <c r="E12" i="3"/>
  <c r="C43" i="2"/>
  <c r="E43" i="2"/>
  <c r="D43" i="2"/>
  <c r="F43" i="2"/>
  <c r="D11" i="4" l="1"/>
  <c r="F12" i="3"/>
  <c r="B10" i="5"/>
  <c r="B35" i="5"/>
  <c r="B5" i="5"/>
  <c r="B11" i="2"/>
  <c r="F11" i="4" l="1"/>
  <c r="E11" i="4"/>
  <c r="F13" i="2"/>
  <c r="E13" i="2"/>
  <c r="D13" i="2"/>
  <c r="C13" i="2"/>
  <c r="B13" i="2"/>
  <c r="B18" i="3"/>
  <c r="B17" i="3"/>
  <c r="F18" i="2" l="1"/>
  <c r="E18" i="2"/>
  <c r="D18" i="2"/>
  <c r="E22" i="2" l="1"/>
  <c r="E20" i="2"/>
  <c r="E24" i="2" s="1"/>
  <c r="F22" i="2"/>
  <c r="F20" i="2"/>
  <c r="F24" i="2" s="1"/>
  <c r="D22" i="2"/>
  <c r="D20" i="2"/>
  <c r="D23" i="2"/>
  <c r="E23" i="2"/>
  <c r="F23" i="2"/>
  <c r="F31" i="2"/>
  <c r="F34" i="2" s="1"/>
  <c r="E31" i="2"/>
  <c r="E34" i="2" s="1"/>
  <c r="D31" i="2"/>
  <c r="D34" i="2" s="1"/>
  <c r="C30" i="2"/>
  <c r="C31" i="2" s="1"/>
  <c r="B42" i="2"/>
  <c r="B43" i="2" s="1"/>
  <c r="F32" i="2" l="1"/>
  <c r="F33" i="2" s="1"/>
  <c r="F35" i="2" s="1"/>
  <c r="E32" i="2"/>
  <c r="E33" i="2" s="1"/>
  <c r="E35" i="2" s="1"/>
  <c r="D32" i="2"/>
  <c r="D33" i="2" s="1"/>
  <c r="D35" i="2" s="1"/>
  <c r="C32" i="2"/>
  <c r="C33" i="2" s="1"/>
  <c r="C34" i="2"/>
  <c r="F7" i="2"/>
  <c r="F10" i="2" s="1"/>
  <c r="E7" i="2"/>
  <c r="E10" i="2" s="1"/>
  <c r="D7" i="2"/>
  <c r="D10" i="2" s="1"/>
  <c r="C7" i="2"/>
  <c r="F5" i="2"/>
  <c r="F11" i="2" s="1"/>
  <c r="E5" i="2"/>
  <c r="E11" i="2" s="1"/>
  <c r="D5" i="2"/>
  <c r="D11" i="2" s="1"/>
  <c r="D15" i="2" s="1"/>
  <c r="C5" i="2"/>
  <c r="C11" i="2" s="1"/>
  <c r="C15" i="2" s="1"/>
  <c r="C18" i="2"/>
  <c r="C20" i="2" s="1"/>
  <c r="E15" i="2" l="1"/>
  <c r="F15" i="2"/>
  <c r="C35" i="2"/>
  <c r="C22" i="2"/>
  <c r="C23" i="2"/>
  <c r="E25" i="2"/>
  <c r="F25" i="2"/>
  <c r="C25" i="2"/>
  <c r="D25" i="2"/>
  <c r="B15" i="2"/>
  <c r="B46" i="2" s="1"/>
  <c r="D19" i="2"/>
  <c r="E19" i="2"/>
  <c r="F19" i="2"/>
  <c r="C24" i="2"/>
  <c r="C21" i="2"/>
  <c r="C26" i="2" l="1"/>
  <c r="D24" i="2"/>
  <c r="B47" i="2"/>
  <c r="B49" i="2" s="1"/>
  <c r="C46" i="2"/>
  <c r="F21" i="2"/>
  <c r="F26" i="2" s="1"/>
  <c r="F46" i="2" s="1"/>
  <c r="D21" i="2"/>
  <c r="E21" i="2"/>
  <c r="E26" i="2" s="1"/>
  <c r="E46" i="2" s="1"/>
  <c r="D26" i="2" l="1"/>
  <c r="D46" i="2" s="1"/>
  <c r="C47" i="2"/>
  <c r="C49" i="2" s="1"/>
  <c r="B45" i="3"/>
  <c r="B44" i="3"/>
  <c r="C44" i="3" s="1"/>
  <c r="D44" i="3" s="1"/>
  <c r="E44" i="3" s="1"/>
  <c r="F44" i="3" s="1"/>
  <c r="G44" i="3" s="1"/>
  <c r="C43" i="3"/>
  <c r="D43" i="3" s="1"/>
  <c r="E43" i="3" s="1"/>
  <c r="F43" i="3" s="1"/>
  <c r="G43" i="3" s="1"/>
  <c r="B38" i="3"/>
  <c r="B48" i="3"/>
  <c r="B35" i="3"/>
  <c r="B34" i="3"/>
  <c r="B33" i="3"/>
  <c r="B32" i="3"/>
  <c r="G52" i="3"/>
  <c r="G10" i="3" s="1"/>
  <c r="F18" i="4" s="1"/>
  <c r="B19" i="3"/>
  <c r="B31" i="3"/>
  <c r="F15" i="7"/>
  <c r="E15" i="7"/>
  <c r="F31" i="3" s="1"/>
  <c r="D15" i="7"/>
  <c r="E31" i="3" s="1"/>
  <c r="C15" i="7"/>
  <c r="B15" i="7"/>
  <c r="C54" i="3" s="1"/>
  <c r="B26" i="3"/>
  <c r="B25" i="3"/>
  <c r="B28" i="3"/>
  <c r="B27" i="3"/>
  <c r="B22" i="3"/>
  <c r="B24" i="3"/>
  <c r="F28" i="3"/>
  <c r="C23" i="3"/>
  <c r="E24" i="3" l="1"/>
  <c r="D24" i="3"/>
  <c r="F24" i="3"/>
  <c r="G24" i="3"/>
  <c r="D25" i="3"/>
  <c r="F25" i="3"/>
  <c r="G25" i="3"/>
  <c r="E25" i="3"/>
  <c r="G22" i="3"/>
  <c r="F22" i="3"/>
  <c r="E22" i="3"/>
  <c r="D22" i="3"/>
  <c r="D29" i="3" s="1"/>
  <c r="G26" i="3"/>
  <c r="D26" i="3"/>
  <c r="F26" i="3"/>
  <c r="E26" i="3"/>
  <c r="G27" i="3"/>
  <c r="D27" i="3"/>
  <c r="F27" i="3"/>
  <c r="E27" i="3"/>
  <c r="E28" i="3"/>
  <c r="D28" i="3"/>
  <c r="D42" i="3"/>
  <c r="D33" i="3"/>
  <c r="D34" i="3"/>
  <c r="D32" i="3"/>
  <c r="D35" i="3"/>
  <c r="D31" i="3"/>
  <c r="G39" i="3"/>
  <c r="G7" i="3" s="1"/>
  <c r="D38" i="3"/>
  <c r="G38" i="3"/>
  <c r="G42" i="3"/>
  <c r="G31" i="3"/>
  <c r="G34" i="3"/>
  <c r="G35" i="3"/>
  <c r="G32" i="3"/>
  <c r="G33" i="3"/>
  <c r="E45" i="3"/>
  <c r="D39" i="3"/>
  <c r="D7" i="3" s="1"/>
  <c r="E47" i="2"/>
  <c r="E49" i="2" s="1"/>
  <c r="D47" i="2"/>
  <c r="D49" i="2" s="1"/>
  <c r="F47" i="2"/>
  <c r="F49" i="2" s="1"/>
  <c r="D18" i="3"/>
  <c r="D17" i="3"/>
  <c r="D16" i="3"/>
  <c r="E18" i="3"/>
  <c r="F18" i="3"/>
  <c r="G18" i="3" s="1"/>
  <c r="F17" i="3"/>
  <c r="G17" i="3" s="1"/>
  <c r="F16" i="3"/>
  <c r="G16" i="3" s="1"/>
  <c r="E17" i="3"/>
  <c r="E16" i="3"/>
  <c r="C45" i="3"/>
  <c r="E16" i="7"/>
  <c r="F54" i="3" s="1"/>
  <c r="F56" i="3" s="1"/>
  <c r="C56" i="3"/>
  <c r="C41" i="3"/>
  <c r="F42" i="3"/>
  <c r="G45" i="3"/>
  <c r="D16" i="7"/>
  <c r="C42" i="3"/>
  <c r="D45" i="3"/>
  <c r="F41" i="3"/>
  <c r="E42" i="3"/>
  <c r="F45" i="3"/>
  <c r="F16" i="7"/>
  <c r="C34" i="3"/>
  <c r="C48" i="3"/>
  <c r="C49" i="3" s="1"/>
  <c r="C9" i="3" s="1"/>
  <c r="B17" i="4" s="1"/>
  <c r="E38" i="3"/>
  <c r="E39" i="3" s="1"/>
  <c r="E7" i="3" s="1"/>
  <c r="D48" i="3"/>
  <c r="D49" i="3" s="1"/>
  <c r="D9" i="3" s="1"/>
  <c r="C17" i="4" s="1"/>
  <c r="F38" i="3"/>
  <c r="F39" i="3" s="1"/>
  <c r="F7" i="3" s="1"/>
  <c r="C38" i="3"/>
  <c r="C39" i="3" s="1"/>
  <c r="C7" i="3" s="1"/>
  <c r="C16" i="7"/>
  <c r="E48" i="3"/>
  <c r="E49" i="3" s="1"/>
  <c r="E9" i="3" s="1"/>
  <c r="D17" i="4" s="1"/>
  <c r="F48" i="3"/>
  <c r="F49" i="3" s="1"/>
  <c r="F9" i="3" s="1"/>
  <c r="E17" i="4" s="1"/>
  <c r="G48" i="3"/>
  <c r="G49" i="3" s="1"/>
  <c r="G9" i="3" s="1"/>
  <c r="F17" i="4" s="1"/>
  <c r="E32" i="3"/>
  <c r="F34" i="3"/>
  <c r="E33" i="3"/>
  <c r="E35" i="3"/>
  <c r="F35" i="3"/>
  <c r="E34" i="3"/>
  <c r="C35" i="3"/>
  <c r="F33" i="3"/>
  <c r="C33" i="3"/>
  <c r="F32" i="3"/>
  <c r="C32" i="3"/>
  <c r="C18" i="3"/>
  <c r="F52" i="3"/>
  <c r="F10" i="3" s="1"/>
  <c r="E18" i="4" s="1"/>
  <c r="C19" i="3"/>
  <c r="C16" i="3"/>
  <c r="C17" i="3"/>
  <c r="C28" i="3"/>
  <c r="G28" i="3"/>
  <c r="C24" i="3"/>
  <c r="C25" i="3"/>
  <c r="C27" i="3"/>
  <c r="C22" i="3"/>
  <c r="C26" i="3"/>
  <c r="C31" i="3"/>
  <c r="E29" i="3" l="1"/>
  <c r="F20" i="3"/>
  <c r="F4" i="3" s="1"/>
  <c r="G20" i="3"/>
  <c r="G4" i="3" s="1"/>
  <c r="C46" i="3"/>
  <c r="C8" i="3" s="1"/>
  <c r="D54" i="3"/>
  <c r="D56" i="3" s="1"/>
  <c r="D41" i="3"/>
  <c r="D46" i="3" s="1"/>
  <c r="D8" i="3" s="1"/>
  <c r="G54" i="3"/>
  <c r="G56" i="3" s="1"/>
  <c r="G41" i="3"/>
  <c r="G46" i="3" s="1"/>
  <c r="G8" i="3" s="1"/>
  <c r="D36" i="3"/>
  <c r="D6" i="3" s="1"/>
  <c r="C16" i="4" s="1"/>
  <c r="G29" i="3"/>
  <c r="G5" i="3" s="1"/>
  <c r="C29" i="3"/>
  <c r="C5" i="3" s="1"/>
  <c r="E54" i="3"/>
  <c r="E56" i="3" s="1"/>
  <c r="E41" i="3"/>
  <c r="E46" i="3" s="1"/>
  <c r="E8" i="3" s="1"/>
  <c r="F29" i="3"/>
  <c r="F5" i="3" s="1"/>
  <c r="D5" i="3"/>
  <c r="F46" i="3"/>
  <c r="F8" i="3" s="1"/>
  <c r="F36" i="3"/>
  <c r="F6" i="3" s="1"/>
  <c r="E16" i="4" s="1"/>
  <c r="E5" i="3"/>
  <c r="E20" i="3"/>
  <c r="E4" i="3" s="1"/>
  <c r="D15" i="4" s="1"/>
  <c r="G36" i="3"/>
  <c r="G6" i="3" s="1"/>
  <c r="F16" i="4" s="1"/>
  <c r="C36" i="3"/>
  <c r="C6" i="3" s="1"/>
  <c r="B16" i="4" s="1"/>
  <c r="E36" i="3"/>
  <c r="E6" i="3" s="1"/>
  <c r="D16" i="4" s="1"/>
  <c r="D20" i="3"/>
  <c r="D4" i="3" s="1"/>
  <c r="C15" i="4" s="1"/>
  <c r="C20" i="3"/>
  <c r="C4" i="3" s="1"/>
  <c r="B15" i="4" s="1"/>
  <c r="E15" i="4" l="1"/>
  <c r="F13" i="3"/>
  <c r="F15" i="4"/>
  <c r="G13" i="3"/>
  <c r="H21" i="9"/>
  <c r="G21" i="9"/>
  <c r="F21" i="9"/>
  <c r="E21" i="9"/>
  <c r="D21" i="9"/>
  <c r="H15" i="8"/>
  <c r="H16" i="8" s="1"/>
  <c r="D9" i="8"/>
  <c r="D10" i="8" s="1"/>
  <c r="H8" i="8" s="1"/>
  <c r="H9" i="8" s="1"/>
  <c r="H10" i="8" l="1"/>
  <c r="H22" i="8" s="1"/>
  <c r="H24" i="8" s="1"/>
  <c r="D5" i="9" s="1"/>
  <c r="D16" i="9" s="1"/>
  <c r="H11" i="8" l="1"/>
  <c r="H16" i="9"/>
  <c r="G16" i="9"/>
  <c r="E16" i="9"/>
  <c r="F16" i="9"/>
  <c r="F31" i="6"/>
  <c r="E31" i="6"/>
  <c r="D31" i="6"/>
  <c r="C31" i="6"/>
  <c r="B31" i="6"/>
  <c r="F12" i="5"/>
  <c r="F14" i="5" s="1"/>
  <c r="E12" i="5"/>
  <c r="E14" i="5" s="1"/>
  <c r="D12" i="5"/>
  <c r="D14" i="5" s="1"/>
  <c r="C12" i="5"/>
  <c r="C14" i="5" s="1"/>
  <c r="B12" i="5"/>
  <c r="B14" i="5" s="1"/>
  <c r="C51" i="3"/>
  <c r="F9" i="4"/>
  <c r="E9" i="4"/>
  <c r="D9" i="4"/>
  <c r="F8" i="4"/>
  <c r="E8" i="4"/>
  <c r="D8" i="4"/>
  <c r="C9" i="4"/>
  <c r="B9" i="4"/>
  <c r="B5" i="1"/>
  <c r="E4" i="1" l="1"/>
  <c r="D51" i="3"/>
  <c r="C52" i="3"/>
  <c r="C10" i="3" s="1"/>
  <c r="C13" i="3" s="1"/>
  <c r="E14" i="4"/>
  <c r="C8" i="4"/>
  <c r="F14" i="4"/>
  <c r="B4" i="1"/>
  <c r="F4" i="1"/>
  <c r="C4" i="4"/>
  <c r="D4" i="4"/>
  <c r="B8" i="4"/>
  <c r="D20" i="7"/>
  <c r="C20" i="7"/>
  <c r="B20" i="7"/>
  <c r="D14" i="9" s="1"/>
  <c r="F4" i="4"/>
  <c r="B18" i="4" l="1"/>
  <c r="B14" i="4" s="1"/>
  <c r="D22" i="6"/>
  <c r="D25" i="6" s="1"/>
  <c r="F14" i="9"/>
  <c r="C22" i="6"/>
  <c r="C25" i="6" s="1"/>
  <c r="E14" i="9"/>
  <c r="E4" i="4"/>
  <c r="B4" i="4"/>
  <c r="E51" i="3"/>
  <c r="E52" i="3" s="1"/>
  <c r="E10" i="3" s="1"/>
  <c r="E13" i="3" s="1"/>
  <c r="D52" i="3"/>
  <c r="D10" i="3" s="1"/>
  <c r="D13" i="3" s="1"/>
  <c r="E20" i="7"/>
  <c r="D4" i="1"/>
  <c r="C4" i="1"/>
  <c r="D7" i="4"/>
  <c r="D6" i="4" s="1"/>
  <c r="D12" i="4" s="1"/>
  <c r="B7" i="4"/>
  <c r="B6" i="4" s="1"/>
  <c r="C7" i="4"/>
  <c r="C6" i="4" s="1"/>
  <c r="C12" i="4" s="1"/>
  <c r="B21" i="7"/>
  <c r="B22" i="6"/>
  <c r="B25" i="6" s="1"/>
  <c r="F7" i="4"/>
  <c r="F6" i="4" s="1"/>
  <c r="F12" i="4" s="1"/>
  <c r="E7" i="4"/>
  <c r="E6" i="4" s="1"/>
  <c r="D5" i="4"/>
  <c r="D5" i="1" s="1"/>
  <c r="C5" i="4" l="1"/>
  <c r="C5" i="1" s="1"/>
  <c r="B12" i="4"/>
  <c r="B7" i="1" s="1"/>
  <c r="F5" i="4"/>
  <c r="F5" i="1" s="1"/>
  <c r="E12" i="4"/>
  <c r="E13" i="4" s="1"/>
  <c r="E8" i="1" s="1"/>
  <c r="C18" i="4"/>
  <c r="C14" i="4" s="1"/>
  <c r="C19" i="4" s="1"/>
  <c r="E10" i="9" s="1"/>
  <c r="C26" i="7"/>
  <c r="D18" i="4"/>
  <c r="D14" i="4" s="1"/>
  <c r="D19" i="4" s="1"/>
  <c r="F10" i="9" s="1"/>
  <c r="E22" i="6"/>
  <c r="E25" i="6" s="1"/>
  <c r="G14" i="9"/>
  <c r="E5" i="4"/>
  <c r="E5" i="1" s="1"/>
  <c r="F20" i="7"/>
  <c r="F7" i="1"/>
  <c r="F13" i="4"/>
  <c r="F8" i="1" s="1"/>
  <c r="D13" i="4"/>
  <c r="D8" i="1" s="1"/>
  <c r="D7" i="1"/>
  <c r="C13" i="4"/>
  <c r="C8" i="1" s="1"/>
  <c r="C7" i="1"/>
  <c r="F26" i="7"/>
  <c r="F19" i="4"/>
  <c r="H10" i="9" s="1"/>
  <c r="B22" i="7"/>
  <c r="B23" i="7" s="1"/>
  <c r="E26" i="7"/>
  <c r="F22" i="6" l="1"/>
  <c r="F25" i="6" s="1"/>
  <c r="H14" i="9"/>
  <c r="B13" i="4"/>
  <c r="B8" i="1" s="1"/>
  <c r="E19" i="4"/>
  <c r="E7" i="1"/>
  <c r="D26" i="7"/>
  <c r="D27" i="7" s="1"/>
  <c r="F12" i="9" s="1"/>
  <c r="B26" i="7"/>
  <c r="B27" i="7" s="1"/>
  <c r="D12" i="9" s="1"/>
  <c r="F27" i="7"/>
  <c r="H12" i="9" s="1"/>
  <c r="C20" i="4"/>
  <c r="C11" i="1" s="1"/>
  <c r="C10" i="1"/>
  <c r="D10" i="1"/>
  <c r="D20" i="4"/>
  <c r="D11" i="1" s="1"/>
  <c r="C19" i="7"/>
  <c r="C21" i="7" s="1"/>
  <c r="B27" i="5"/>
  <c r="B30" i="5" s="1"/>
  <c r="F20" i="4"/>
  <c r="F11" i="1" s="1"/>
  <c r="J23" i="1" s="1"/>
  <c r="J24" i="1" s="1"/>
  <c r="F10" i="1"/>
  <c r="J20" i="1" s="1"/>
  <c r="J22" i="1" s="1"/>
  <c r="J25" i="1" s="1"/>
  <c r="J27" i="1" s="1"/>
  <c r="B21" i="4"/>
  <c r="B9" i="6"/>
  <c r="E10" i="1" l="1"/>
  <c r="G10" i="9"/>
  <c r="E20" i="4"/>
  <c r="E11" i="1" s="1"/>
  <c r="E27" i="7"/>
  <c r="G12" i="9" s="1"/>
  <c r="C27" i="7"/>
  <c r="E12" i="9" s="1"/>
  <c r="B19" i="4"/>
  <c r="D10" i="9" s="1"/>
  <c r="C22" i="7"/>
  <c r="C23" i="7" s="1"/>
  <c r="D19" i="7" l="1"/>
  <c r="D21" i="7" s="1"/>
  <c r="C27" i="5"/>
  <c r="C30" i="5" s="1"/>
  <c r="B22" i="4"/>
  <c r="B10" i="1"/>
  <c r="B20" i="4"/>
  <c r="B11" i="1" s="1"/>
  <c r="C9" i="6"/>
  <c r="C21" i="4"/>
  <c r="C22" i="4" s="1"/>
  <c r="B25" i="4" l="1"/>
  <c r="B23" i="4"/>
  <c r="C25" i="4"/>
  <c r="C23" i="4"/>
  <c r="D22" i="7"/>
  <c r="C27" i="4" l="1"/>
  <c r="E13" i="9" s="1"/>
  <c r="E15" i="9" s="1"/>
  <c r="E17" i="9" s="1"/>
  <c r="C26" i="4"/>
  <c r="D9" i="6"/>
  <c r="D21" i="4"/>
  <c r="D22" i="4" s="1"/>
  <c r="D23" i="7"/>
  <c r="B26" i="4"/>
  <c r="B27" i="4"/>
  <c r="B28" i="4" l="1"/>
  <c r="B6" i="5" s="1"/>
  <c r="D13" i="9"/>
  <c r="D15" i="9" s="1"/>
  <c r="D17" i="9" s="1"/>
  <c r="C12" i="6"/>
  <c r="D17" i="6"/>
  <c r="C20" i="5"/>
  <c r="C21" i="5" s="1"/>
  <c r="E19" i="7"/>
  <c r="E21" i="7" s="1"/>
  <c r="D27" i="5"/>
  <c r="D30" i="5" s="1"/>
  <c r="B20" i="5"/>
  <c r="B21" i="5" s="1"/>
  <c r="B12" i="6"/>
  <c r="C17" i="6"/>
  <c r="D23" i="4"/>
  <c r="D25" i="4"/>
  <c r="C28" i="4"/>
  <c r="B29" i="4" l="1"/>
  <c r="B14" i="1" s="1"/>
  <c r="B13" i="1"/>
  <c r="B5" i="6"/>
  <c r="B13" i="6" s="1"/>
  <c r="B19" i="6" s="1"/>
  <c r="B33" i="6" s="1"/>
  <c r="B35" i="6" s="1"/>
  <c r="E22" i="7"/>
  <c r="E23" i="7" s="1"/>
  <c r="C29" i="4"/>
  <c r="C14" i="1" s="1"/>
  <c r="C5" i="6"/>
  <c r="C13" i="6" s="1"/>
  <c r="C19" i="6" s="1"/>
  <c r="C33" i="6" s="1"/>
  <c r="C13" i="1"/>
  <c r="D27" i="4"/>
  <c r="F13" i="9" s="1"/>
  <c r="F15" i="9" s="1"/>
  <c r="F17" i="9" s="1"/>
  <c r="D26" i="4"/>
  <c r="C6" i="5"/>
  <c r="B7" i="5"/>
  <c r="B23" i="5" s="1"/>
  <c r="C7" i="5" l="1"/>
  <c r="C23" i="5" s="1"/>
  <c r="D20" i="5"/>
  <c r="D21" i="5" s="1"/>
  <c r="E17" i="6"/>
  <c r="D12" i="6"/>
  <c r="D28" i="4"/>
  <c r="F19" i="7"/>
  <c r="F21" i="7" s="1"/>
  <c r="E27" i="5"/>
  <c r="E30" i="5" s="1"/>
  <c r="C34" i="6"/>
  <c r="C35" i="6" s="1"/>
  <c r="B33" i="5"/>
  <c r="B36" i="5" s="1"/>
  <c r="B38" i="5" s="1"/>
  <c r="B40" i="5" s="1"/>
  <c r="E21" i="4"/>
  <c r="E22" i="4" s="1"/>
  <c r="E9" i="6"/>
  <c r="F22" i="7" l="1"/>
  <c r="D29" i="4"/>
  <c r="D14" i="1" s="1"/>
  <c r="D5" i="6"/>
  <c r="D13" i="6" s="1"/>
  <c r="D19" i="6" s="1"/>
  <c r="D33" i="6" s="1"/>
  <c r="D13" i="1"/>
  <c r="E25" i="4"/>
  <c r="E23" i="4"/>
  <c r="D34" i="6"/>
  <c r="C33" i="5"/>
  <c r="C36" i="5" s="1"/>
  <c r="C38" i="5" s="1"/>
  <c r="C40" i="5" s="1"/>
  <c r="D6" i="5"/>
  <c r="D7" i="5" l="1"/>
  <c r="D23" i="5" s="1"/>
  <c r="E27" i="4"/>
  <c r="G13" i="9" s="1"/>
  <c r="G15" i="9" s="1"/>
  <c r="G17" i="9" s="1"/>
  <c r="E26" i="4"/>
  <c r="F21" i="4"/>
  <c r="F22" i="4" s="1"/>
  <c r="F9" i="6"/>
  <c r="D35" i="6"/>
  <c r="F23" i="7"/>
  <c r="F27" i="5" s="1"/>
  <c r="F30" i="5" s="1"/>
  <c r="E34" i="6" l="1"/>
  <c r="D33" i="5"/>
  <c r="D36" i="5" s="1"/>
  <c r="D38" i="5" s="1"/>
  <c r="D40" i="5" s="1"/>
  <c r="F17" i="6"/>
  <c r="E12" i="6"/>
  <c r="E20" i="5"/>
  <c r="E21" i="5" s="1"/>
  <c r="F25" i="4"/>
  <c r="F27" i="4" s="1"/>
  <c r="H13" i="9" s="1"/>
  <c r="H15" i="9" s="1"/>
  <c r="F23" i="4"/>
  <c r="E28" i="4"/>
  <c r="H17" i="9" l="1"/>
  <c r="H19" i="9"/>
  <c r="C20" i="9" s="1"/>
  <c r="F26" i="4"/>
  <c r="E5" i="6"/>
  <c r="E13" i="6" s="1"/>
  <c r="E19" i="6" s="1"/>
  <c r="E33" i="6" s="1"/>
  <c r="E35" i="6" s="1"/>
  <c r="E13" i="1"/>
  <c r="E29" i="4"/>
  <c r="E14" i="1" s="1"/>
  <c r="E6" i="5"/>
  <c r="C18" i="9" l="1"/>
  <c r="C21" i="9" s="1"/>
  <c r="E33" i="5"/>
  <c r="E36" i="5" s="1"/>
  <c r="E38" i="5" s="1"/>
  <c r="F34" i="6"/>
  <c r="F20" i="5"/>
  <c r="F21" i="5" s="1"/>
  <c r="F12" i="6"/>
  <c r="F28" i="4"/>
  <c r="F6" i="5" s="1"/>
  <c r="F7" i="5" s="1"/>
  <c r="E7" i="5"/>
  <c r="E23" i="5" s="1"/>
  <c r="C22" i="9" l="1"/>
  <c r="B18" i="1" s="1"/>
  <c r="F23" i="5"/>
  <c r="E40" i="5"/>
  <c r="F13" i="1"/>
  <c r="F5" i="6"/>
  <c r="F13" i="6" s="1"/>
  <c r="F19" i="6" s="1"/>
  <c r="F33" i="6" s="1"/>
  <c r="F35" i="6" s="1"/>
  <c r="F33" i="5" s="1"/>
  <c r="F36" i="5" s="1"/>
  <c r="F38" i="5" s="1"/>
  <c r="F29" i="4"/>
  <c r="F14" i="1" s="1"/>
  <c r="B21" i="1" l="1"/>
  <c r="B30" i="1"/>
  <c r="B22" i="1"/>
  <c r="B20" i="1"/>
  <c r="B23" i="1" s="1"/>
  <c r="B24" i="1" s="1"/>
  <c r="F40" i="5"/>
  <c r="B34" i="1" l="1"/>
  <c r="B35" i="1" s="1"/>
  <c r="B32" i="1"/>
  <c r="B33" i="1" s="1"/>
</calcChain>
</file>

<file path=xl/sharedStrings.xml><?xml version="1.0" encoding="utf-8"?>
<sst xmlns="http://schemas.openxmlformats.org/spreadsheetml/2006/main" count="395" uniqueCount="242">
  <si>
    <t>Summary</t>
  </si>
  <si>
    <t>All values in INR</t>
  </si>
  <si>
    <t>Particulars</t>
  </si>
  <si>
    <t>Revenue</t>
  </si>
  <si>
    <t>Revenue %</t>
  </si>
  <si>
    <t xml:space="preserve">Gross Profit </t>
  </si>
  <si>
    <t>Gross Profit %</t>
  </si>
  <si>
    <t>EBITDA</t>
  </si>
  <si>
    <t>EBITDA %</t>
  </si>
  <si>
    <t>PAT</t>
  </si>
  <si>
    <t>PAT %</t>
  </si>
  <si>
    <t>Revenue Streams</t>
  </si>
  <si>
    <t>Total Revenue</t>
  </si>
  <si>
    <t>Expense Sheet</t>
  </si>
  <si>
    <t>Partculars</t>
  </si>
  <si>
    <t>Salary &amp; Benefits</t>
  </si>
  <si>
    <t>Office Rent</t>
  </si>
  <si>
    <t>Miscellaneous</t>
  </si>
  <si>
    <t>Server Cost</t>
  </si>
  <si>
    <t>Legal &amp; Accounting Fees</t>
  </si>
  <si>
    <t>TOTAL</t>
  </si>
  <si>
    <t>Salary and Benefits</t>
  </si>
  <si>
    <t>Average salary per employee</t>
  </si>
  <si>
    <t xml:space="preserve">Number </t>
  </si>
  <si>
    <t>Marketing Expense</t>
  </si>
  <si>
    <t>Annual Budget</t>
  </si>
  <si>
    <t>Digital marketing</t>
  </si>
  <si>
    <t>Miscellaneous cost</t>
  </si>
  <si>
    <t>Legal and Accounting Fees</t>
  </si>
  <si>
    <t>Fixed Assets</t>
  </si>
  <si>
    <t>Total</t>
  </si>
  <si>
    <t>INCOME STATEMENT</t>
  </si>
  <si>
    <t>Growth (%)</t>
  </si>
  <si>
    <t>Direct Costs</t>
  </si>
  <si>
    <t>Gross Profit</t>
  </si>
  <si>
    <t>Gross Margin (%)</t>
  </si>
  <si>
    <t>Indirect Costs</t>
  </si>
  <si>
    <t>Earnings before Int. Taxes and Dep.</t>
  </si>
  <si>
    <t>EBITDA Margin</t>
  </si>
  <si>
    <t>Depreciation</t>
  </si>
  <si>
    <t>EBIT</t>
  </si>
  <si>
    <t>EBIT Margin</t>
  </si>
  <si>
    <t>Interest</t>
  </si>
  <si>
    <t>PBT</t>
  </si>
  <si>
    <t>PBT Margin</t>
  </si>
  <si>
    <t>Tax</t>
  </si>
  <si>
    <t>PAT Margin</t>
  </si>
  <si>
    <t>BALANCE SHEET</t>
  </si>
  <si>
    <t>EQUITY &amp; LIABILITY</t>
  </si>
  <si>
    <t>Share Capital</t>
  </si>
  <si>
    <t>Reserve and Surplus</t>
  </si>
  <si>
    <t>Sub-Total</t>
  </si>
  <si>
    <t>Non-Current Liabilities</t>
  </si>
  <si>
    <t>(a) Other long term liabilities</t>
  </si>
  <si>
    <t>(b) Long term provisions</t>
  </si>
  <si>
    <t>Deferred Tax Liability</t>
  </si>
  <si>
    <t>Current Liabilities &amp; Provisions</t>
  </si>
  <si>
    <t>Short term borrowing</t>
  </si>
  <si>
    <t>Sundry Creditors</t>
  </si>
  <si>
    <t>Accrued Expenses &amp; Other Current Liablities</t>
  </si>
  <si>
    <t>Tax Provisions</t>
  </si>
  <si>
    <t>Total Equity &amp; Liability</t>
  </si>
  <si>
    <t>ASSETS</t>
  </si>
  <si>
    <t>Tangible &amp; Intangibles</t>
  </si>
  <si>
    <t>Deferred Tax asset (Net)</t>
  </si>
  <si>
    <t xml:space="preserve">Other Non-Current Assets </t>
  </si>
  <si>
    <t>Current Assets, Loans and Advances</t>
  </si>
  <si>
    <t>Cash &amp; Bank balance</t>
  </si>
  <si>
    <t>Trade Receivables</t>
  </si>
  <si>
    <t>Other Current Assets</t>
  </si>
  <si>
    <t>Total Assets</t>
  </si>
  <si>
    <t>Check</t>
  </si>
  <si>
    <t>CASH FLOW STATEMENT</t>
  </si>
  <si>
    <t>A. Cash Flow from Operating Activities</t>
  </si>
  <si>
    <t>Net Profit / (Loss) after Tax</t>
  </si>
  <si>
    <t>Adjustments for:</t>
  </si>
  <si>
    <t>Non cash adjustment</t>
  </si>
  <si>
    <t xml:space="preserve">Deferred Tax </t>
  </si>
  <si>
    <t>Depreciation and Amortisation</t>
  </si>
  <si>
    <t>Finance Costs + Borrowing cost</t>
  </si>
  <si>
    <t>Non operating income</t>
  </si>
  <si>
    <t>Provision For Tax</t>
  </si>
  <si>
    <t>Operating Profit / (Loss) before Working Capital Changes</t>
  </si>
  <si>
    <t>Changes in Working Capital:</t>
  </si>
  <si>
    <t>Tax Paid</t>
  </si>
  <si>
    <t>Other current Liability</t>
  </si>
  <si>
    <t>Cash Generated from Operations (A)</t>
  </si>
  <si>
    <t>B. Cash Flow from Investing Activities</t>
  </si>
  <si>
    <t>Addition in Fixed Assets</t>
  </si>
  <si>
    <t>Other Non Current Assets</t>
  </si>
  <si>
    <t xml:space="preserve">Other income </t>
  </si>
  <si>
    <t>Net Cash Flow from / (used in) Investing Activities (B)</t>
  </si>
  <si>
    <t>C. Cash Flow from Financing Activities</t>
  </si>
  <si>
    <t>Proceeds from issue of Equity Shares</t>
  </si>
  <si>
    <t>Proceeds/ (Repayment) of Long-term Borrowings</t>
  </si>
  <si>
    <t>Finance Costs</t>
  </si>
  <si>
    <t>Net Cash Flow from / (used in) Financing Activities (C)</t>
  </si>
  <si>
    <t>Adj. For Group Business</t>
  </si>
  <si>
    <t>Net Increase / (Decrease) in Cash and Cash Equivalents (A+B+C)</t>
  </si>
  <si>
    <t>Cash and Cash Equivalents at the Beginning of the Year</t>
  </si>
  <si>
    <t xml:space="preserve">Cash and Cash Equivalents at the End of the Year </t>
  </si>
  <si>
    <t>Assumptions</t>
  </si>
  <si>
    <t>P&amp;L Statement</t>
  </si>
  <si>
    <t>Tax Rate</t>
  </si>
  <si>
    <t>Depreciation Rate</t>
  </si>
  <si>
    <t>Number of Employees</t>
  </si>
  <si>
    <t>Depreciation Schedule</t>
  </si>
  <si>
    <t>i) Opening Block</t>
  </si>
  <si>
    <t>ii) Net Additions</t>
  </si>
  <si>
    <t>(I+ii)Total Assets</t>
  </si>
  <si>
    <t xml:space="preserve">(-) Depreciation </t>
  </si>
  <si>
    <t>Closing Block</t>
  </si>
  <si>
    <t>Working Capital %</t>
  </si>
  <si>
    <t>Working Capital</t>
  </si>
  <si>
    <t>Changes in Working Capital</t>
  </si>
  <si>
    <t>2021-22</t>
  </si>
  <si>
    <t>2022-23</t>
  </si>
  <si>
    <t>2023-24</t>
  </si>
  <si>
    <t>2024-25</t>
  </si>
  <si>
    <t>2025-26</t>
  </si>
  <si>
    <t>Market Return</t>
  </si>
  <si>
    <t>BSE SENSEX</t>
  </si>
  <si>
    <t>Date</t>
  </si>
  <si>
    <t>Value</t>
  </si>
  <si>
    <t xml:space="preserve">Base value of the Sensex </t>
  </si>
  <si>
    <t xml:space="preserve">Sensex Value </t>
  </si>
  <si>
    <t>Number of years</t>
  </si>
  <si>
    <t xml:space="preserve">Sensex multiple - Current over the Base year </t>
  </si>
  <si>
    <t>Average Market Return</t>
  </si>
  <si>
    <t>Key Value Assumptions</t>
  </si>
  <si>
    <t>Cost of Equity</t>
  </si>
  <si>
    <t>Risk-free rate (Rf)</t>
  </si>
  <si>
    <t>Unlevered Equity Beta</t>
  </si>
  <si>
    <t>Equity Risk Premium</t>
  </si>
  <si>
    <t>Levered Cost of equity (Rf+b(Rm-Rf)</t>
  </si>
  <si>
    <t>Adjusted Cost of Equity</t>
  </si>
  <si>
    <t>Cost of Debt</t>
  </si>
  <si>
    <t>Pre-tax cost of debt (d^)</t>
  </si>
  <si>
    <t>Tax rate (T)</t>
  </si>
  <si>
    <t>After-tax cost of debt (1-T)d^</t>
  </si>
  <si>
    <t>Target capital structure</t>
  </si>
  <si>
    <t>Debt (D)</t>
  </si>
  <si>
    <t>Equity (E)</t>
  </si>
  <si>
    <t>Weighted Average Cost of Capital (WACC)</t>
  </si>
  <si>
    <t>Specific Company Risk Premium</t>
  </si>
  <si>
    <t>Adjusted WACC</t>
  </si>
  <si>
    <t>DCF Valuation</t>
  </si>
  <si>
    <t>Year</t>
  </si>
  <si>
    <t>Adjustments to :</t>
  </si>
  <si>
    <t>Changes in working capital</t>
  </si>
  <si>
    <t>Taxation</t>
  </si>
  <si>
    <t>Additions to Fixed Assets</t>
  </si>
  <si>
    <t>Free Cash Flow</t>
  </si>
  <si>
    <t>Present Value of FCF</t>
  </si>
  <si>
    <t>Discount Factor</t>
  </si>
  <si>
    <t>Pre-Money Dilution</t>
  </si>
  <si>
    <t>Post-Money Dilution</t>
  </si>
  <si>
    <t>Leadership</t>
  </si>
  <si>
    <t>Product</t>
  </si>
  <si>
    <t>Technology</t>
  </si>
  <si>
    <t>Operations</t>
  </si>
  <si>
    <t>Sales &amp; Marketing</t>
  </si>
  <si>
    <t>Finance &amp; Legal</t>
  </si>
  <si>
    <t>HR &amp; Admin</t>
  </si>
  <si>
    <t>Events &amp; Road Shows</t>
  </si>
  <si>
    <t>Other Channel Print</t>
  </si>
  <si>
    <t>Retailer Kits &amp; Collaterals</t>
  </si>
  <si>
    <t>Legal &amp; Accountant Fees</t>
  </si>
  <si>
    <t>Office Expenses</t>
  </si>
  <si>
    <t>Utilities</t>
  </si>
  <si>
    <t>Supplies</t>
  </si>
  <si>
    <t>Repair &amp; Maintainence</t>
  </si>
  <si>
    <t>Employee Travelling</t>
  </si>
  <si>
    <t>Micellaneous</t>
  </si>
  <si>
    <t>New Employees</t>
  </si>
  <si>
    <t>IT Expenses</t>
  </si>
  <si>
    <t>ERP System</t>
  </si>
  <si>
    <t>Infrastructure Cost</t>
  </si>
  <si>
    <t>CRM</t>
  </si>
  <si>
    <t>Email</t>
  </si>
  <si>
    <t>Accounting System</t>
  </si>
  <si>
    <t>Payroll(Fixed)</t>
  </si>
  <si>
    <t>Payroll(Variable))</t>
  </si>
  <si>
    <t>Miscellaneous Cost</t>
  </si>
  <si>
    <t>Legal &amp; Accounting Expense</t>
  </si>
  <si>
    <t>Computers</t>
  </si>
  <si>
    <t>One Time Software Cost</t>
  </si>
  <si>
    <t>Hardware Sales Revenue</t>
  </si>
  <si>
    <t>AMC</t>
  </si>
  <si>
    <t>IRCTC</t>
  </si>
  <si>
    <t>Loans &amp; Insurance</t>
  </si>
  <si>
    <t>Transaction Revenue(25%)</t>
  </si>
  <si>
    <t>Transaction Revenue (40%)</t>
  </si>
  <si>
    <t>Other Services</t>
  </si>
  <si>
    <t>Onboarding Fee</t>
  </si>
  <si>
    <t>No. of Retailers</t>
  </si>
  <si>
    <t>No. of Distributor</t>
  </si>
  <si>
    <t>Onboarding Fee (Retailer)</t>
  </si>
  <si>
    <t>New Retailers added</t>
  </si>
  <si>
    <t>New Distributor Added</t>
  </si>
  <si>
    <t>New Retailer Added</t>
  </si>
  <si>
    <t>Retailers through Distributors</t>
  </si>
  <si>
    <t>Direct Reatilers</t>
  </si>
  <si>
    <t>Hardware Rental Revenue</t>
  </si>
  <si>
    <t>Disbursement</t>
  </si>
  <si>
    <t>No. of  Tickets Booked</t>
  </si>
  <si>
    <t>Average ticket Size</t>
  </si>
  <si>
    <t>Payment Gateway Charges(1%)</t>
  </si>
  <si>
    <t>PG Charges (50%)</t>
  </si>
  <si>
    <t>Ticket Booked Revenue</t>
  </si>
  <si>
    <t>Sustainable Growth Rate post Y-5</t>
  </si>
  <si>
    <t>Terminal Value</t>
  </si>
  <si>
    <t>Total PV of Cash Flows for 5 yrs</t>
  </si>
  <si>
    <t>PV of Terminal Value</t>
  </si>
  <si>
    <t>PV of Equity</t>
  </si>
  <si>
    <t>PV of Equity (cr)</t>
  </si>
  <si>
    <t>NPV(cr)</t>
  </si>
  <si>
    <t>Ask Amount(cr)</t>
  </si>
  <si>
    <t>Pre Money valuation</t>
  </si>
  <si>
    <t>Stake Sale</t>
  </si>
  <si>
    <t>Post Money valuation(cr)</t>
  </si>
  <si>
    <t>GTV (Fig in cr)</t>
  </si>
  <si>
    <t>No. Of Devices</t>
  </si>
  <si>
    <t>Insurance</t>
  </si>
  <si>
    <t>Revenue- loan</t>
  </si>
  <si>
    <t>Revenue- Insurance</t>
  </si>
  <si>
    <t>Direct Purchase Cost- Recharge</t>
  </si>
  <si>
    <t>Direct Purchase Cost- Devices</t>
  </si>
  <si>
    <t>VC Method</t>
  </si>
  <si>
    <t>Crores</t>
  </si>
  <si>
    <t>Multiplier</t>
  </si>
  <si>
    <t>Valuation in 5th Year</t>
  </si>
  <si>
    <t>ROI Expected</t>
  </si>
  <si>
    <t>Current Valuation</t>
  </si>
  <si>
    <t>Total Funding</t>
  </si>
  <si>
    <t>EBITDA in 5th Year</t>
  </si>
  <si>
    <t>Average Valuation</t>
  </si>
  <si>
    <t>CR</t>
  </si>
  <si>
    <t>Ask Amount</t>
  </si>
  <si>
    <t>Post Money Dilution</t>
  </si>
  <si>
    <t xml:space="preserve">Standard </t>
  </si>
  <si>
    <t>DCF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</si>
</sst>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_ ;_ * \-#,##0_ ;_ * &quot;-&quot;??_ ;_ @_ "/>
    <numFmt numFmtId="165" formatCode="_ * #,##0.00_ ;_ * \-#,##0.00_ ;_ * &quot;-&quot;??_ ;_ @_ "/>
    <numFmt numFmtId="166" formatCode="[$-409]mmm/yy"/>
    <numFmt numFmtId="167" formatCode="m/d/yyyy"/>
    <numFmt numFmtId="168" formatCode="_(* #,##0_);_(* \(#,##0\);_(* &quot;-&quot;??_);_(@_)"/>
  </numFmts>
  <fonts count="31">
    <font>
      <sz val="10"/>
      <color rgb="FF000000"/>
      <name val="Arial"/>
    </font>
    <font>
      <sz val="10"/>
      <color rgb="FF000000"/>
      <name val="Calibri"/>
    </font>
    <font>
      <b/>
      <sz val="18"/>
      <color rgb="FF083C92"/>
      <name val="Calibri"/>
    </font>
    <font>
      <sz val="10"/>
      <color rgb="FFFF6D01"/>
      <name val="Calibri"/>
    </font>
    <font>
      <b/>
      <sz val="12"/>
      <color rgb="FFFFFFFF"/>
      <name val="Calibri"/>
    </font>
    <font>
      <b/>
      <sz val="11"/>
      <name val="Calibri"/>
    </font>
    <font>
      <b/>
      <sz val="11"/>
      <color rgb="FF000000"/>
      <name val="Calibri"/>
    </font>
    <font>
      <i/>
      <sz val="10"/>
      <name val="Calibri"/>
    </font>
    <font>
      <i/>
      <sz val="10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6"/>
      <color rgb="FF000000"/>
      <name val="Calibri"/>
    </font>
    <font>
      <sz val="10"/>
      <name val="Calibri"/>
    </font>
    <font>
      <b/>
      <sz val="12"/>
      <color rgb="FF000000"/>
      <name val="Calibri"/>
    </font>
    <font>
      <i/>
      <sz val="9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8"/>
      <color rgb="FF1F3964"/>
      <name val="Calibri"/>
    </font>
    <font>
      <b/>
      <sz val="10"/>
      <color rgb="FFFFFFFF"/>
      <name val="Calibri"/>
    </font>
    <font>
      <b/>
      <sz val="11"/>
      <color rgb="FFFFFFFF"/>
      <name val="Calibri"/>
    </font>
    <font>
      <sz val="10"/>
      <color rgb="FFED7B3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83C92"/>
        <bgColor rgb="FF083C92"/>
      </patternFill>
    </fill>
    <fill>
      <patternFill patternType="solid">
        <fgColor rgb="FF8DB5F8"/>
        <bgColor rgb="FF8DB5F8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FFFFFF"/>
        <bgColor rgb="FF44546A"/>
      </patternFill>
    </fill>
    <fill>
      <patternFill patternType="solid">
        <fgColor rgb="FFFFFFFF"/>
        <bgColor indexed="64"/>
      </patternFill>
    </fill>
    <fill>
      <patternFill patternType="solid">
        <fgColor rgb="FF1F3964"/>
        <bgColor rgb="FFEAEDF1"/>
      </patternFill>
    </fill>
    <fill>
      <patternFill patternType="solid">
        <fgColor rgb="FFFFFFFF"/>
        <bgColor rgb="FFFFE598"/>
      </patternFill>
    </fill>
    <fill>
      <patternFill patternType="solid">
        <fgColor rgb="FF8FABDB"/>
        <bgColor rgb="FF44546A"/>
      </patternFill>
    </fill>
    <fill>
      <patternFill patternType="solid">
        <fgColor rgb="FF8FABDB"/>
        <bgColor indexed="64"/>
      </patternFill>
    </fill>
    <fill>
      <patternFill patternType="solid">
        <fgColor rgb="FF1F3964"/>
        <bgColor indexed="64"/>
      </patternFill>
    </fill>
    <fill>
      <patternFill patternType="solid">
        <fgColor rgb="FFD9E3F3"/>
        <bgColor indexed="64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6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5" xfId="0" applyFont="1" applyFill="1" applyBorder="1"/>
    <xf numFmtId="164" fontId="6" fillId="0" borderId="0" xfId="0" applyNumberFormat="1" applyFont="1"/>
    <xf numFmtId="164" fontId="6" fillId="0" borderId="6" xfId="0" applyNumberFormat="1" applyFont="1" applyBorder="1"/>
    <xf numFmtId="0" fontId="7" fillId="2" borderId="5" xfId="0" applyFont="1" applyFill="1" applyBorder="1"/>
    <xf numFmtId="165" fontId="8" fillId="0" borderId="0" xfId="0" applyNumberFormat="1" applyFont="1"/>
    <xf numFmtId="9" fontId="8" fillId="0" borderId="0" xfId="0" applyNumberFormat="1" applyFont="1"/>
    <xf numFmtId="9" fontId="8" fillId="0" borderId="6" xfId="0" applyNumberFormat="1" applyFont="1" applyBorder="1"/>
    <xf numFmtId="0" fontId="7" fillId="2" borderId="7" xfId="0" applyFont="1" applyFill="1" applyBorder="1"/>
    <xf numFmtId="9" fontId="8" fillId="0" borderId="8" xfId="0" applyNumberFormat="1" applyFont="1" applyBorder="1"/>
    <xf numFmtId="9" fontId="8" fillId="0" borderId="9" xfId="0" applyNumberFormat="1" applyFont="1" applyBorder="1"/>
    <xf numFmtId="0" fontId="9" fillId="2" borderId="1" xfId="0" applyFont="1" applyFill="1" applyBorder="1"/>
    <xf numFmtId="164" fontId="10" fillId="0" borderId="0" xfId="0" applyNumberFormat="1" applyFont="1"/>
    <xf numFmtId="0" fontId="11" fillId="0" borderId="0" xfId="0" applyFont="1"/>
    <xf numFmtId="0" fontId="2" fillId="0" borderId="0" xfId="0" applyFont="1"/>
    <xf numFmtId="0" fontId="4" fillId="3" borderId="2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0" xfId="0" applyNumberFormat="1" applyFont="1"/>
    <xf numFmtId="164" fontId="1" fillId="0" borderId="6" xfId="0" applyNumberFormat="1" applyFont="1" applyBorder="1"/>
    <xf numFmtId="164" fontId="11" fillId="4" borderId="20" xfId="0" applyNumberFormat="1" applyFont="1" applyFill="1" applyBorder="1"/>
    <xf numFmtId="0" fontId="1" fillId="0" borderId="10" xfId="0" applyFont="1" applyBorder="1"/>
    <xf numFmtId="0" fontId="1" fillId="2" borderId="5" xfId="0" applyFont="1" applyFill="1" applyBorder="1"/>
    <xf numFmtId="0" fontId="11" fillId="4" borderId="22" xfId="0" applyFont="1" applyFill="1" applyBorder="1"/>
    <xf numFmtId="164" fontId="11" fillId="4" borderId="23" xfId="0" applyNumberFormat="1" applyFont="1" applyFill="1" applyBorder="1"/>
    <xf numFmtId="0" fontId="1" fillId="0" borderId="0" xfId="0" applyFont="1" applyAlignment="1">
      <alignment horizontal="center"/>
    </xf>
    <xf numFmtId="0" fontId="16" fillId="0" borderId="0" xfId="0" applyFont="1"/>
    <xf numFmtId="0" fontId="1" fillId="0" borderId="19" xfId="0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7" xfId="0" applyNumberFormat="1" applyFont="1" applyBorder="1"/>
    <xf numFmtId="164" fontId="1" fillId="0" borderId="18" xfId="0" applyNumberFormat="1" applyFont="1" applyBorder="1"/>
    <xf numFmtId="0" fontId="2" fillId="0" borderId="0" xfId="0" applyFont="1" applyAlignment="1">
      <alignment vertical="center"/>
    </xf>
    <xf numFmtId="0" fontId="11" fillId="5" borderId="7" xfId="0" applyFont="1" applyFill="1" applyBorder="1" applyAlignment="1">
      <alignment vertical="center"/>
    </xf>
    <xf numFmtId="164" fontId="1" fillId="5" borderId="20" xfId="0" applyNumberFormat="1" applyFont="1" applyFill="1" applyBorder="1"/>
    <xf numFmtId="164" fontId="1" fillId="5" borderId="23" xfId="0" applyNumberFormat="1" applyFont="1" applyFill="1" applyBorder="1"/>
    <xf numFmtId="0" fontId="18" fillId="0" borderId="10" xfId="0" applyFont="1" applyBorder="1" applyAlignment="1">
      <alignment vertical="center"/>
    </xf>
    <xf numFmtId="164" fontId="18" fillId="0" borderId="0" xfId="0" applyNumberFormat="1" applyFont="1"/>
    <xf numFmtId="9" fontId="18" fillId="0" borderId="0" xfId="0" applyNumberFormat="1" applyFont="1"/>
    <xf numFmtId="9" fontId="18" fillId="0" borderId="6" xfId="0" applyNumberFormat="1" applyFont="1" applyBorder="1"/>
    <xf numFmtId="165" fontId="11" fillId="5" borderId="22" xfId="0" applyNumberFormat="1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5" fontId="11" fillId="5" borderId="2" xfId="0" applyNumberFormat="1" applyFont="1" applyFill="1" applyBorder="1" applyAlignment="1">
      <alignment vertical="center"/>
    </xf>
    <xf numFmtId="164" fontId="1" fillId="5" borderId="3" xfId="0" applyNumberFormat="1" applyFont="1" applyFill="1" applyBorder="1"/>
    <xf numFmtId="164" fontId="1" fillId="5" borderId="4" xfId="0" applyNumberFormat="1" applyFont="1" applyFill="1" applyBorder="1"/>
    <xf numFmtId="164" fontId="1" fillId="5" borderId="11" xfId="0" applyNumberFormat="1" applyFont="1" applyFill="1" applyBorder="1"/>
    <xf numFmtId="164" fontId="1" fillId="5" borderId="12" xfId="0" applyNumberFormat="1" applyFont="1" applyFill="1" applyBorder="1"/>
    <xf numFmtId="0" fontId="11" fillId="5" borderId="22" xfId="0" applyFont="1" applyFill="1" applyBorder="1"/>
    <xf numFmtId="0" fontId="18" fillId="0" borderId="10" xfId="0" applyFont="1" applyBorder="1"/>
    <xf numFmtId="0" fontId="18" fillId="0" borderId="19" xfId="0" applyFont="1" applyBorder="1"/>
    <xf numFmtId="9" fontId="18" fillId="0" borderId="8" xfId="0" applyNumberFormat="1" applyFont="1" applyBorder="1"/>
    <xf numFmtId="9" fontId="18" fillId="0" borderId="9" xfId="0" applyNumberFormat="1" applyFont="1" applyBorder="1"/>
    <xf numFmtId="9" fontId="1" fillId="0" borderId="0" xfId="0" applyNumberFormat="1" applyFont="1"/>
    <xf numFmtId="0" fontId="11" fillId="0" borderId="10" xfId="0" applyFont="1" applyBorder="1"/>
    <xf numFmtId="165" fontId="1" fillId="0" borderId="0" xfId="0" applyNumberFormat="1" applyFont="1"/>
    <xf numFmtId="165" fontId="1" fillId="0" borderId="6" xfId="0" applyNumberFormat="1" applyFont="1" applyBorder="1"/>
    <xf numFmtId="0" fontId="11" fillId="0" borderId="16" xfId="0" applyFont="1" applyBorder="1"/>
    <xf numFmtId="165" fontId="1" fillId="0" borderId="17" xfId="0" applyNumberFormat="1" applyFont="1" applyBorder="1"/>
    <xf numFmtId="165" fontId="1" fillId="0" borderId="18" xfId="0" applyNumberFormat="1" applyFont="1" applyBorder="1"/>
    <xf numFmtId="0" fontId="11" fillId="6" borderId="5" xfId="0" applyFont="1" applyFill="1" applyBorder="1"/>
    <xf numFmtId="164" fontId="11" fillId="6" borderId="1" xfId="0" applyNumberFormat="1" applyFont="1" applyFill="1" applyBorder="1"/>
    <xf numFmtId="164" fontId="11" fillId="6" borderId="21" xfId="0" applyNumberFormat="1" applyFont="1" applyFill="1" applyBorder="1"/>
    <xf numFmtId="0" fontId="11" fillId="0" borderId="13" xfId="0" applyFont="1" applyBorder="1"/>
    <xf numFmtId="0" fontId="11" fillId="6" borderId="22" xfId="0" applyFont="1" applyFill="1" applyBorder="1"/>
    <xf numFmtId="164" fontId="11" fillId="6" borderId="20" xfId="0" applyNumberFormat="1" applyFont="1" applyFill="1" applyBorder="1"/>
    <xf numFmtId="164" fontId="11" fillId="6" borderId="23" xfId="0" applyNumberFormat="1" applyFont="1" applyFill="1" applyBorder="1"/>
    <xf numFmtId="0" fontId="11" fillId="5" borderId="5" xfId="0" applyFont="1" applyFill="1" applyBorder="1"/>
    <xf numFmtId="0" fontId="11" fillId="5" borderId="2" xfId="0" applyFont="1" applyFill="1" applyBorder="1"/>
    <xf numFmtId="0" fontId="11" fillId="6" borderId="2" xfId="0" applyFont="1" applyFill="1" applyBorder="1"/>
    <xf numFmtId="164" fontId="1" fillId="6" borderId="3" xfId="0" applyNumberFormat="1" applyFont="1" applyFill="1" applyBorder="1"/>
    <xf numFmtId="164" fontId="1" fillId="6" borderId="4" xfId="0" applyNumberFormat="1" applyFont="1" applyFill="1" applyBorder="1"/>
    <xf numFmtId="0" fontId="1" fillId="0" borderId="6" xfId="0" applyFont="1" applyBorder="1"/>
    <xf numFmtId="9" fontId="1" fillId="0" borderId="6" xfId="0" applyNumberFormat="1" applyFont="1" applyBorder="1"/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164" fontId="1" fillId="0" borderId="25" xfId="0" applyNumberFormat="1" applyFont="1" applyBorder="1"/>
    <xf numFmtId="164" fontId="1" fillId="0" borderId="26" xfId="0" applyNumberFormat="1" applyFont="1" applyBorder="1"/>
    <xf numFmtId="0" fontId="19" fillId="0" borderId="10" xfId="0" applyFont="1" applyBorder="1" applyAlignment="1">
      <alignment horizontal="left"/>
    </xf>
    <xf numFmtId="0" fontId="21" fillId="0" borderId="0" xfId="0" applyFont="1"/>
    <xf numFmtId="0" fontId="19" fillId="0" borderId="0" xfId="0" applyFont="1"/>
    <xf numFmtId="165" fontId="22" fillId="7" borderId="27" xfId="0" applyNumberFormat="1" applyFont="1" applyFill="1" applyBorder="1"/>
    <xf numFmtId="166" fontId="4" fillId="9" borderId="27" xfId="0" applyNumberFormat="1" applyFont="1" applyFill="1" applyBorder="1" applyAlignment="1">
      <alignment horizontal="left"/>
    </xf>
    <xf numFmtId="166" fontId="4" fillId="9" borderId="27" xfId="0" applyNumberFormat="1" applyFont="1" applyFill="1" applyBorder="1" applyAlignment="1">
      <alignment horizontal="center"/>
    </xf>
    <xf numFmtId="0" fontId="10" fillId="8" borderId="27" xfId="0" applyFont="1" applyFill="1" applyBorder="1"/>
    <xf numFmtId="167" fontId="10" fillId="8" borderId="27" xfId="0" applyNumberFormat="1" applyFont="1" applyFill="1" applyBorder="1"/>
    <xf numFmtId="168" fontId="10" fillId="8" borderId="27" xfId="0" applyNumberFormat="1" applyFont="1" applyFill="1" applyBorder="1"/>
    <xf numFmtId="167" fontId="10" fillId="10" borderId="22" xfId="0" applyNumberFormat="1" applyFont="1" applyFill="1" applyBorder="1"/>
    <xf numFmtId="3" fontId="10" fillId="8" borderId="28" xfId="0" applyNumberFormat="1" applyFont="1" applyFill="1" applyBorder="1"/>
    <xf numFmtId="43" fontId="10" fillId="8" borderId="27" xfId="0" applyNumberFormat="1" applyFont="1" applyFill="1" applyBorder="1"/>
    <xf numFmtId="0" fontId="5" fillId="11" borderId="27" xfId="0" applyFont="1" applyFill="1" applyBorder="1"/>
    <xf numFmtId="0" fontId="23" fillId="11" borderId="27" xfId="0" applyFont="1" applyFill="1" applyBorder="1"/>
    <xf numFmtId="10" fontId="5" fillId="11" borderId="27" xfId="0" applyNumberFormat="1" applyFont="1" applyFill="1" applyBorder="1"/>
    <xf numFmtId="0" fontId="0" fillId="0" borderId="0" xfId="0" applyAlignment="1">
      <alignment vertical="center"/>
    </xf>
    <xf numFmtId="0" fontId="11" fillId="0" borderId="29" xfId="0" applyFont="1" applyBorder="1"/>
    <xf numFmtId="0" fontId="10" fillId="0" borderId="30" xfId="0" applyFont="1" applyBorder="1"/>
    <xf numFmtId="0" fontId="1" fillId="0" borderId="31" xfId="0" applyFont="1" applyBorder="1"/>
    <xf numFmtId="9" fontId="10" fillId="0" borderId="32" xfId="0" applyNumberFormat="1" applyFont="1" applyBorder="1"/>
    <xf numFmtId="10" fontId="10" fillId="0" borderId="32" xfId="0" applyNumberFormat="1" applyFont="1" applyBorder="1"/>
    <xf numFmtId="0" fontId="10" fillId="0" borderId="32" xfId="0" applyFont="1" applyBorder="1"/>
    <xf numFmtId="0" fontId="11" fillId="0" borderId="31" xfId="0" applyFont="1" applyBorder="1"/>
    <xf numFmtId="9" fontId="10" fillId="0" borderId="32" xfId="2" applyFont="1" applyBorder="1" applyAlignment="1" applyProtection="1"/>
    <xf numFmtId="0" fontId="11" fillId="12" borderId="31" xfId="0" applyFont="1" applyFill="1" applyBorder="1"/>
    <xf numFmtId="10" fontId="10" fillId="12" borderId="32" xfId="0" applyNumberFormat="1" applyFont="1" applyFill="1" applyBorder="1"/>
    <xf numFmtId="10" fontId="6" fillId="0" borderId="32" xfId="0" applyNumberFormat="1" applyFont="1" applyBorder="1"/>
    <xf numFmtId="0" fontId="11" fillId="0" borderId="33" xfId="0" applyFont="1" applyBorder="1"/>
    <xf numFmtId="9" fontId="6" fillId="0" borderId="34" xfId="0" applyNumberFormat="1" applyFont="1" applyBorder="1"/>
    <xf numFmtId="0" fontId="24" fillId="8" borderId="0" xfId="0" applyFont="1" applyFill="1" applyAlignment="1">
      <alignment vertical="center"/>
    </xf>
    <xf numFmtId="0" fontId="1" fillId="0" borderId="35" xfId="0" applyFont="1" applyBorder="1"/>
    <xf numFmtId="10" fontId="10" fillId="0" borderId="36" xfId="0" applyNumberFormat="1" applyFont="1" applyBorder="1"/>
    <xf numFmtId="167" fontId="10" fillId="0" borderId="0" xfId="1" applyNumberFormat="1" applyFont="1" applyAlignment="1" applyProtection="1"/>
    <xf numFmtId="0" fontId="4" fillId="13" borderId="37" xfId="0" applyFont="1" applyFill="1" applyBorder="1"/>
    <xf numFmtId="0" fontId="1" fillId="0" borderId="39" xfId="0" applyFont="1" applyBorder="1"/>
    <xf numFmtId="164" fontId="10" fillId="0" borderId="1" xfId="1" applyNumberFormat="1" applyFont="1" applyBorder="1" applyAlignment="1" applyProtection="1"/>
    <xf numFmtId="164" fontId="10" fillId="0" borderId="40" xfId="1" applyNumberFormat="1" applyFont="1" applyBorder="1" applyAlignment="1" applyProtection="1"/>
    <xf numFmtId="0" fontId="1" fillId="0" borderId="41" xfId="0" applyFont="1" applyBorder="1"/>
    <xf numFmtId="164" fontId="10" fillId="0" borderId="42" xfId="1" applyNumberFormat="1" applyFont="1" applyBorder="1" applyAlignment="1" applyProtection="1"/>
    <xf numFmtId="164" fontId="10" fillId="0" borderId="43" xfId="1" applyNumberFormat="1" applyFont="1" applyBorder="1" applyAlignment="1" applyProtection="1"/>
    <xf numFmtId="0" fontId="11" fillId="14" borderId="39" xfId="0" applyFont="1" applyFill="1" applyBorder="1"/>
    <xf numFmtId="164" fontId="10" fillId="14" borderId="1" xfId="1" applyNumberFormat="1" applyFont="1" applyFill="1" applyBorder="1" applyAlignment="1" applyProtection="1"/>
    <xf numFmtId="164" fontId="10" fillId="14" borderId="40" xfId="1" applyNumberFormat="1" applyFont="1" applyFill="1" applyBorder="1" applyAlignment="1" applyProtection="1"/>
    <xf numFmtId="0" fontId="1" fillId="0" borderId="44" xfId="0" applyFont="1" applyBorder="1"/>
    <xf numFmtId="10" fontId="10" fillId="0" borderId="40" xfId="2" applyNumberFormat="1" applyFont="1" applyBorder="1" applyAlignment="1" applyProtection="1"/>
    <xf numFmtId="10" fontId="10" fillId="0" borderId="46" xfId="2" applyNumberFormat="1" applyFont="1" applyBorder="1" applyAlignment="1" applyProtection="1"/>
    <xf numFmtId="0" fontId="25" fillId="0" borderId="10" xfId="0" applyFont="1" applyBorder="1"/>
    <xf numFmtId="164" fontId="25" fillId="0" borderId="0" xfId="0" applyNumberFormat="1" applyFont="1"/>
    <xf numFmtId="0" fontId="26" fillId="0" borderId="10" xfId="0" applyFont="1" applyBorder="1"/>
    <xf numFmtId="0" fontId="26" fillId="2" borderId="5" xfId="0" applyFont="1" applyFill="1" applyBorder="1"/>
    <xf numFmtId="0" fontId="2" fillId="0" borderId="16" xfId="0" applyFont="1" applyBorder="1"/>
    <xf numFmtId="0" fontId="15" fillId="0" borderId="17" xfId="0" applyFont="1" applyBorder="1"/>
    <xf numFmtId="0" fontId="1" fillId="0" borderId="17" xfId="0" applyFont="1" applyBorder="1"/>
    <xf numFmtId="0" fontId="1" fillId="0" borderId="18" xfId="0" applyFont="1" applyBorder="1"/>
    <xf numFmtId="0" fontId="3" fillId="2" borderId="10" xfId="0" applyFont="1" applyFill="1" applyBorder="1" applyAlignment="1">
      <alignment vertical="center"/>
    </xf>
    <xf numFmtId="0" fontId="15" fillId="0" borderId="1" xfId="0" applyFont="1" applyBorder="1"/>
    <xf numFmtId="0" fontId="1" fillId="0" borderId="1" xfId="0" applyFont="1" applyBorder="1"/>
    <xf numFmtId="0" fontId="1" fillId="0" borderId="21" xfId="0" applyFont="1" applyBorder="1"/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164" fontId="1" fillId="0" borderId="1" xfId="0" applyNumberFormat="1" applyFont="1" applyBorder="1" applyAlignment="1"/>
    <xf numFmtId="1" fontId="2" fillId="0" borderId="0" xfId="0" applyNumberFormat="1" applyFont="1"/>
    <xf numFmtId="1" fontId="0" fillId="0" borderId="0" xfId="0" applyNumberFormat="1" applyFont="1" applyAlignment="1"/>
    <xf numFmtId="1" fontId="3" fillId="2" borderId="1" xfId="0" applyNumberFormat="1" applyFont="1" applyFill="1" applyBorder="1" applyAlignment="1">
      <alignment vertical="center"/>
    </xf>
    <xf numFmtId="1" fontId="26" fillId="0" borderId="10" xfId="0" applyNumberFormat="1" applyFont="1" applyBorder="1" applyAlignment="1">
      <alignment horizontal="center"/>
    </xf>
    <xf numFmtId="1" fontId="12" fillId="0" borderId="0" xfId="0" applyNumberFormat="1" applyFont="1"/>
    <xf numFmtId="1" fontId="0" fillId="0" borderId="0" xfId="0" applyNumberFormat="1" applyFont="1" applyAlignment="1">
      <alignment horizontal="center"/>
    </xf>
    <xf numFmtId="1" fontId="26" fillId="0" borderId="1" xfId="0" applyNumberFormat="1" applyFont="1" applyBorder="1" applyAlignment="1">
      <alignment horizontal="center"/>
    </xf>
    <xf numFmtId="1" fontId="13" fillId="0" borderId="0" xfId="0" applyNumberFormat="1" applyFont="1"/>
    <xf numFmtId="1" fontId="14" fillId="0" borderId="0" xfId="0" applyNumberFormat="1" applyFont="1"/>
    <xf numFmtId="1" fontId="0" fillId="0" borderId="0" xfId="0" applyNumberFormat="1" applyFont="1"/>
    <xf numFmtId="1" fontId="1" fillId="0" borderId="10" xfId="0" applyNumberFormat="1" applyFont="1" applyBorder="1" applyAlignment="1">
      <alignment horizontal="center"/>
    </xf>
    <xf numFmtId="1" fontId="11" fillId="4" borderId="20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27" fillId="3" borderId="16" xfId="0" applyNumberFormat="1" applyFont="1" applyFill="1" applyBorder="1" applyAlignment="1">
      <alignment horizontal="left" vertical="center"/>
    </xf>
    <xf numFmtId="1" fontId="4" fillId="3" borderId="17" xfId="0" applyNumberFormat="1" applyFont="1" applyFill="1" applyBorder="1" applyAlignment="1">
      <alignment horizontal="center" vertical="center"/>
    </xf>
    <xf numFmtId="1" fontId="4" fillId="3" borderId="18" xfId="0" applyNumberFormat="1" applyFont="1" applyFill="1" applyBorder="1" applyAlignment="1">
      <alignment horizontal="center" vertical="center"/>
    </xf>
    <xf numFmtId="1" fontId="26" fillId="0" borderId="21" xfId="0" applyNumberFormat="1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26" fillId="0" borderId="22" xfId="0" applyNumberFormat="1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1" fillId="0" borderId="23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21" xfId="0" applyNumberFormat="1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/>
    </xf>
    <xf numFmtId="1" fontId="11" fillId="4" borderId="22" xfId="0" applyNumberFormat="1" applyFont="1" applyFill="1" applyBorder="1" applyAlignment="1">
      <alignment horizontal="center"/>
    </xf>
    <xf numFmtId="1" fontId="1" fillId="0" borderId="20" xfId="0" applyNumberFormat="1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2" fontId="0" fillId="0" borderId="0" xfId="0" applyNumberFormat="1" applyFont="1" applyAlignment="1"/>
    <xf numFmtId="0" fontId="25" fillId="14" borderId="39" xfId="0" applyFont="1" applyFill="1" applyBorder="1"/>
    <xf numFmtId="2" fontId="10" fillId="0" borderId="45" xfId="2" applyNumberFormat="1" applyFont="1" applyBorder="1" applyAlignment="1" applyProtection="1"/>
    <xf numFmtId="2" fontId="10" fillId="0" borderId="46" xfId="2" applyNumberFormat="1" applyFont="1" applyBorder="1" applyAlignment="1" applyProtection="1"/>
    <xf numFmtId="0" fontId="1" fillId="0" borderId="42" xfId="0" applyFont="1" applyBorder="1"/>
    <xf numFmtId="0" fontId="1" fillId="0" borderId="45" xfId="0" applyFont="1" applyBorder="1"/>
    <xf numFmtId="0" fontId="11" fillId="14" borderId="1" xfId="0" applyFont="1" applyFill="1" applyBorder="1"/>
    <xf numFmtId="0" fontId="26" fillId="0" borderId="39" xfId="0" applyFont="1" applyFill="1" applyBorder="1" applyAlignment="1"/>
    <xf numFmtId="164" fontId="25" fillId="14" borderId="1" xfId="0" applyNumberFormat="1" applyFont="1" applyFill="1" applyBorder="1"/>
    <xf numFmtId="0" fontId="4" fillId="13" borderId="47" xfId="0" applyFont="1" applyFill="1" applyBorder="1"/>
    <xf numFmtId="0" fontId="4" fillId="3" borderId="4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164" fontId="6" fillId="12" borderId="1" xfId="1" applyNumberFormat="1" applyFont="1" applyFill="1" applyBorder="1" applyAlignment="1" applyProtection="1"/>
    <xf numFmtId="0" fontId="0" fillId="0" borderId="1" xfId="0" applyFont="1" applyBorder="1" applyAlignment="1"/>
    <xf numFmtId="0" fontId="0" fillId="0" borderId="40" xfId="0" applyFont="1" applyBorder="1" applyAlignment="1"/>
    <xf numFmtId="164" fontId="25" fillId="14" borderId="40" xfId="0" applyNumberFormat="1" applyFont="1" applyFill="1" applyBorder="1"/>
    <xf numFmtId="0" fontId="26" fillId="8" borderId="44" xfId="0" applyFont="1" applyFill="1" applyBorder="1"/>
    <xf numFmtId="164" fontId="25" fillId="8" borderId="45" xfId="0" applyNumberFormat="1" applyFont="1" applyFill="1" applyBorder="1"/>
    <xf numFmtId="164" fontId="10" fillId="8" borderId="45" xfId="1" applyNumberFormat="1" applyFont="1" applyFill="1" applyBorder="1" applyAlignment="1" applyProtection="1"/>
    <xf numFmtId="164" fontId="10" fillId="8" borderId="46" xfId="1" applyNumberFormat="1" applyFont="1" applyFill="1" applyBorder="1" applyAlignment="1" applyProtection="1"/>
    <xf numFmtId="0" fontId="25" fillId="14" borderId="39" xfId="0" applyFont="1" applyFill="1" applyBorder="1" applyAlignment="1"/>
    <xf numFmtId="43" fontId="0" fillId="0" borderId="0" xfId="0" applyNumberFormat="1" applyFont="1" applyAlignment="1"/>
    <xf numFmtId="0" fontId="28" fillId="8" borderId="39" xfId="0" applyFont="1" applyFill="1" applyBorder="1"/>
    <xf numFmtId="0" fontId="28" fillId="8" borderId="37" xfId="0" applyFont="1" applyFill="1" applyBorder="1"/>
    <xf numFmtId="165" fontId="6" fillId="0" borderId="40" xfId="1" applyNumberFormat="1" applyFont="1" applyBorder="1" applyAlignment="1" applyProtection="1"/>
    <xf numFmtId="165" fontId="6" fillId="0" borderId="38" xfId="1" applyNumberFormat="1" applyFont="1" applyBorder="1" applyAlignment="1" applyProtection="1"/>
    <xf numFmtId="2" fontId="10" fillId="0" borderId="40" xfId="2" applyNumberFormat="1" applyFont="1" applyBorder="1" applyAlignment="1" applyProtection="1"/>
    <xf numFmtId="10" fontId="6" fillId="0" borderId="40" xfId="2" applyNumberFormat="1" applyFont="1" applyBorder="1" applyAlignment="1" applyProtection="1"/>
    <xf numFmtId="0" fontId="28" fillId="8" borderId="44" xfId="0" applyFont="1" applyFill="1" applyBorder="1"/>
    <xf numFmtId="0" fontId="4" fillId="3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21" xfId="0" applyNumberFormat="1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164" fontId="11" fillId="4" borderId="20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4" fontId="25" fillId="0" borderId="1" xfId="0" applyNumberFormat="1" applyFont="1" applyBorder="1" applyAlignment="1">
      <alignment horizontal="center"/>
    </xf>
    <xf numFmtId="164" fontId="25" fillId="0" borderId="21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7" fillId="3" borderId="16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/>
    </xf>
    <xf numFmtId="164" fontId="26" fillId="0" borderId="21" xfId="0" applyNumberFormat="1" applyFont="1" applyBorder="1" applyAlignment="1">
      <alignment horizontal="center"/>
    </xf>
    <xf numFmtId="0" fontId="27" fillId="3" borderId="1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64" fontId="11" fillId="4" borderId="11" xfId="0" applyNumberFormat="1" applyFont="1" applyFill="1" applyBorder="1" applyAlignment="1">
      <alignment horizontal="center"/>
    </xf>
    <xf numFmtId="164" fontId="11" fillId="4" borderId="12" xfId="0" applyNumberFormat="1" applyFont="1" applyFill="1" applyBorder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1" xfId="1" applyNumberFormat="1" applyFont="1" applyBorder="1" applyAlignment="1">
      <alignment horizontal="center"/>
    </xf>
    <xf numFmtId="1" fontId="1" fillId="0" borderId="23" xfId="0" applyNumberFormat="1" applyFont="1" applyBorder="1" applyAlignment="1">
      <alignment horizontal="center" vertical="center"/>
    </xf>
    <xf numFmtId="1" fontId="11" fillId="4" borderId="23" xfId="0" applyNumberFormat="1" applyFont="1" applyFill="1" applyBorder="1" applyAlignment="1">
      <alignment horizontal="center"/>
    </xf>
    <xf numFmtId="10" fontId="18" fillId="0" borderId="0" xfId="0" applyNumberFormat="1" applyFont="1"/>
    <xf numFmtId="10" fontId="18" fillId="0" borderId="8" xfId="0" applyNumberFormat="1" applyFont="1" applyBorder="1"/>
    <xf numFmtId="0" fontId="29" fillId="0" borderId="28" xfId="0" applyFont="1" applyBorder="1"/>
    <xf numFmtId="168" fontId="29" fillId="0" borderId="28" xfId="1" applyNumberFormat="1" applyFont="1" applyBorder="1"/>
    <xf numFmtId="168" fontId="29" fillId="0" borderId="28" xfId="0" applyNumberFormat="1" applyFont="1" applyBorder="1"/>
    <xf numFmtId="9" fontId="29" fillId="0" borderId="28" xfId="0" applyNumberFormat="1" applyFont="1" applyBorder="1"/>
    <xf numFmtId="0" fontId="30" fillId="0" borderId="28" xfId="0" applyFont="1" applyBorder="1"/>
    <xf numFmtId="43" fontId="30" fillId="0" borderId="28" xfId="0" applyNumberFormat="1" applyFont="1" applyBorder="1"/>
    <xf numFmtId="43" fontId="29" fillId="0" borderId="28" xfId="0" applyNumberFormat="1" applyFont="1" applyBorder="1"/>
    <xf numFmtId="9" fontId="29" fillId="0" borderId="28" xfId="2" applyFont="1" applyBorder="1"/>
    <xf numFmtId="10" fontId="8" fillId="0" borderId="8" xfId="0" applyNumberFormat="1" applyFont="1" applyBorder="1"/>
    <xf numFmtId="168" fontId="29" fillId="0" borderId="28" xfId="1" applyNumberFormat="1" applyFont="1" applyFill="1" applyBorder="1" applyAlignment="1">
      <alignment horizontal="left" vertical="center" indent="3"/>
    </xf>
    <xf numFmtId="0" fontId="26" fillId="0" borderId="0" xfId="0" applyFont="1"/>
    <xf numFmtId="0" fontId="29" fillId="0" borderId="1" xfId="0" applyFont="1" applyBorder="1"/>
    <xf numFmtId="0" fontId="4" fillId="3" borderId="48" xfId="0" applyFont="1" applyFill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3" borderId="50" xfId="0" applyFont="1" applyFill="1" applyBorder="1" applyAlignment="1">
      <alignment horizontal="center"/>
    </xf>
    <xf numFmtId="0" fontId="4" fillId="3" borderId="51" xfId="0" applyFont="1" applyFill="1" applyBorder="1" applyAlignment="1">
      <alignment horizontal="center"/>
    </xf>
    <xf numFmtId="165" fontId="5" fillId="7" borderId="22" xfId="0" applyNumberFormat="1" applyFont="1" applyFill="1" applyBorder="1" applyAlignment="1">
      <alignment horizontal="center"/>
    </xf>
    <xf numFmtId="0" fontId="5" fillId="8" borderId="2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ramyte%20Financial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PV"/>
      <sheetName val="Revenue"/>
      <sheetName val="Expenses"/>
      <sheetName val="Total Area"/>
      <sheetName val="Cost Structure"/>
      <sheetName val="P&amp;L"/>
      <sheetName val="Balance Sheet"/>
      <sheetName val="Cash Flow"/>
      <sheetName val="Rent Analysis"/>
      <sheetName val="Assumptions"/>
      <sheetName val="Market Return"/>
      <sheetName val="Key Value Assumptions"/>
    </sheetNames>
    <sheetDataSet>
      <sheetData sheetId="0">
        <row r="18">
          <cell r="C18">
            <v>8.2058570789400015E-2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showGridLines="0" tabSelected="1" zoomScaleNormal="100" zoomScaleSheetLayoutView="100" workbookViewId="0">
      <selection activeCell="B4" sqref="B4"/>
    </sheetView>
  </sheetViews>
  <sheetFormatPr defaultColWidth="14.453125" defaultRowHeight="15" customHeight="1"/>
  <cols>
    <col min="1" max="1" width="22.1796875" bestFit="1" customWidth="1"/>
    <col min="2" max="2" width="12.453125" bestFit="1" customWidth="1"/>
    <col min="3" max="3" width="12.36328125" bestFit="1" customWidth="1"/>
    <col min="4" max="6" width="14" bestFit="1" customWidth="1"/>
    <col min="7" max="8" width="8.81640625" customWidth="1"/>
    <col min="9" max="9" width="17.54296875" bestFit="1" customWidth="1"/>
    <col min="10" max="10" width="12.1796875" bestFit="1" customWidth="1"/>
  </cols>
  <sheetData>
    <row r="1" spans="1:10" ht="13.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3.5" customHeight="1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3.5" customHeight="1">
      <c r="A3" s="4" t="s">
        <v>2</v>
      </c>
      <c r="B3" s="5" t="s">
        <v>115</v>
      </c>
      <c r="C3" s="5" t="s">
        <v>116</v>
      </c>
      <c r="D3" s="5" t="s">
        <v>117</v>
      </c>
      <c r="E3" s="5" t="s">
        <v>118</v>
      </c>
      <c r="F3" s="6" t="s">
        <v>119</v>
      </c>
      <c r="G3" s="1"/>
      <c r="H3" s="1"/>
      <c r="I3" s="1"/>
      <c r="J3" s="1"/>
    </row>
    <row r="4" spans="1:10" ht="13.5" customHeight="1">
      <c r="A4" s="7" t="s">
        <v>3</v>
      </c>
      <c r="B4" s="8">
        <f>Revenue!B49</f>
        <v>51204000</v>
      </c>
      <c r="C4" s="8">
        <f>Revenue!C49</f>
        <v>180325624.99999997</v>
      </c>
      <c r="D4" s="8">
        <f>Revenue!D49</f>
        <v>397615020</v>
      </c>
      <c r="E4" s="8">
        <f>Revenue!E49</f>
        <v>787674330</v>
      </c>
      <c r="F4" s="9">
        <f>Revenue!F49</f>
        <v>1287612900</v>
      </c>
      <c r="G4" s="1"/>
      <c r="H4" s="1"/>
      <c r="I4" s="1"/>
      <c r="J4" s="1"/>
    </row>
    <row r="5" spans="1:10" ht="13.5" customHeight="1">
      <c r="A5" s="10" t="s">
        <v>4</v>
      </c>
      <c r="B5" s="11">
        <f>'P&amp;L'!B5</f>
        <v>0</v>
      </c>
      <c r="C5" s="12">
        <f>'P&amp;L'!C5</f>
        <v>2.5217097297086157</v>
      </c>
      <c r="D5" s="12">
        <f>'P&amp;L'!D5</f>
        <v>1.2049834570100622</v>
      </c>
      <c r="E5" s="12">
        <f>'P&amp;L'!E5</f>
        <v>0.98099742308527471</v>
      </c>
      <c r="F5" s="13">
        <f>'P&amp;L'!F5</f>
        <v>0.63470212365559764</v>
      </c>
      <c r="G5" s="1"/>
      <c r="H5" s="1"/>
      <c r="I5" s="1"/>
      <c r="J5" s="1"/>
    </row>
    <row r="6" spans="1:10" ht="13.5" customHeight="1">
      <c r="A6" s="7"/>
      <c r="B6" s="8"/>
      <c r="C6" s="8"/>
      <c r="D6" s="8"/>
      <c r="E6" s="8"/>
      <c r="F6" s="9"/>
      <c r="G6" s="1"/>
      <c r="H6" s="1"/>
      <c r="I6" s="1"/>
      <c r="J6" s="1"/>
    </row>
    <row r="7" spans="1:10" ht="13.5" customHeight="1">
      <c r="A7" s="7" t="s">
        <v>5</v>
      </c>
      <c r="B7" s="8">
        <f>'P&amp;L'!B12</f>
        <v>3260140</v>
      </c>
      <c r="C7" s="8">
        <f>'P&amp;L'!C12</f>
        <v>18251798.333333313</v>
      </c>
      <c r="D7" s="8">
        <f>'P&amp;L'!D12</f>
        <v>192224920</v>
      </c>
      <c r="E7" s="8">
        <f>'P&amp;L'!E12</f>
        <v>500470376.66666669</v>
      </c>
      <c r="F7" s="9">
        <f>'P&amp;L'!F12</f>
        <v>940336320</v>
      </c>
      <c r="G7" s="1"/>
      <c r="H7" s="1"/>
      <c r="I7" s="1"/>
      <c r="J7" s="1"/>
    </row>
    <row r="8" spans="1:10" ht="13.5" customHeight="1">
      <c r="A8" s="10" t="s">
        <v>6</v>
      </c>
      <c r="B8" s="12">
        <f>'P&amp;L'!B13</f>
        <v>6.3669635184751189E-2</v>
      </c>
      <c r="C8" s="12">
        <f>'P&amp;L'!C13</f>
        <v>0.10121577747662494</v>
      </c>
      <c r="D8" s="12">
        <f>'P&amp;L'!D13</f>
        <v>0.48344481554041896</v>
      </c>
      <c r="E8" s="12">
        <f>'P&amp;L'!E13</f>
        <v>0.63537728424724305</v>
      </c>
      <c r="F8" s="13">
        <f>'P&amp;L'!F13</f>
        <v>0.7302942677880907</v>
      </c>
      <c r="G8" s="1"/>
      <c r="H8" s="1"/>
      <c r="I8" s="1"/>
      <c r="J8" s="1"/>
    </row>
    <row r="9" spans="1:10" ht="13.5" customHeight="1">
      <c r="A9" s="7"/>
      <c r="B9" s="8"/>
      <c r="C9" s="8"/>
      <c r="D9" s="8"/>
      <c r="E9" s="8"/>
      <c r="F9" s="9"/>
      <c r="G9" s="1"/>
      <c r="H9" s="1"/>
      <c r="I9" s="1"/>
      <c r="J9" s="1"/>
    </row>
    <row r="10" spans="1:10" ht="13.5" customHeight="1">
      <c r="A10" s="7" t="s">
        <v>7</v>
      </c>
      <c r="B10" s="8">
        <f>'P&amp;L'!B19</f>
        <v>-734060</v>
      </c>
      <c r="C10" s="8">
        <f>'P&amp;L'!C19</f>
        <v>5454158.3333333135</v>
      </c>
      <c r="D10" s="8">
        <f>'P&amp;L'!D19</f>
        <v>175993420</v>
      </c>
      <c r="E10" s="8">
        <f>'P&amp;L'!E19</f>
        <v>479137976.66666669</v>
      </c>
      <c r="F10" s="9">
        <f>'P&amp;L'!F19</f>
        <v>912097320</v>
      </c>
      <c r="G10" s="1"/>
      <c r="H10" s="1"/>
      <c r="I10" s="1"/>
      <c r="J10" s="1"/>
    </row>
    <row r="11" spans="1:10" ht="13.5" customHeight="1">
      <c r="A11" s="10" t="s">
        <v>8</v>
      </c>
      <c r="B11" s="12">
        <f>'P&amp;L'!B20</f>
        <v>-1.4335989375830013E-2</v>
      </c>
      <c r="C11" s="12">
        <f>'P&amp;L'!C20</f>
        <v>3.0246163479723497E-2</v>
      </c>
      <c r="D11" s="12">
        <f>'P&amp;L'!D20</f>
        <v>0.44262266551198193</v>
      </c>
      <c r="E11" s="12">
        <f>'P&amp;L'!E20</f>
        <v>0.60829451769320286</v>
      </c>
      <c r="F11" s="13">
        <f>'P&amp;L'!F20</f>
        <v>0.70836298704369927</v>
      </c>
      <c r="G11" s="1"/>
      <c r="H11" s="1"/>
      <c r="I11" s="1"/>
      <c r="J11" s="1"/>
    </row>
    <row r="12" spans="1:10" ht="13.5" customHeight="1">
      <c r="A12" s="7"/>
      <c r="B12" s="8"/>
      <c r="C12" s="8"/>
      <c r="D12" s="8"/>
      <c r="E12" s="8"/>
      <c r="F12" s="9"/>
      <c r="G12" s="1"/>
      <c r="H12" s="1"/>
      <c r="I12" s="1"/>
      <c r="J12" s="1"/>
    </row>
    <row r="13" spans="1:10" ht="13.5" customHeight="1">
      <c r="A13" s="7" t="s">
        <v>9</v>
      </c>
      <c r="B13" s="8">
        <f>'P&amp;L'!B28</f>
        <v>-3893903.05</v>
      </c>
      <c r="C13" s="8">
        <f>'P&amp;L'!C28</f>
        <v>1162987.452599986</v>
      </c>
      <c r="D13" s="8">
        <f>'P&amp;L'!D28</f>
        <v>124092098.14418998</v>
      </c>
      <c r="E13" s="8">
        <f>'P&amp;L'!E28</f>
        <v>342457806.43372351</v>
      </c>
      <c r="F13" s="9">
        <f>'P&amp;L'!F28</f>
        <v>654436031.50192022</v>
      </c>
      <c r="G13" s="1"/>
      <c r="H13" s="1"/>
      <c r="I13" s="1"/>
      <c r="J13" s="1"/>
    </row>
    <row r="14" spans="1:10" ht="13.5" customHeight="1">
      <c r="A14" s="14" t="s">
        <v>10</v>
      </c>
      <c r="B14" s="15">
        <f>'P&amp;L'!B29</f>
        <v>-7.6046852784938668E-2</v>
      </c>
      <c r="C14" s="253">
        <f>'P&amp;L'!C29</f>
        <v>6.4493743060642997E-3</v>
      </c>
      <c r="D14" s="15">
        <f>'P&amp;L'!D29</f>
        <v>0.31209107277735632</v>
      </c>
      <c r="E14" s="15">
        <f>'P&amp;L'!E29</f>
        <v>0.43477080995355466</v>
      </c>
      <c r="F14" s="16">
        <f>'P&amp;L'!F29</f>
        <v>0.50825526173426827</v>
      </c>
      <c r="G14" s="1"/>
      <c r="H14" s="1"/>
      <c r="I14" s="1"/>
      <c r="J14" s="1"/>
    </row>
    <row r="15" spans="1:10" ht="13.5" customHeight="1">
      <c r="A15" s="17"/>
      <c r="B15" s="18"/>
      <c r="C15" s="18"/>
      <c r="D15" s="18"/>
      <c r="E15" s="18"/>
      <c r="F15" s="18"/>
      <c r="G15" s="1"/>
      <c r="H15" s="1"/>
      <c r="I15" s="1"/>
      <c r="J15" s="1"/>
    </row>
    <row r="16" spans="1:10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 ht="13.5" customHeight="1" thickBot="1">
      <c r="A17" s="259" t="s">
        <v>241</v>
      </c>
      <c r="B17" s="260"/>
      <c r="C17" s="1"/>
      <c r="D17" s="1"/>
      <c r="E17" s="1"/>
      <c r="F17" s="1"/>
      <c r="G17" s="1"/>
      <c r="H17" s="1"/>
      <c r="I17" s="1"/>
      <c r="J17" s="1"/>
    </row>
    <row r="18" spans="1:12" ht="13.5" customHeight="1">
      <c r="A18" s="201" t="s">
        <v>216</v>
      </c>
      <c r="B18" s="203">
        <f>NPV!C22</f>
        <v>53.319058916833207</v>
      </c>
      <c r="C18" s="1"/>
      <c r="D18" s="1"/>
      <c r="I18" s="257" t="s">
        <v>228</v>
      </c>
      <c r="J18" s="258"/>
      <c r="K18" s="258"/>
      <c r="L18" s="258"/>
    </row>
    <row r="19" spans="1:12" ht="13.5" customHeight="1">
      <c r="A19" s="200" t="s">
        <v>217</v>
      </c>
      <c r="B19" s="202">
        <v>7.5</v>
      </c>
      <c r="C19" s="1"/>
      <c r="D19" s="1"/>
      <c r="I19" s="245"/>
      <c r="J19" s="245"/>
      <c r="K19" s="245"/>
      <c r="L19" s="245"/>
    </row>
    <row r="20" spans="1:12" ht="13.5" customHeight="1">
      <c r="A20" s="200" t="s">
        <v>218</v>
      </c>
      <c r="B20" s="202">
        <f>B18</f>
        <v>53.319058916833207</v>
      </c>
      <c r="C20" s="1"/>
      <c r="D20" s="1"/>
      <c r="I20" s="245" t="s">
        <v>235</v>
      </c>
      <c r="J20" s="246">
        <f>F10/10000000</f>
        <v>91.209732000000002</v>
      </c>
      <c r="K20" s="245" t="s">
        <v>229</v>
      </c>
      <c r="L20" s="245"/>
    </row>
    <row r="21" spans="1:12" ht="13.5" customHeight="1">
      <c r="A21" s="200" t="s">
        <v>219</v>
      </c>
      <c r="B21" s="205">
        <f>B19/B18</f>
        <v>0.14066264769786094</v>
      </c>
      <c r="C21" s="1"/>
      <c r="D21" s="1"/>
      <c r="I21" s="245" t="s">
        <v>230</v>
      </c>
      <c r="J21" s="245">
        <v>10</v>
      </c>
      <c r="K21" s="245" t="s">
        <v>240</v>
      </c>
      <c r="L21" s="245"/>
    </row>
    <row r="22" spans="1:12" ht="13.5" customHeight="1">
      <c r="A22" s="200" t="s">
        <v>155</v>
      </c>
      <c r="B22" s="129">
        <f>B19/B18</f>
        <v>0.14066264769786094</v>
      </c>
      <c r="C22" s="1"/>
      <c r="D22" s="1"/>
      <c r="I22" s="245" t="s">
        <v>231</v>
      </c>
      <c r="J22" s="247">
        <f>J20*J21</f>
        <v>912.09732000000008</v>
      </c>
      <c r="K22" s="245" t="s">
        <v>229</v>
      </c>
      <c r="L22" s="245"/>
    </row>
    <row r="23" spans="1:12" ht="13.5" customHeight="1">
      <c r="A23" s="200" t="s">
        <v>220</v>
      </c>
      <c r="B23" s="204">
        <f>B20+B19</f>
        <v>60.819058916833207</v>
      </c>
      <c r="C23" s="1"/>
      <c r="D23" s="1"/>
      <c r="I23" s="245" t="s">
        <v>232</v>
      </c>
      <c r="J23" s="248">
        <f>F11</f>
        <v>0.70836298704369927</v>
      </c>
      <c r="K23" s="245"/>
      <c r="L23" s="245"/>
    </row>
    <row r="24" spans="1:12" ht="13.5" customHeight="1" thickBot="1">
      <c r="A24" s="206" t="s">
        <v>156</v>
      </c>
      <c r="B24" s="130">
        <f>B19/B23</f>
        <v>0.12331660722103324</v>
      </c>
      <c r="C24" s="19"/>
      <c r="D24" s="1"/>
      <c r="I24" s="245" t="s">
        <v>154</v>
      </c>
      <c r="J24" s="245">
        <f>1/(1+J23)^5</f>
        <v>6.8722544675194883E-2</v>
      </c>
      <c r="K24" s="245"/>
      <c r="L24" s="245"/>
    </row>
    <row r="25" spans="1:12" ht="13.5" customHeight="1">
      <c r="A25" s="1"/>
      <c r="B25" s="1"/>
      <c r="C25" s="1"/>
      <c r="D25" s="1"/>
      <c r="I25" s="249" t="s">
        <v>233</v>
      </c>
      <c r="J25" s="250">
        <f>J22*J24</f>
        <v>62.681648821825526</v>
      </c>
      <c r="K25" s="245" t="s">
        <v>229</v>
      </c>
      <c r="L25" s="245"/>
    </row>
    <row r="26" spans="1:12" ht="13.5" customHeight="1">
      <c r="A26" s="1"/>
      <c r="B26" s="1"/>
      <c r="C26" s="1"/>
      <c r="D26" s="1"/>
      <c r="I26" s="245" t="s">
        <v>234</v>
      </c>
      <c r="J26" s="251">
        <v>7.5</v>
      </c>
      <c r="K26" s="245" t="s">
        <v>229</v>
      </c>
      <c r="L26" s="245"/>
    </row>
    <row r="27" spans="1:12" ht="13.5" customHeight="1">
      <c r="A27" s="1"/>
      <c r="B27" s="1"/>
      <c r="C27" s="1"/>
      <c r="D27" s="1"/>
      <c r="I27" s="245" t="s">
        <v>239</v>
      </c>
      <c r="J27" s="252">
        <f>J26/(J25+J26)</f>
        <v>0.10686554285780193</v>
      </c>
      <c r="K27" s="245"/>
      <c r="L27" s="245"/>
    </row>
    <row r="28" spans="1:12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2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2" ht="13.5" customHeight="1">
      <c r="A30" s="4" t="s">
        <v>236</v>
      </c>
      <c r="B30" s="254">
        <f>(B18+J25)/2</f>
        <v>58.000353869329366</v>
      </c>
      <c r="C30" s="245" t="s">
        <v>237</v>
      </c>
      <c r="D30" s="256"/>
      <c r="E30" s="1"/>
      <c r="F30" s="1"/>
      <c r="G30" s="1"/>
      <c r="H30" s="1"/>
      <c r="I30" s="1"/>
      <c r="J30" s="1"/>
    </row>
    <row r="31" spans="1:12" ht="13.5" customHeight="1">
      <c r="A31" s="255" t="s">
        <v>238</v>
      </c>
      <c r="B31" s="1">
        <v>7.5</v>
      </c>
      <c r="C31" s="1"/>
      <c r="D31" s="1"/>
      <c r="E31" s="1"/>
      <c r="F31" s="1"/>
      <c r="G31" s="1"/>
      <c r="H31" s="1"/>
      <c r="I31" s="1"/>
      <c r="J31" s="1"/>
    </row>
    <row r="32" spans="1:12" ht="13.5" customHeight="1">
      <c r="A32" s="200" t="s">
        <v>219</v>
      </c>
      <c r="B32" s="205">
        <f>B31/B30</f>
        <v>0.1293095558847272</v>
      </c>
      <c r="C32" s="1"/>
      <c r="D32" s="1"/>
      <c r="E32" s="1"/>
      <c r="F32" s="1"/>
      <c r="G32" s="1"/>
      <c r="H32" s="1"/>
      <c r="I32" s="1"/>
      <c r="J32" s="1"/>
    </row>
    <row r="33" spans="1:10" ht="13.5" customHeight="1">
      <c r="A33" s="200" t="s">
        <v>155</v>
      </c>
      <c r="B33" s="129">
        <f>B32</f>
        <v>0.1293095558847272</v>
      </c>
      <c r="C33" s="1"/>
      <c r="D33" s="1"/>
      <c r="E33" s="1"/>
      <c r="F33" s="1"/>
      <c r="G33" s="1"/>
      <c r="H33" s="1"/>
      <c r="I33" s="1"/>
      <c r="J33" s="1"/>
    </row>
    <row r="34" spans="1:10" ht="13.5" customHeight="1">
      <c r="A34" s="200" t="s">
        <v>220</v>
      </c>
      <c r="B34" s="204">
        <f>B31+B30</f>
        <v>65.500353869329359</v>
      </c>
      <c r="C34" s="1"/>
      <c r="D34" s="1"/>
      <c r="E34" s="1"/>
      <c r="F34" s="1"/>
      <c r="G34" s="1"/>
      <c r="H34" s="1"/>
      <c r="I34" s="1"/>
      <c r="J34" s="1"/>
    </row>
    <row r="35" spans="1:10" ht="13.5" customHeight="1" thickBot="1">
      <c r="A35" s="206" t="s">
        <v>156</v>
      </c>
      <c r="B35" s="130">
        <f>B31/B34</f>
        <v>0.11450319818061146</v>
      </c>
      <c r="C35" s="1"/>
      <c r="D35" s="1"/>
      <c r="E35" s="1"/>
      <c r="F35" s="1"/>
      <c r="G35" s="1"/>
      <c r="H35" s="1"/>
      <c r="I35" s="1"/>
      <c r="J35" s="1"/>
    </row>
    <row r="36" spans="1:10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</sheetData>
  <mergeCells count="2">
    <mergeCell ref="I18:L18"/>
    <mergeCell ref="A17:B17"/>
  </mergeCells>
  <pageMargins left="0.7" right="0.7" top="0.75" bottom="0.75" header="0" footer="0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506D-960A-4853-BB44-F459991B14BA}">
  <dimension ref="B3:H23"/>
  <sheetViews>
    <sheetView topLeftCell="A8" zoomScale="108" zoomScaleNormal="108" workbookViewId="0">
      <selection activeCell="C23" sqref="C23"/>
    </sheetView>
  </sheetViews>
  <sheetFormatPr defaultRowHeight="12.5"/>
  <cols>
    <col min="2" max="2" width="33.08984375" bestFit="1" customWidth="1"/>
    <col min="3" max="3" width="33.08984375" customWidth="1"/>
    <col min="4" max="4" width="12.453125" bestFit="1" customWidth="1"/>
    <col min="5" max="7" width="12.26953125" bestFit="1" customWidth="1"/>
    <col min="8" max="8" width="13.1796875" bestFit="1" customWidth="1"/>
  </cols>
  <sheetData>
    <row r="3" spans="2:8" ht="23.5">
      <c r="B3" s="86" t="s">
        <v>146</v>
      </c>
      <c r="C3" s="86"/>
      <c r="D3" s="100"/>
      <c r="E3" s="100"/>
      <c r="F3" s="100"/>
      <c r="G3" s="100"/>
      <c r="H3" s="100"/>
    </row>
    <row r="4" spans="2:8" ht="13">
      <c r="B4" s="114" t="s">
        <v>1</v>
      </c>
      <c r="C4" s="114"/>
      <c r="D4" s="100"/>
      <c r="E4" s="100"/>
      <c r="F4" s="100"/>
      <c r="G4" s="100"/>
      <c r="H4" s="100"/>
    </row>
    <row r="5" spans="2:8" ht="14.5">
      <c r="B5" s="115" t="s">
        <v>143</v>
      </c>
      <c r="C5" s="182"/>
      <c r="D5" s="116">
        <f>'Value Assumptions'!H24</f>
        <v>0.20093571655456374</v>
      </c>
      <c r="E5" s="100"/>
      <c r="F5" s="100"/>
      <c r="G5" s="100"/>
      <c r="H5" s="100"/>
    </row>
    <row r="6" spans="2:8" ht="14.5">
      <c r="B6" s="115" t="s">
        <v>210</v>
      </c>
      <c r="C6" s="182"/>
      <c r="D6" s="116">
        <v>0.01</v>
      </c>
      <c r="E6" s="100"/>
      <c r="F6" s="100"/>
      <c r="G6" s="100"/>
      <c r="H6" s="100"/>
    </row>
    <row r="7" spans="2:8" ht="15" thickBot="1">
      <c r="B7" s="100"/>
      <c r="C7" s="100"/>
      <c r="D7" s="117"/>
      <c r="E7" s="117"/>
      <c r="F7" s="117"/>
      <c r="G7" s="117"/>
      <c r="H7" s="117"/>
    </row>
    <row r="8" spans="2:8" ht="15.5">
      <c r="B8" s="118" t="s">
        <v>2</v>
      </c>
      <c r="C8" s="187"/>
      <c r="D8" s="188" t="s">
        <v>115</v>
      </c>
      <c r="E8" s="188" t="s">
        <v>116</v>
      </c>
      <c r="F8" s="188" t="s">
        <v>117</v>
      </c>
      <c r="G8" s="188" t="s">
        <v>118</v>
      </c>
      <c r="H8" s="189" t="s">
        <v>119</v>
      </c>
    </row>
    <row r="9" spans="2:8" ht="14.5">
      <c r="B9" s="119" t="s">
        <v>147</v>
      </c>
      <c r="C9" s="141"/>
      <c r="D9" s="120">
        <v>1</v>
      </c>
      <c r="E9" s="120">
        <v>2</v>
      </c>
      <c r="F9" s="120">
        <v>3</v>
      </c>
      <c r="G9" s="120">
        <v>4</v>
      </c>
      <c r="H9" s="121">
        <v>5</v>
      </c>
    </row>
    <row r="10" spans="2:8" ht="14.5">
      <c r="B10" s="119" t="s">
        <v>7</v>
      </c>
      <c r="C10" s="141"/>
      <c r="D10" s="120">
        <f>'P&amp;L'!B19</f>
        <v>-734060</v>
      </c>
      <c r="E10" s="120">
        <f>'P&amp;L'!C19</f>
        <v>5454158.3333333135</v>
      </c>
      <c r="F10" s="120">
        <f>'P&amp;L'!D19</f>
        <v>175993420</v>
      </c>
      <c r="G10" s="120">
        <f>'P&amp;L'!E19</f>
        <v>479137976.66666669</v>
      </c>
      <c r="H10" s="121">
        <f>'P&amp;L'!F19</f>
        <v>912097320</v>
      </c>
    </row>
    <row r="11" spans="2:8" ht="14.5">
      <c r="B11" s="119" t="s">
        <v>148</v>
      </c>
      <c r="C11" s="141"/>
      <c r="D11" s="120"/>
      <c r="E11" s="120"/>
      <c r="F11" s="120"/>
      <c r="G11" s="120"/>
      <c r="H11" s="121"/>
    </row>
    <row r="12" spans="2:8" ht="14.5">
      <c r="B12" s="119" t="s">
        <v>149</v>
      </c>
      <c r="C12" s="141"/>
      <c r="D12" s="120">
        <f>Assumptions!B27</f>
        <v>5193806</v>
      </c>
      <c r="E12" s="120">
        <f>Assumptions!C27</f>
        <v>12293340.666666668</v>
      </c>
      <c r="F12" s="120">
        <f>Assumptions!D27</f>
        <v>4675013.3333333321</v>
      </c>
      <c r="G12" s="120">
        <f>Assumptions!E27</f>
        <v>8691475.3333333321</v>
      </c>
      <c r="H12" s="121">
        <f>Assumptions!F27</f>
        <v>6697922.6666666679</v>
      </c>
    </row>
    <row r="13" spans="2:8" ht="14.5">
      <c r="B13" s="119" t="s">
        <v>150</v>
      </c>
      <c r="C13" s="141"/>
      <c r="D13" s="120">
        <f>'P&amp;L'!B27</f>
        <v>0</v>
      </c>
      <c r="E13" s="120">
        <f>'P&amp;L'!C27</f>
        <v>452272.89823332796</v>
      </c>
      <c r="F13" s="120">
        <f>'P&amp;L'!D27</f>
        <v>48258038.167185001</v>
      </c>
      <c r="G13" s="120">
        <f>'P&amp;L'!E27</f>
        <v>133178035.83533694</v>
      </c>
      <c r="H13" s="121">
        <f>'P&amp;L'!F27</f>
        <v>254502901.13963568</v>
      </c>
    </row>
    <row r="14" spans="2:8" ht="14.5">
      <c r="B14" s="119" t="s">
        <v>151</v>
      </c>
      <c r="C14" s="141"/>
      <c r="D14" s="120">
        <f>Assumptions!B20</f>
        <v>1520000</v>
      </c>
      <c r="E14" s="120">
        <f>Assumptions!C20</f>
        <v>5100000</v>
      </c>
      <c r="F14" s="120">
        <f>Assumptions!D20</f>
        <v>3280000</v>
      </c>
      <c r="G14" s="120">
        <f>Assumptions!E20</f>
        <v>3240000</v>
      </c>
      <c r="H14" s="121">
        <f>Assumptions!F20</f>
        <v>2520000</v>
      </c>
    </row>
    <row r="15" spans="2:8" ht="14.5">
      <c r="B15" s="122" t="s">
        <v>152</v>
      </c>
      <c r="C15" s="182"/>
      <c r="D15" s="123">
        <f>D10-D12-D13-D14</f>
        <v>-7447866</v>
      </c>
      <c r="E15" s="123">
        <f t="shared" ref="E15:H15" si="0">E10-E12-E13-E14</f>
        <v>-12391455.231566682</v>
      </c>
      <c r="F15" s="123">
        <f t="shared" si="0"/>
        <v>119780368.49948165</v>
      </c>
      <c r="G15" s="123">
        <f t="shared" si="0"/>
        <v>334028465.49799645</v>
      </c>
      <c r="H15" s="124">
        <f t="shared" si="0"/>
        <v>648376496.19369769</v>
      </c>
    </row>
    <row r="16" spans="2:8" ht="15" thickBot="1">
      <c r="B16" s="128" t="s">
        <v>154</v>
      </c>
      <c r="C16" s="183"/>
      <c r="D16" s="180">
        <f>1/(1+$D$5)^D9</f>
        <v>0.83268403646862943</v>
      </c>
      <c r="E16" s="180">
        <f>1/(1+$D$5)^E9</f>
        <v>0.69336270458968974</v>
      </c>
      <c r="F16" s="180">
        <f>1/(1+$D$5)^F9</f>
        <v>0.57735205559454872</v>
      </c>
      <c r="G16" s="180">
        <f>1/(1+$D$5)^G9</f>
        <v>0.48075184011592936</v>
      </c>
      <c r="H16" s="181">
        <f>1/(1+$D$5)^H9</f>
        <v>0.40031438276745324</v>
      </c>
    </row>
    <row r="17" spans="2:8" ht="14.5">
      <c r="B17" s="125" t="s">
        <v>153</v>
      </c>
      <c r="C17" s="184"/>
      <c r="D17" s="126">
        <f>D15*D16</f>
        <v>-6201719.1239574654</v>
      </c>
      <c r="E17" s="126">
        <f>E15*E16</f>
        <v>-8591772.9131611343</v>
      </c>
      <c r="F17" s="126">
        <f>F15*F16</f>
        <v>69155441.973048255</v>
      </c>
      <c r="G17" s="126">
        <f>G15*G16</f>
        <v>160584799.439262</v>
      </c>
      <c r="H17" s="127">
        <f>H15*H16</f>
        <v>259554436.87470409</v>
      </c>
    </row>
    <row r="18" spans="2:8" ht="14.5">
      <c r="B18" s="185" t="s">
        <v>212</v>
      </c>
      <c r="C18" s="190">
        <f>XNPV(D5,D17:H17,D9:H9)</f>
        <v>473674361.86107904</v>
      </c>
      <c r="D18" s="191"/>
      <c r="E18" s="191"/>
      <c r="F18" s="191"/>
      <c r="G18" s="191"/>
      <c r="H18" s="192"/>
    </row>
    <row r="19" spans="2:8" ht="14.5">
      <c r="B19" s="179" t="s">
        <v>211</v>
      </c>
      <c r="C19" s="186"/>
      <c r="D19" s="126"/>
      <c r="E19" s="126"/>
      <c r="F19" s="126"/>
      <c r="G19" s="126"/>
      <c r="H19" s="193">
        <f>H15*(1+D5)*(D5-D6)</f>
        <v>148673717.1315341</v>
      </c>
    </row>
    <row r="20" spans="2:8" ht="14.5">
      <c r="B20" s="179" t="s">
        <v>213</v>
      </c>
      <c r="C20" s="186">
        <f>H19*H16</f>
        <v>59516227.307253011</v>
      </c>
      <c r="D20" s="126"/>
      <c r="E20" s="126"/>
      <c r="F20" s="126"/>
      <c r="G20" s="126"/>
      <c r="H20" s="193"/>
    </row>
    <row r="21" spans="2:8" ht="15" thickBot="1">
      <c r="B21" s="194" t="s">
        <v>214</v>
      </c>
      <c r="C21" s="195">
        <f>C18+C20</f>
        <v>533190589.16833204</v>
      </c>
      <c r="D21" s="196">
        <f>[1]Summary!$C$18*'[1]P&amp;L'!D41</f>
        <v>0</v>
      </c>
      <c r="E21" s="196">
        <f>[1]Summary!$C$18*'[1]P&amp;L'!E41</f>
        <v>0</v>
      </c>
      <c r="F21" s="196">
        <f>[1]Summary!$C$18*'[1]P&amp;L'!F41</f>
        <v>0</v>
      </c>
      <c r="G21" s="196">
        <f>[1]Summary!$C$18*'[1]P&amp;L'!G41</f>
        <v>0</v>
      </c>
      <c r="H21" s="197">
        <f>[1]Summary!$C$18*'[1]P&amp;L'!H41</f>
        <v>0</v>
      </c>
    </row>
    <row r="22" spans="2:8" ht="13">
      <c r="B22" s="198" t="s">
        <v>215</v>
      </c>
      <c r="C22" s="199">
        <f>C21/10000000</f>
        <v>53.319058916833207</v>
      </c>
    </row>
    <row r="23" spans="2:8" ht="13">
      <c r="B23" s="1"/>
      <c r="C23" s="1"/>
      <c r="D23" s="100"/>
      <c r="E23" s="100"/>
      <c r="F23" s="100"/>
      <c r="G23" s="100"/>
      <c r="H23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49"/>
  <sheetViews>
    <sheetView showGridLines="0" zoomScaleNormal="100" zoomScaleSheetLayoutView="81" workbookViewId="0">
      <selection activeCell="C8" sqref="C8"/>
    </sheetView>
  </sheetViews>
  <sheetFormatPr defaultColWidth="14.453125" defaultRowHeight="15" customHeight="1"/>
  <cols>
    <col min="1" max="1" width="56.1796875" style="147" bestFit="1" customWidth="1"/>
    <col min="2" max="2" width="10.54296875" style="147" bestFit="1" customWidth="1"/>
    <col min="3" max="3" width="11.26953125" style="147" bestFit="1" customWidth="1"/>
    <col min="4" max="6" width="12.36328125" style="147" bestFit="1" customWidth="1"/>
    <col min="7" max="7" width="16.08984375" style="147" customWidth="1"/>
    <col min="8" max="16384" width="14.453125" style="147"/>
  </cols>
  <sheetData>
    <row r="1" spans="1:8" ht="15.75" customHeight="1">
      <c r="A1" s="146" t="s">
        <v>11</v>
      </c>
    </row>
    <row r="2" spans="1:8" ht="15.75" customHeight="1">
      <c r="A2" s="148" t="s">
        <v>1</v>
      </c>
    </row>
    <row r="3" spans="1:8" ht="15.75" customHeight="1">
      <c r="A3" s="160" t="s">
        <v>201</v>
      </c>
      <c r="B3" s="161" t="s">
        <v>115</v>
      </c>
      <c r="C3" s="161" t="s">
        <v>116</v>
      </c>
      <c r="D3" s="161" t="s">
        <v>117</v>
      </c>
      <c r="E3" s="161" t="s">
        <v>118</v>
      </c>
      <c r="F3" s="162" t="s">
        <v>119</v>
      </c>
    </row>
    <row r="4" spans="1:8" ht="15.75" customHeight="1">
      <c r="A4" s="149" t="s">
        <v>196</v>
      </c>
      <c r="B4" s="152">
        <v>100</v>
      </c>
      <c r="C4" s="152">
        <v>180</v>
      </c>
      <c r="D4" s="152">
        <v>300</v>
      </c>
      <c r="E4" s="152">
        <v>400</v>
      </c>
      <c r="F4" s="163">
        <v>700</v>
      </c>
    </row>
    <row r="5" spans="1:8" ht="15.75" customHeight="1">
      <c r="A5" s="149" t="s">
        <v>199</v>
      </c>
      <c r="B5" s="152"/>
      <c r="C5" s="152">
        <f>C4-B4</f>
        <v>80</v>
      </c>
      <c r="D5" s="152">
        <f t="shared" ref="D5:F5" si="0">D4-C4</f>
        <v>120</v>
      </c>
      <c r="E5" s="152">
        <f t="shared" si="0"/>
        <v>100</v>
      </c>
      <c r="F5" s="163">
        <f t="shared" si="0"/>
        <v>300</v>
      </c>
    </row>
    <row r="6" spans="1:8" ht="15.75" customHeight="1">
      <c r="A6" s="149" t="s">
        <v>195</v>
      </c>
      <c r="B6" s="159">
        <v>60000</v>
      </c>
      <c r="C6" s="159">
        <v>105000</v>
      </c>
      <c r="D6" s="159">
        <v>210000</v>
      </c>
      <c r="E6" s="159">
        <v>420000</v>
      </c>
      <c r="F6" s="164">
        <v>880000</v>
      </c>
    </row>
    <row r="7" spans="1:8" ht="15.75" customHeight="1">
      <c r="A7" s="149" t="s">
        <v>200</v>
      </c>
      <c r="B7" s="159"/>
      <c r="C7" s="152">
        <f>C6-B6</f>
        <v>45000</v>
      </c>
      <c r="D7" s="152">
        <f t="shared" ref="D7" si="1">D6-C6</f>
        <v>105000</v>
      </c>
      <c r="E7" s="152">
        <f t="shared" ref="E7" si="2">E6-D6</f>
        <v>210000</v>
      </c>
      <c r="F7" s="163">
        <f t="shared" ref="F7" si="3">F6-E6</f>
        <v>460000</v>
      </c>
    </row>
    <row r="8" spans="1:8" ht="15.75" customHeight="1">
      <c r="A8" s="149" t="s">
        <v>221</v>
      </c>
      <c r="B8" s="159">
        <v>432</v>
      </c>
      <c r="C8" s="159">
        <f>B8*2</f>
        <v>864</v>
      </c>
      <c r="D8" s="159">
        <f>B8*4</f>
        <v>1728</v>
      </c>
      <c r="E8" s="159">
        <f>B8*6</f>
        <v>2592</v>
      </c>
      <c r="F8" s="164">
        <f>B8*10</f>
        <v>4320</v>
      </c>
    </row>
    <row r="9" spans="1:8" ht="15.75" customHeight="1">
      <c r="A9" s="149" t="s">
        <v>222</v>
      </c>
      <c r="B9" s="159">
        <v>100</v>
      </c>
      <c r="C9" s="159">
        <v>1000</v>
      </c>
      <c r="D9" s="159">
        <v>3000</v>
      </c>
      <c r="E9" s="159">
        <v>6000</v>
      </c>
      <c r="F9" s="164">
        <v>9000</v>
      </c>
      <c r="H9" s="150"/>
    </row>
    <row r="10" spans="1:8" ht="15.75" customHeight="1">
      <c r="A10" s="149" t="s">
        <v>197</v>
      </c>
      <c r="B10" s="171">
        <v>0</v>
      </c>
      <c r="C10" s="171">
        <v>0</v>
      </c>
      <c r="D10" s="159">
        <f>D7*150*50%</f>
        <v>7875000</v>
      </c>
      <c r="E10" s="159">
        <f>E7*150*50%</f>
        <v>15750000</v>
      </c>
      <c r="F10" s="164">
        <f>F7*150*50%</f>
        <v>34500000</v>
      </c>
    </row>
    <row r="11" spans="1:8" ht="15.75" customHeight="1">
      <c r="A11" s="149" t="s">
        <v>186</v>
      </c>
      <c r="B11" s="159">
        <f>B4*35000</f>
        <v>3500000</v>
      </c>
      <c r="C11" s="159">
        <f>C5*35000</f>
        <v>2800000</v>
      </c>
      <c r="D11" s="159">
        <f t="shared" ref="D11:F11" si="4">D5*35000</f>
        <v>4200000</v>
      </c>
      <c r="E11" s="159">
        <f t="shared" si="4"/>
        <v>3500000</v>
      </c>
      <c r="F11" s="159">
        <f t="shared" si="4"/>
        <v>10500000</v>
      </c>
      <c r="H11" s="150"/>
    </row>
    <row r="12" spans="1:8" ht="15.75" customHeight="1">
      <c r="A12" s="149" t="s">
        <v>187</v>
      </c>
      <c r="B12" s="159">
        <f>B9*3000</f>
        <v>300000</v>
      </c>
      <c r="C12" s="159">
        <f>C9*3000</f>
        <v>3000000</v>
      </c>
      <c r="D12" s="159">
        <f>D9*3000</f>
        <v>9000000</v>
      </c>
      <c r="E12" s="159">
        <f>E9*3000</f>
        <v>18000000</v>
      </c>
      <c r="F12" s="164">
        <f>F9*3000</f>
        <v>27000000</v>
      </c>
    </row>
    <row r="13" spans="1:8" ht="15.75" customHeight="1">
      <c r="A13" s="149" t="s">
        <v>188</v>
      </c>
      <c r="B13" s="159">
        <f>B4*10000</f>
        <v>1000000</v>
      </c>
      <c r="C13" s="159">
        <f>C4*10000</f>
        <v>1800000</v>
      </c>
      <c r="D13" s="159">
        <f>D4*10000</f>
        <v>3000000</v>
      </c>
      <c r="E13" s="159">
        <f>E4*10000</f>
        <v>4000000</v>
      </c>
      <c r="F13" s="164">
        <f>F4*10000</f>
        <v>7000000</v>
      </c>
    </row>
    <row r="14" spans="1:8" ht="15.75" customHeight="1">
      <c r="A14" s="149" t="s">
        <v>191</v>
      </c>
      <c r="B14" s="158">
        <f>B8*1%*10000000</f>
        <v>43200000</v>
      </c>
      <c r="C14" s="158">
        <f>C8*0.8%*10000000</f>
        <v>69120000</v>
      </c>
      <c r="D14" s="158">
        <f>D8*0.7%*10000000</f>
        <v>120959999.99999999</v>
      </c>
      <c r="E14" s="158">
        <f t="shared" ref="E14:F14" si="5">E8*0.7%*10000000</f>
        <v>181439999.99999997</v>
      </c>
      <c r="F14" s="158">
        <f t="shared" si="5"/>
        <v>302400000</v>
      </c>
      <c r="G14" s="151"/>
    </row>
    <row r="15" spans="1:8" ht="15.75" customHeight="1">
      <c r="A15" s="165" t="s">
        <v>30</v>
      </c>
      <c r="B15" s="166">
        <f>SUM(B10:B14)</f>
        <v>48000000</v>
      </c>
      <c r="C15" s="166">
        <f t="shared" ref="C15:F15" si="6">SUM(C10:C14)</f>
        <v>76720000</v>
      </c>
      <c r="D15" s="166">
        <f t="shared" si="6"/>
        <v>145035000</v>
      </c>
      <c r="E15" s="166">
        <f t="shared" si="6"/>
        <v>222689999.99999997</v>
      </c>
      <c r="F15" s="166">
        <f t="shared" si="6"/>
        <v>381400000</v>
      </c>
    </row>
    <row r="16" spans="1:8" ht="15.5" customHeight="1">
      <c r="A16" s="168"/>
      <c r="B16" s="169"/>
      <c r="C16" s="169"/>
      <c r="D16" s="169"/>
      <c r="E16" s="169"/>
      <c r="F16" s="170"/>
    </row>
    <row r="17" spans="1:9" ht="15.75" customHeight="1">
      <c r="A17" s="160" t="s">
        <v>202</v>
      </c>
      <c r="B17" s="161" t="s">
        <v>115</v>
      </c>
      <c r="C17" s="161" t="s">
        <v>116</v>
      </c>
      <c r="D17" s="161" t="s">
        <v>117</v>
      </c>
      <c r="E17" s="161" t="s">
        <v>118</v>
      </c>
      <c r="F17" s="162" t="s">
        <v>119</v>
      </c>
    </row>
    <row r="18" spans="1:9" ht="15.75" customHeight="1">
      <c r="A18" s="149" t="s">
        <v>195</v>
      </c>
      <c r="B18" s="171">
        <v>0</v>
      </c>
      <c r="C18" s="159">
        <f>300*12</f>
        <v>3600</v>
      </c>
      <c r="D18" s="159">
        <f>900*12</f>
        <v>10800</v>
      </c>
      <c r="E18" s="159">
        <f>1500*12</f>
        <v>18000</v>
      </c>
      <c r="F18" s="164">
        <f>2000*12</f>
        <v>24000</v>
      </c>
    </row>
    <row r="19" spans="1:9" ht="15.75" customHeight="1">
      <c r="A19" s="149" t="s">
        <v>198</v>
      </c>
      <c r="B19" s="171"/>
      <c r="C19" s="159"/>
      <c r="D19" s="159">
        <f>D18-C18</f>
        <v>7200</v>
      </c>
      <c r="E19" s="159">
        <f t="shared" ref="E19:F19" si="7">E18-D18</f>
        <v>7200</v>
      </c>
      <c r="F19" s="164">
        <f t="shared" si="7"/>
        <v>6000</v>
      </c>
    </row>
    <row r="20" spans="1:9" ht="15.75" customHeight="1">
      <c r="A20" s="149" t="s">
        <v>221</v>
      </c>
      <c r="B20" s="171">
        <v>0</v>
      </c>
      <c r="C20" s="159">
        <f>C18/70</f>
        <v>51.428571428571431</v>
      </c>
      <c r="D20" s="159">
        <f>D18/80</f>
        <v>135</v>
      </c>
      <c r="E20" s="159">
        <f>E18/60</f>
        <v>300</v>
      </c>
      <c r="F20" s="164">
        <f>F18/50</f>
        <v>480</v>
      </c>
    </row>
    <row r="21" spans="1:9" ht="15.75" customHeight="1">
      <c r="A21" s="149" t="s">
        <v>194</v>
      </c>
      <c r="B21" s="171">
        <v>0</v>
      </c>
      <c r="C21" s="159">
        <f>C18*200</f>
        <v>720000</v>
      </c>
      <c r="D21" s="159">
        <f>D19*200</f>
        <v>1440000</v>
      </c>
      <c r="E21" s="159">
        <f>E19*200</f>
        <v>1440000</v>
      </c>
      <c r="F21" s="164">
        <f>F19*200</f>
        <v>1200000</v>
      </c>
    </row>
    <row r="22" spans="1:9" ht="15.75" customHeight="1">
      <c r="A22" s="149" t="s">
        <v>186</v>
      </c>
      <c r="B22" s="171">
        <v>0</v>
      </c>
      <c r="C22" s="159">
        <f>C18*10000</f>
        <v>36000000</v>
      </c>
      <c r="D22" s="159">
        <f>D18*10000</f>
        <v>108000000</v>
      </c>
      <c r="E22" s="159">
        <f>E18*10000</f>
        <v>180000000</v>
      </c>
      <c r="F22" s="164">
        <f>F18*10000</f>
        <v>240000000</v>
      </c>
      <c r="H22" s="153"/>
    </row>
    <row r="23" spans="1:9" ht="15.75" customHeight="1">
      <c r="A23" s="149" t="s">
        <v>188</v>
      </c>
      <c r="B23" s="171">
        <v>0</v>
      </c>
      <c r="C23" s="172">
        <f>C18*5000</f>
        <v>18000000</v>
      </c>
      <c r="D23" s="172">
        <f>D18*5000</f>
        <v>54000000</v>
      </c>
      <c r="E23" s="172">
        <f>E18*5000</f>
        <v>90000000</v>
      </c>
      <c r="F23" s="173">
        <f>F18*5000</f>
        <v>120000000</v>
      </c>
    </row>
    <row r="24" spans="1:9" ht="15.75" customHeight="1">
      <c r="A24" s="149" t="s">
        <v>192</v>
      </c>
      <c r="B24" s="171">
        <v>0</v>
      </c>
      <c r="C24" s="172">
        <f>C20*0.25%*10000000</f>
        <v>1285714.2857142859</v>
      </c>
      <c r="D24" s="172">
        <f>D20*0.25%*10000000</f>
        <v>3375000</v>
      </c>
      <c r="E24" s="172">
        <f>E20*0.25%*10000000</f>
        <v>7500000</v>
      </c>
      <c r="F24" s="173">
        <f>F20*0.25%*10000000</f>
        <v>12000000</v>
      </c>
      <c r="G24" s="154"/>
      <c r="H24" s="155"/>
    </row>
    <row r="25" spans="1:9" ht="15.75" customHeight="1">
      <c r="A25" s="149" t="s">
        <v>203</v>
      </c>
      <c r="B25" s="171"/>
      <c r="C25" s="172">
        <f>C18*1200</f>
        <v>4320000</v>
      </c>
      <c r="D25" s="172">
        <f>D18*1200</f>
        <v>12960000</v>
      </c>
      <c r="E25" s="172">
        <f>E18*1200</f>
        <v>21600000</v>
      </c>
      <c r="F25" s="173">
        <f>F18*1200</f>
        <v>28800000</v>
      </c>
      <c r="G25" s="154"/>
      <c r="H25" s="155"/>
    </row>
    <row r="26" spans="1:9" ht="15.75" customHeight="1">
      <c r="A26" s="174"/>
      <c r="B26" s="166"/>
      <c r="C26" s="166">
        <f>SUM(C21:C25)</f>
        <v>60325714.285714284</v>
      </c>
      <c r="D26" s="166">
        <f t="shared" ref="D26:F26" si="8">SUM(D21:D25)</f>
        <v>179775000</v>
      </c>
      <c r="E26" s="166">
        <f t="shared" si="8"/>
        <v>300540000</v>
      </c>
      <c r="F26" s="166">
        <f t="shared" si="8"/>
        <v>402000000</v>
      </c>
    </row>
    <row r="27" spans="1:9" ht="15.75" customHeight="1">
      <c r="A27" s="168"/>
      <c r="B27" s="169"/>
      <c r="C27" s="169"/>
      <c r="D27" s="169"/>
      <c r="E27" s="169"/>
      <c r="F27" s="170"/>
    </row>
    <row r="28" spans="1:9" ht="15.75" customHeight="1">
      <c r="A28" s="160" t="s">
        <v>189</v>
      </c>
      <c r="B28" s="161" t="s">
        <v>115</v>
      </c>
      <c r="C28" s="161" t="s">
        <v>116</v>
      </c>
      <c r="D28" s="161" t="s">
        <v>117</v>
      </c>
      <c r="E28" s="161" t="s">
        <v>118</v>
      </c>
      <c r="F28" s="162" t="s">
        <v>119</v>
      </c>
    </row>
    <row r="29" spans="1:9" ht="15.75" customHeight="1">
      <c r="A29" s="149" t="s">
        <v>205</v>
      </c>
      <c r="B29" s="177">
        <v>0</v>
      </c>
      <c r="C29" s="172">
        <v>3000</v>
      </c>
      <c r="D29" s="172">
        <v>4000</v>
      </c>
      <c r="E29" s="172">
        <v>12000</v>
      </c>
      <c r="F29" s="173">
        <v>18000</v>
      </c>
    </row>
    <row r="30" spans="1:9" ht="15.75" customHeight="1">
      <c r="A30" s="149" t="s">
        <v>206</v>
      </c>
      <c r="B30" s="177">
        <v>0</v>
      </c>
      <c r="C30" s="172">
        <f>1000</f>
        <v>1000</v>
      </c>
      <c r="D30" s="172">
        <v>1200</v>
      </c>
      <c r="E30" s="172">
        <f>1800</f>
        <v>1800</v>
      </c>
      <c r="F30" s="173">
        <v>2200</v>
      </c>
    </row>
    <row r="31" spans="1:9" ht="15.75" customHeight="1">
      <c r="A31" s="149" t="s">
        <v>30</v>
      </c>
      <c r="B31" s="177"/>
      <c r="C31" s="172">
        <f>C29*C30</f>
        <v>3000000</v>
      </c>
      <c r="D31" s="172">
        <f t="shared" ref="D31:F31" si="9">D29*D30</f>
        <v>4800000</v>
      </c>
      <c r="E31" s="172">
        <f t="shared" si="9"/>
        <v>21600000</v>
      </c>
      <c r="F31" s="173">
        <f t="shared" si="9"/>
        <v>39600000</v>
      </c>
      <c r="I31" s="178"/>
    </row>
    <row r="32" spans="1:9" ht="15.75" customHeight="1">
      <c r="A32" s="149" t="s">
        <v>207</v>
      </c>
      <c r="B32" s="177">
        <v>0</v>
      </c>
      <c r="C32" s="172">
        <f>C31*1%</f>
        <v>30000</v>
      </c>
      <c r="D32" s="172">
        <f t="shared" ref="D32:F32" si="10">D31*1%</f>
        <v>48000</v>
      </c>
      <c r="E32" s="172">
        <f t="shared" si="10"/>
        <v>216000</v>
      </c>
      <c r="F32" s="173">
        <f t="shared" si="10"/>
        <v>396000</v>
      </c>
    </row>
    <row r="33" spans="1:8" ht="15.75" customHeight="1">
      <c r="A33" s="149" t="s">
        <v>208</v>
      </c>
      <c r="B33" s="177">
        <v>0</v>
      </c>
      <c r="C33" s="172">
        <f>C32*50%</f>
        <v>15000</v>
      </c>
      <c r="D33" s="172">
        <f t="shared" ref="D33:F33" si="11">D32*50%</f>
        <v>24000</v>
      </c>
      <c r="E33" s="172">
        <f t="shared" si="11"/>
        <v>108000</v>
      </c>
      <c r="F33" s="173">
        <f t="shared" si="11"/>
        <v>198000</v>
      </c>
      <c r="G33" s="154"/>
      <c r="H33" s="155"/>
    </row>
    <row r="34" spans="1:8" ht="15.75" customHeight="1">
      <c r="A34" s="149" t="s">
        <v>209</v>
      </c>
      <c r="B34" s="177">
        <v>0</v>
      </c>
      <c r="C34" s="172">
        <f>C31*9.5</f>
        <v>28500000</v>
      </c>
      <c r="D34" s="172">
        <f t="shared" ref="D34:F34" si="12">D31*9.5</f>
        <v>45600000</v>
      </c>
      <c r="E34" s="172">
        <f t="shared" si="12"/>
        <v>205200000</v>
      </c>
      <c r="F34" s="172">
        <f t="shared" si="12"/>
        <v>376200000</v>
      </c>
    </row>
    <row r="35" spans="1:8" ht="15.75" customHeight="1">
      <c r="A35" s="174"/>
      <c r="B35" s="166"/>
      <c r="C35" s="166">
        <f>SUM(C33:C34)</f>
        <v>28515000</v>
      </c>
      <c r="D35" s="166">
        <f t="shared" ref="D35:F35" si="13">SUM(D33:D34)</f>
        <v>45624000</v>
      </c>
      <c r="E35" s="166">
        <f t="shared" si="13"/>
        <v>205308000</v>
      </c>
      <c r="F35" s="166">
        <f t="shared" si="13"/>
        <v>376398000</v>
      </c>
    </row>
    <row r="36" spans="1:8" ht="15.75" customHeight="1">
      <c r="A36" s="168"/>
      <c r="B36" s="169"/>
      <c r="C36" s="169"/>
      <c r="D36" s="169"/>
      <c r="E36" s="169"/>
      <c r="F36" s="170"/>
      <c r="H36" s="151"/>
    </row>
    <row r="37" spans="1:8" ht="15.75" customHeight="1">
      <c r="A37" s="168"/>
      <c r="B37" s="169"/>
      <c r="C37" s="169"/>
      <c r="D37" s="169"/>
      <c r="E37" s="169"/>
      <c r="F37" s="170"/>
    </row>
    <row r="38" spans="1:8" ht="15.75" customHeight="1">
      <c r="A38" s="160" t="s">
        <v>190</v>
      </c>
      <c r="B38" s="161" t="s">
        <v>115</v>
      </c>
      <c r="C38" s="161" t="s">
        <v>116</v>
      </c>
      <c r="D38" s="161" t="s">
        <v>117</v>
      </c>
      <c r="E38" s="161" t="s">
        <v>118</v>
      </c>
      <c r="F38" s="162" t="s">
        <v>119</v>
      </c>
    </row>
    <row r="39" spans="1:8" ht="15.75" customHeight="1">
      <c r="A39" s="156" t="s">
        <v>204</v>
      </c>
      <c r="B39" s="159">
        <v>70000000</v>
      </c>
      <c r="C39" s="159">
        <v>1000000000</v>
      </c>
      <c r="D39" s="159">
        <v>1200000000</v>
      </c>
      <c r="E39" s="159">
        <v>2500000000</v>
      </c>
      <c r="F39" s="164">
        <v>3500000000</v>
      </c>
    </row>
    <row r="40" spans="1:8" ht="15.75" customHeight="1">
      <c r="A40" s="156" t="s">
        <v>223</v>
      </c>
      <c r="B40" s="239">
        <v>5000000</v>
      </c>
      <c r="C40" s="239">
        <v>7000000</v>
      </c>
      <c r="D40" s="239">
        <v>12000000</v>
      </c>
      <c r="E40" s="239">
        <f>B40*5</f>
        <v>25000000</v>
      </c>
      <c r="F40" s="240">
        <f>B40*7</f>
        <v>35000000</v>
      </c>
    </row>
    <row r="41" spans="1:8" ht="15.75" customHeight="1">
      <c r="A41" s="156" t="s">
        <v>225</v>
      </c>
      <c r="B41" s="239">
        <f>B40*30%</f>
        <v>1500000</v>
      </c>
      <c r="C41" s="239">
        <f>C40*30%</f>
        <v>2100000</v>
      </c>
      <c r="D41" s="239">
        <f>D40*30%</f>
        <v>3600000</v>
      </c>
      <c r="E41" s="239">
        <f>E40*30%</f>
        <v>7500000</v>
      </c>
      <c r="F41" s="240">
        <f>F40*40%</f>
        <v>14000000</v>
      </c>
    </row>
    <row r="42" spans="1:8" ht="15.75" customHeight="1">
      <c r="A42" s="156" t="s">
        <v>224</v>
      </c>
      <c r="B42" s="159">
        <f>B39*1%</f>
        <v>700000</v>
      </c>
      <c r="C42" s="159">
        <f>C39*1%</f>
        <v>10000000</v>
      </c>
      <c r="D42" s="159">
        <f>D39*1%</f>
        <v>12000000</v>
      </c>
      <c r="E42" s="159">
        <f>E39*1%</f>
        <v>25000000</v>
      </c>
      <c r="F42" s="164">
        <f>F39*1.5%</f>
        <v>52500000</v>
      </c>
    </row>
    <row r="43" spans="1:8" ht="15.75" customHeight="1">
      <c r="A43" s="174"/>
      <c r="B43" s="166">
        <f>SUM(B41:B42)</f>
        <v>2200000</v>
      </c>
      <c r="C43" s="166">
        <f t="shared" ref="C43:F43" si="14">SUM(C41:C42)</f>
        <v>12100000</v>
      </c>
      <c r="D43" s="166">
        <f t="shared" si="14"/>
        <v>15600000</v>
      </c>
      <c r="E43" s="166">
        <f t="shared" si="14"/>
        <v>32500000</v>
      </c>
      <c r="F43" s="167">
        <f t="shared" si="14"/>
        <v>66500000</v>
      </c>
    </row>
    <row r="44" spans="1:8" ht="15.75" customHeight="1">
      <c r="A44" s="168"/>
      <c r="B44" s="169"/>
      <c r="C44" s="169"/>
      <c r="D44" s="169"/>
      <c r="E44" s="169"/>
      <c r="F44" s="170"/>
    </row>
    <row r="45" spans="1:8" ht="15.75" customHeight="1">
      <c r="A45" s="160" t="s">
        <v>193</v>
      </c>
      <c r="B45" s="161" t="s">
        <v>115</v>
      </c>
      <c r="C45" s="161" t="s">
        <v>116</v>
      </c>
      <c r="D45" s="161" t="s">
        <v>117</v>
      </c>
      <c r="E45" s="161" t="s">
        <v>118</v>
      </c>
      <c r="F45" s="162" t="s">
        <v>119</v>
      </c>
    </row>
    <row r="46" spans="1:8" ht="15.75" customHeight="1">
      <c r="A46" s="149" t="s">
        <v>193</v>
      </c>
      <c r="B46" s="172">
        <f>(B15+B26+B35+B43)*2%</f>
        <v>1004000</v>
      </c>
      <c r="C46" s="172">
        <f>(C15+C26+C35+C43)*1.5%</f>
        <v>2664910.7142857141</v>
      </c>
      <c r="D46" s="172">
        <f>(D15+D26+D35+D43)*3%</f>
        <v>11581020</v>
      </c>
      <c r="E46" s="172">
        <f>(E15+E26+E35+E43)*3.5%</f>
        <v>26636330.000000004</v>
      </c>
      <c r="F46" s="173">
        <f>(F15+F26+F35+F43)*5%</f>
        <v>61314900</v>
      </c>
      <c r="H46" s="155"/>
    </row>
    <row r="47" spans="1:8" ht="15.75" customHeight="1">
      <c r="A47" s="174"/>
      <c r="B47" s="176">
        <f>SUM(B46)</f>
        <v>1004000</v>
      </c>
      <c r="C47" s="176">
        <f t="shared" ref="C47:F47" si="15">SUM(C46)</f>
        <v>2664910.7142857141</v>
      </c>
      <c r="D47" s="176">
        <f t="shared" si="15"/>
        <v>11581020</v>
      </c>
      <c r="E47" s="176">
        <f t="shared" si="15"/>
        <v>26636330.000000004</v>
      </c>
      <c r="F47" s="241">
        <f t="shared" si="15"/>
        <v>61314900</v>
      </c>
      <c r="H47" s="155"/>
    </row>
    <row r="48" spans="1:8" ht="15.75" customHeight="1">
      <c r="A48" s="168"/>
      <c r="B48" s="169"/>
      <c r="C48" s="169"/>
      <c r="D48" s="169"/>
      <c r="E48" s="169"/>
      <c r="F48" s="170"/>
    </row>
    <row r="49" spans="1:6" ht="15.75" customHeight="1">
      <c r="A49" s="175" t="s">
        <v>12</v>
      </c>
      <c r="B49" s="157">
        <f>B15+B26+B35+B43+B47</f>
        <v>51204000</v>
      </c>
      <c r="C49" s="157">
        <f>C15+C26+C35+C43+C47</f>
        <v>180325624.99999997</v>
      </c>
      <c r="D49" s="157">
        <f>D15+D26+D35+D43+D47</f>
        <v>397615020</v>
      </c>
      <c r="E49" s="157">
        <f>E15+E26+E35+E43+E47</f>
        <v>787674330</v>
      </c>
      <c r="F49" s="242">
        <f>F15+F26+F35+F43+F47</f>
        <v>1287612900</v>
      </c>
    </row>
    <row r="50" spans="1:6" ht="15.75" customHeight="1">
      <c r="A50" s="151"/>
    </row>
    <row r="51" spans="1:6" ht="15.75" customHeight="1">
      <c r="A51" s="151"/>
    </row>
    <row r="52" spans="1:6" ht="15.75" customHeight="1">
      <c r="A52" s="151"/>
    </row>
    <row r="53" spans="1:6" ht="15.75" customHeight="1">
      <c r="A53" s="151"/>
    </row>
    <row r="54" spans="1:6" ht="15.75" customHeight="1">
      <c r="A54" s="151"/>
    </row>
    <row r="55" spans="1:6" ht="15.75" customHeight="1">
      <c r="A55" s="151"/>
    </row>
    <row r="56" spans="1:6" ht="15.75" customHeight="1">
      <c r="A56" s="151"/>
    </row>
    <row r="57" spans="1:6" ht="15.75" customHeight="1">
      <c r="A57" s="151"/>
    </row>
    <row r="58" spans="1:6" ht="15.75" customHeight="1">
      <c r="A58" s="151"/>
    </row>
    <row r="59" spans="1:6" ht="15.75" customHeight="1">
      <c r="A59" s="151"/>
    </row>
    <row r="60" spans="1:6" ht="15.75" customHeight="1">
      <c r="A60" s="151"/>
    </row>
    <row r="61" spans="1:6" ht="15.75" customHeight="1">
      <c r="A61" s="151"/>
    </row>
    <row r="62" spans="1:6" ht="15.75" customHeight="1">
      <c r="A62" s="151"/>
    </row>
    <row r="63" spans="1:6" ht="15.75" customHeight="1">
      <c r="A63" s="151"/>
    </row>
    <row r="64" spans="1:6" ht="15.75" customHeight="1">
      <c r="A64" s="151"/>
    </row>
    <row r="65" spans="1:1" ht="15.75" customHeight="1">
      <c r="A65" s="151"/>
    </row>
    <row r="66" spans="1:1" ht="15.75" customHeight="1">
      <c r="A66" s="151"/>
    </row>
    <row r="67" spans="1:1" ht="15.75" customHeight="1">
      <c r="A67" s="151"/>
    </row>
    <row r="68" spans="1:1" ht="15.75" customHeight="1">
      <c r="A68" s="151"/>
    </row>
    <row r="69" spans="1:1" ht="15.75" customHeight="1">
      <c r="A69" s="151"/>
    </row>
    <row r="70" spans="1:1" ht="15.75" customHeight="1">
      <c r="A70" s="151"/>
    </row>
    <row r="71" spans="1:1" ht="15.75" customHeight="1">
      <c r="A71" s="151"/>
    </row>
    <row r="72" spans="1:1" ht="15.75" customHeight="1">
      <c r="A72" s="151"/>
    </row>
    <row r="73" spans="1:1" ht="15.75" customHeight="1">
      <c r="A73" s="151"/>
    </row>
    <row r="74" spans="1:1" ht="15.75" customHeight="1">
      <c r="A74" s="151"/>
    </row>
    <row r="75" spans="1:1" ht="15.75" customHeight="1">
      <c r="A75" s="151"/>
    </row>
    <row r="76" spans="1:1" ht="15.75" customHeight="1">
      <c r="A76" s="151"/>
    </row>
    <row r="77" spans="1:1" ht="15.75" customHeight="1">
      <c r="A77" s="151"/>
    </row>
    <row r="78" spans="1:1" ht="15.75" customHeight="1">
      <c r="A78" s="151"/>
    </row>
    <row r="79" spans="1:1" ht="15.75" customHeight="1">
      <c r="A79" s="151"/>
    </row>
    <row r="80" spans="1:1" ht="15.75" customHeight="1">
      <c r="A80" s="151"/>
    </row>
    <row r="81" spans="1:1" ht="15.75" customHeight="1">
      <c r="A81" s="151"/>
    </row>
    <row r="82" spans="1:1" ht="15.75" customHeight="1">
      <c r="A82" s="151"/>
    </row>
    <row r="83" spans="1:1" ht="15.75" customHeight="1">
      <c r="A83" s="151"/>
    </row>
    <row r="84" spans="1:1" ht="15.75" customHeight="1">
      <c r="A84" s="151"/>
    </row>
    <row r="85" spans="1:1" ht="15.75" customHeight="1">
      <c r="A85" s="151"/>
    </row>
    <row r="86" spans="1:1" ht="15.75" customHeight="1">
      <c r="A86" s="151"/>
    </row>
    <row r="87" spans="1:1" ht="15.75" customHeight="1">
      <c r="A87" s="151"/>
    </row>
    <row r="88" spans="1:1" ht="15.75" customHeight="1">
      <c r="A88" s="151"/>
    </row>
    <row r="89" spans="1:1" ht="15.75" customHeight="1">
      <c r="A89" s="151"/>
    </row>
    <row r="90" spans="1:1" ht="15.75" customHeight="1">
      <c r="A90" s="151"/>
    </row>
    <row r="91" spans="1:1" ht="15.75" customHeight="1">
      <c r="A91" s="151"/>
    </row>
    <row r="92" spans="1:1" ht="15.75" customHeight="1">
      <c r="A92" s="151"/>
    </row>
    <row r="93" spans="1:1" ht="15.75" customHeight="1">
      <c r="A93" s="151"/>
    </row>
    <row r="94" spans="1:1" ht="15.75" customHeight="1">
      <c r="A94" s="151"/>
    </row>
    <row r="95" spans="1:1" ht="15.75" customHeight="1">
      <c r="A95" s="151"/>
    </row>
    <row r="96" spans="1:1" ht="15.75" customHeight="1">
      <c r="A96" s="151"/>
    </row>
    <row r="97" spans="1:1" ht="15.75" customHeight="1">
      <c r="A97" s="151"/>
    </row>
    <row r="98" spans="1:1" ht="15.75" customHeight="1">
      <c r="A98" s="151"/>
    </row>
    <row r="99" spans="1:1" ht="15.75" customHeight="1">
      <c r="A99" s="151"/>
    </row>
    <row r="100" spans="1:1" ht="15.75" customHeight="1">
      <c r="A100" s="151"/>
    </row>
    <row r="101" spans="1:1" ht="15.75" customHeight="1">
      <c r="A101" s="151"/>
    </row>
    <row r="102" spans="1:1" ht="15.75" customHeight="1">
      <c r="A102" s="151"/>
    </row>
    <row r="103" spans="1:1" ht="15.75" customHeight="1">
      <c r="A103" s="151"/>
    </row>
    <row r="104" spans="1:1" ht="15.75" customHeight="1">
      <c r="A104" s="151"/>
    </row>
    <row r="105" spans="1:1" ht="15.75" customHeight="1">
      <c r="A105" s="151"/>
    </row>
    <row r="106" spans="1:1" ht="15.75" customHeight="1">
      <c r="A106" s="151"/>
    </row>
    <row r="107" spans="1:1" ht="15.75" customHeight="1">
      <c r="A107" s="151"/>
    </row>
    <row r="108" spans="1:1" ht="15.75" customHeight="1">
      <c r="A108" s="151"/>
    </row>
    <row r="109" spans="1:1" ht="15.75" customHeight="1">
      <c r="A109" s="151"/>
    </row>
    <row r="110" spans="1:1" ht="15.75" customHeight="1">
      <c r="A110" s="151"/>
    </row>
    <row r="111" spans="1:1" ht="15.75" customHeight="1">
      <c r="A111" s="151"/>
    </row>
    <row r="112" spans="1:1" ht="15.75" customHeight="1">
      <c r="A112" s="151"/>
    </row>
    <row r="113" spans="1:1" ht="15.75" customHeight="1">
      <c r="A113" s="151"/>
    </row>
    <row r="114" spans="1:1" ht="15.75" customHeight="1">
      <c r="A114" s="151"/>
    </row>
    <row r="115" spans="1:1" ht="15.75" customHeight="1">
      <c r="A115" s="151"/>
    </row>
    <row r="116" spans="1:1" ht="15.75" customHeight="1">
      <c r="A116" s="151"/>
    </row>
    <row r="117" spans="1:1" ht="15.75" customHeight="1">
      <c r="A117" s="151"/>
    </row>
    <row r="118" spans="1:1" ht="15.75" customHeight="1">
      <c r="A118" s="151"/>
    </row>
    <row r="119" spans="1:1" ht="15.75" customHeight="1">
      <c r="A119" s="151"/>
    </row>
    <row r="120" spans="1:1" ht="15.75" customHeight="1">
      <c r="A120" s="151"/>
    </row>
    <row r="121" spans="1:1" ht="15.75" customHeight="1">
      <c r="A121" s="151"/>
    </row>
    <row r="122" spans="1:1" ht="15.75" customHeight="1">
      <c r="A122" s="151"/>
    </row>
    <row r="123" spans="1:1" ht="15.75" customHeight="1">
      <c r="A123" s="151"/>
    </row>
    <row r="124" spans="1:1" ht="15.75" customHeight="1">
      <c r="A124" s="151"/>
    </row>
    <row r="125" spans="1:1" ht="15.75" customHeight="1">
      <c r="A125" s="151"/>
    </row>
    <row r="126" spans="1:1" ht="15.75" customHeight="1">
      <c r="A126" s="151"/>
    </row>
    <row r="127" spans="1:1" ht="15.75" customHeight="1">
      <c r="A127" s="151"/>
    </row>
    <row r="128" spans="1:1" ht="15.75" customHeight="1">
      <c r="A128" s="151"/>
    </row>
    <row r="129" spans="1:1" ht="15.75" customHeight="1">
      <c r="A129" s="151"/>
    </row>
    <row r="130" spans="1:1" ht="15.75" customHeight="1">
      <c r="A130" s="151"/>
    </row>
    <row r="131" spans="1:1" ht="15.75" customHeight="1">
      <c r="A131" s="151"/>
    </row>
    <row r="132" spans="1:1" ht="15.75" customHeight="1">
      <c r="A132" s="151"/>
    </row>
    <row r="133" spans="1:1" ht="15.75" customHeight="1">
      <c r="A133" s="151"/>
    </row>
    <row r="134" spans="1:1" ht="15.75" customHeight="1">
      <c r="A134" s="151"/>
    </row>
    <row r="135" spans="1:1" ht="15.75" customHeight="1">
      <c r="A135" s="151"/>
    </row>
    <row r="136" spans="1:1" ht="15.75" customHeight="1">
      <c r="A136" s="151"/>
    </row>
    <row r="137" spans="1:1" ht="15.75" customHeight="1">
      <c r="A137" s="151"/>
    </row>
    <row r="138" spans="1:1" ht="15.75" customHeight="1">
      <c r="A138" s="151"/>
    </row>
    <row r="139" spans="1:1" ht="15.75" customHeight="1">
      <c r="A139" s="151"/>
    </row>
    <row r="140" spans="1:1" ht="15.75" customHeight="1">
      <c r="A140" s="151"/>
    </row>
    <row r="141" spans="1:1" ht="15.75" customHeight="1">
      <c r="A141" s="151"/>
    </row>
    <row r="142" spans="1:1" ht="15.75" customHeight="1">
      <c r="A142" s="151"/>
    </row>
    <row r="143" spans="1:1" ht="15.75" customHeight="1">
      <c r="A143" s="151"/>
    </row>
    <row r="144" spans="1:1" ht="15.75" customHeight="1">
      <c r="A144" s="151"/>
    </row>
    <row r="145" spans="1:1" ht="15.75" customHeight="1">
      <c r="A145" s="151"/>
    </row>
    <row r="146" spans="1:1" ht="15.75" customHeight="1">
      <c r="A146" s="151"/>
    </row>
    <row r="147" spans="1:1" ht="15.75" customHeight="1">
      <c r="A147" s="151"/>
    </row>
    <row r="148" spans="1:1" ht="15.75" customHeight="1">
      <c r="A148" s="151"/>
    </row>
    <row r="149" spans="1:1" ht="15.75" customHeight="1">
      <c r="A149" s="151"/>
    </row>
    <row r="150" spans="1:1" ht="15.75" customHeight="1">
      <c r="A150" s="151"/>
    </row>
    <row r="151" spans="1:1" ht="15.75" customHeight="1">
      <c r="A151" s="151"/>
    </row>
    <row r="152" spans="1:1" ht="15.75" customHeight="1">
      <c r="A152" s="151"/>
    </row>
    <row r="153" spans="1:1" ht="15.75" customHeight="1">
      <c r="A153" s="151"/>
    </row>
    <row r="154" spans="1:1" ht="15.75" customHeight="1">
      <c r="A154" s="151"/>
    </row>
    <row r="155" spans="1:1" ht="15.75" customHeight="1">
      <c r="A155" s="151"/>
    </row>
    <row r="156" spans="1:1" ht="15.75" customHeight="1">
      <c r="A156" s="151"/>
    </row>
    <row r="157" spans="1:1" ht="15.75" customHeight="1">
      <c r="A157" s="151"/>
    </row>
    <row r="158" spans="1:1" ht="15.75" customHeight="1">
      <c r="A158" s="151"/>
    </row>
    <row r="159" spans="1:1" ht="15.75" customHeight="1">
      <c r="A159" s="151"/>
    </row>
    <row r="160" spans="1:1" ht="15.75" customHeight="1">
      <c r="A160" s="151"/>
    </row>
    <row r="161" spans="1:1" ht="15.75" customHeight="1">
      <c r="A161" s="151"/>
    </row>
    <row r="162" spans="1:1" ht="15.75" customHeight="1">
      <c r="A162" s="151"/>
    </row>
    <row r="163" spans="1:1" ht="15.75" customHeight="1">
      <c r="A163" s="151"/>
    </row>
    <row r="164" spans="1:1" ht="15.75" customHeight="1">
      <c r="A164" s="151"/>
    </row>
    <row r="165" spans="1:1" ht="15.75" customHeight="1">
      <c r="A165" s="151"/>
    </row>
    <row r="166" spans="1:1" ht="15.75" customHeight="1">
      <c r="A166" s="151"/>
    </row>
    <row r="167" spans="1:1" ht="15.75" customHeight="1">
      <c r="A167" s="151"/>
    </row>
    <row r="168" spans="1:1" ht="15.75" customHeight="1">
      <c r="A168" s="151"/>
    </row>
    <row r="169" spans="1:1" ht="15.75" customHeight="1">
      <c r="A169" s="151"/>
    </row>
    <row r="170" spans="1:1" ht="15.75" customHeight="1">
      <c r="A170" s="151"/>
    </row>
    <row r="171" spans="1:1" ht="15.75" customHeight="1">
      <c r="A171" s="151"/>
    </row>
    <row r="172" spans="1:1" ht="15.75" customHeight="1">
      <c r="A172" s="151"/>
    </row>
    <row r="173" spans="1:1" ht="15.75" customHeight="1">
      <c r="A173" s="151"/>
    </row>
    <row r="174" spans="1:1" ht="15.75" customHeight="1">
      <c r="A174" s="151"/>
    </row>
    <row r="175" spans="1:1" ht="15.75" customHeight="1">
      <c r="A175" s="151"/>
    </row>
    <row r="176" spans="1:1" ht="15.75" customHeight="1">
      <c r="A176" s="151"/>
    </row>
    <row r="177" spans="1:1" ht="15.75" customHeight="1">
      <c r="A177" s="151"/>
    </row>
    <row r="178" spans="1:1" ht="15.75" customHeight="1">
      <c r="A178" s="151"/>
    </row>
    <row r="179" spans="1:1" ht="15.75" customHeight="1">
      <c r="A179" s="151"/>
    </row>
    <row r="180" spans="1:1" ht="15.75" customHeight="1">
      <c r="A180" s="151"/>
    </row>
    <row r="181" spans="1:1" ht="15.75" customHeight="1">
      <c r="A181" s="151"/>
    </row>
    <row r="182" spans="1:1" ht="15.75" customHeight="1">
      <c r="A182" s="151"/>
    </row>
    <row r="183" spans="1:1" ht="15.75" customHeight="1">
      <c r="A183" s="151"/>
    </row>
    <row r="184" spans="1:1" ht="15.75" customHeight="1">
      <c r="A184" s="151"/>
    </row>
    <row r="185" spans="1:1" ht="15.75" customHeight="1">
      <c r="A185" s="151"/>
    </row>
    <row r="186" spans="1:1" ht="15.75" customHeight="1">
      <c r="A186" s="151"/>
    </row>
    <row r="187" spans="1:1" ht="15.75" customHeight="1">
      <c r="A187" s="151"/>
    </row>
    <row r="188" spans="1:1" ht="15.75" customHeight="1">
      <c r="A188" s="151"/>
    </row>
    <row r="189" spans="1:1" ht="15.75" customHeight="1">
      <c r="A189" s="151"/>
    </row>
    <row r="190" spans="1:1" ht="15.75" customHeight="1">
      <c r="A190" s="151"/>
    </row>
    <row r="191" spans="1:1" ht="15.75" customHeight="1">
      <c r="A191" s="151"/>
    </row>
    <row r="192" spans="1:1" ht="15.75" customHeight="1">
      <c r="A192" s="151"/>
    </row>
    <row r="193" spans="1:1" ht="15.75" customHeight="1">
      <c r="A193" s="151"/>
    </row>
    <row r="194" spans="1:1" ht="15.75" customHeight="1">
      <c r="A194" s="151"/>
    </row>
    <row r="195" spans="1:1" ht="15.75" customHeight="1">
      <c r="A195" s="151"/>
    </row>
    <row r="196" spans="1:1" ht="15.75" customHeight="1">
      <c r="A196" s="151"/>
    </row>
    <row r="197" spans="1:1" ht="15.75" customHeight="1">
      <c r="A197" s="151"/>
    </row>
    <row r="198" spans="1:1" ht="15.75" customHeight="1">
      <c r="A198" s="151"/>
    </row>
    <row r="199" spans="1:1" ht="15.75" customHeight="1">
      <c r="A199" s="151"/>
    </row>
    <row r="200" spans="1:1" ht="15.75" customHeight="1">
      <c r="A200" s="151"/>
    </row>
    <row r="201" spans="1:1" ht="15.75" customHeight="1">
      <c r="A201" s="151"/>
    </row>
    <row r="202" spans="1:1" ht="15.75" customHeight="1">
      <c r="A202" s="151"/>
    </row>
    <row r="203" spans="1:1" ht="15.75" customHeight="1">
      <c r="A203" s="151"/>
    </row>
    <row r="204" spans="1:1" ht="15.75" customHeight="1">
      <c r="A204" s="151"/>
    </row>
    <row r="205" spans="1:1" ht="15.75" customHeight="1">
      <c r="A205" s="151"/>
    </row>
    <row r="206" spans="1:1" ht="15.75" customHeight="1">
      <c r="A206" s="151"/>
    </row>
    <row r="207" spans="1:1" ht="15.75" customHeight="1">
      <c r="A207" s="151"/>
    </row>
    <row r="208" spans="1:1" ht="15.75" customHeight="1">
      <c r="A208" s="151"/>
    </row>
    <row r="209" spans="1:1" ht="15.75" customHeight="1">
      <c r="A209" s="151"/>
    </row>
    <row r="210" spans="1:1" ht="15.75" customHeight="1">
      <c r="A210" s="151"/>
    </row>
    <row r="211" spans="1:1" ht="15.75" customHeight="1">
      <c r="A211" s="151"/>
    </row>
    <row r="212" spans="1:1" ht="15.75" customHeight="1">
      <c r="A212" s="151"/>
    </row>
    <row r="213" spans="1:1" ht="15.75" customHeight="1">
      <c r="A213" s="151"/>
    </row>
    <row r="214" spans="1:1" ht="15.75" customHeight="1">
      <c r="A214" s="151"/>
    </row>
    <row r="215" spans="1:1" ht="15.75" customHeight="1">
      <c r="A215" s="151"/>
    </row>
    <row r="216" spans="1:1" ht="15.75" customHeight="1">
      <c r="A216" s="151"/>
    </row>
    <row r="217" spans="1:1" ht="15.75" customHeight="1">
      <c r="A217" s="151"/>
    </row>
    <row r="218" spans="1:1" ht="15.75" customHeight="1">
      <c r="A218" s="151"/>
    </row>
    <row r="219" spans="1:1" ht="15.75" customHeight="1">
      <c r="A219" s="151"/>
    </row>
    <row r="220" spans="1:1" ht="15.75" customHeight="1">
      <c r="A220" s="151"/>
    </row>
    <row r="221" spans="1:1" ht="15.75" customHeight="1">
      <c r="A221" s="151"/>
    </row>
    <row r="222" spans="1:1" ht="15.75" customHeight="1">
      <c r="A222" s="151"/>
    </row>
    <row r="223" spans="1:1" ht="15.75" customHeight="1">
      <c r="A223" s="151"/>
    </row>
    <row r="224" spans="1:1" ht="15.75" customHeight="1">
      <c r="A224" s="151"/>
    </row>
    <row r="225" spans="1:1" ht="15.75" customHeight="1">
      <c r="A225" s="151"/>
    </row>
    <row r="226" spans="1:1" ht="15.75" customHeight="1">
      <c r="A226" s="151"/>
    </row>
    <row r="227" spans="1:1" ht="15.75" customHeight="1">
      <c r="A227" s="151"/>
    </row>
    <row r="228" spans="1:1" ht="15.75" customHeight="1">
      <c r="A228" s="151"/>
    </row>
    <row r="229" spans="1:1" ht="15.75" customHeight="1">
      <c r="A229" s="151"/>
    </row>
    <row r="230" spans="1:1" ht="15.75" customHeight="1">
      <c r="A230" s="151"/>
    </row>
    <row r="231" spans="1:1" ht="15.75" customHeight="1">
      <c r="A231" s="151"/>
    </row>
    <row r="232" spans="1:1" ht="15.75" customHeight="1">
      <c r="A232" s="151"/>
    </row>
    <row r="233" spans="1:1" ht="15.75" customHeight="1">
      <c r="A233" s="151"/>
    </row>
    <row r="234" spans="1:1" ht="15.75" customHeight="1">
      <c r="A234" s="151"/>
    </row>
    <row r="235" spans="1:1" ht="15.75" customHeight="1">
      <c r="A235" s="151"/>
    </row>
    <row r="236" spans="1:1" ht="15.75" customHeight="1">
      <c r="A236" s="151"/>
    </row>
    <row r="237" spans="1:1" ht="15.75" customHeight="1">
      <c r="A237" s="151"/>
    </row>
    <row r="238" spans="1:1" ht="15.75" customHeight="1">
      <c r="A238" s="151"/>
    </row>
    <row r="239" spans="1:1" ht="15.75" customHeight="1">
      <c r="A239" s="151"/>
    </row>
    <row r="240" spans="1:1" ht="15.75" customHeight="1">
      <c r="A240" s="151"/>
    </row>
    <row r="241" spans="1:1" ht="15.75" customHeight="1">
      <c r="A241" s="151"/>
    </row>
    <row r="242" spans="1:1" ht="15.75" customHeight="1">
      <c r="A242" s="151"/>
    </row>
    <row r="243" spans="1:1" ht="15.75" customHeight="1">
      <c r="A243" s="151"/>
    </row>
    <row r="244" spans="1:1" ht="15.75" customHeight="1">
      <c r="A244" s="151"/>
    </row>
    <row r="245" spans="1:1" ht="15.75" customHeight="1">
      <c r="A245" s="151"/>
    </row>
    <row r="246" spans="1:1" ht="15.75" customHeight="1">
      <c r="A246" s="151"/>
    </row>
    <row r="247" spans="1:1" ht="15.75" customHeight="1">
      <c r="A247" s="151"/>
    </row>
    <row r="248" spans="1:1" ht="15.75" customHeight="1">
      <c r="A248" s="151"/>
    </row>
    <row r="249" spans="1:1" ht="15.75" customHeight="1">
      <c r="A249" s="151"/>
    </row>
  </sheetData>
  <pageMargins left="0.7" right="0.7" top="0.75" bottom="0.75" header="0" footer="0"/>
  <pageSetup scale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6"/>
  <sheetViews>
    <sheetView showGridLines="0" zoomScale="98" zoomScaleNormal="98" workbookViewId="0">
      <selection activeCell="D16" sqref="D16"/>
    </sheetView>
  </sheetViews>
  <sheetFormatPr defaultColWidth="14.453125" defaultRowHeight="15" customHeight="1"/>
  <cols>
    <col min="1" max="1" width="24.81640625" bestFit="1" customWidth="1"/>
    <col min="2" max="2" width="27.6328125" bestFit="1" customWidth="1"/>
    <col min="3" max="3" width="11" bestFit="1" customWidth="1"/>
    <col min="4" max="4" width="12.36328125" bestFit="1" customWidth="1"/>
    <col min="5" max="7" width="10.81640625" bestFit="1" customWidth="1"/>
    <col min="8" max="8" width="14.453125" customWidth="1"/>
  </cols>
  <sheetData>
    <row r="1" spans="1:9" ht="21" customHeight="1">
      <c r="A1" s="135" t="s">
        <v>13</v>
      </c>
      <c r="B1" s="136"/>
      <c r="C1" s="137"/>
      <c r="D1" s="137"/>
      <c r="E1" s="137"/>
      <c r="F1" s="137"/>
      <c r="G1" s="138"/>
      <c r="H1" s="1"/>
      <c r="I1" s="1"/>
    </row>
    <row r="2" spans="1:9" ht="15.75" customHeight="1">
      <c r="A2" s="139" t="s">
        <v>1</v>
      </c>
      <c r="B2" s="140"/>
      <c r="C2" s="141"/>
      <c r="D2" s="141"/>
      <c r="E2" s="141"/>
      <c r="F2" s="141"/>
      <c r="G2" s="142"/>
      <c r="H2" s="1"/>
      <c r="I2" s="1"/>
    </row>
    <row r="3" spans="1:9" ht="15.75" customHeight="1">
      <c r="A3" s="207" t="s">
        <v>14</v>
      </c>
      <c r="B3" s="208"/>
      <c r="C3" s="143" t="s">
        <v>115</v>
      </c>
      <c r="D3" s="143" t="s">
        <v>116</v>
      </c>
      <c r="E3" s="143" t="s">
        <v>117</v>
      </c>
      <c r="F3" s="143" t="s">
        <v>118</v>
      </c>
      <c r="G3" s="144" t="s">
        <v>119</v>
      </c>
      <c r="H3" s="1"/>
      <c r="I3" s="1"/>
    </row>
    <row r="4" spans="1:9" ht="15.75" customHeight="1">
      <c r="A4" s="209" t="s">
        <v>24</v>
      </c>
      <c r="B4" s="210"/>
      <c r="C4" s="211">
        <f>C20</f>
        <v>1200000</v>
      </c>
      <c r="D4" s="211">
        <f t="shared" ref="D4:G4" si="0">D20</f>
        <v>1320000</v>
      </c>
      <c r="E4" s="211">
        <f t="shared" si="0"/>
        <v>1440000</v>
      </c>
      <c r="F4" s="211">
        <f t="shared" si="0"/>
        <v>1560000</v>
      </c>
      <c r="G4" s="212">
        <f t="shared" si="0"/>
        <v>1560000</v>
      </c>
      <c r="H4" s="1"/>
      <c r="I4" s="1"/>
    </row>
    <row r="5" spans="1:9" ht="15.75" customHeight="1">
      <c r="A5" s="209" t="s">
        <v>15</v>
      </c>
      <c r="B5" s="210"/>
      <c r="C5" s="211">
        <f>C29</f>
        <v>26081000</v>
      </c>
      <c r="D5" s="211">
        <f t="shared" ref="D5:G5" si="1">D29</f>
        <v>127364166.66666666</v>
      </c>
      <c r="E5" s="211">
        <f t="shared" si="1"/>
        <v>151236000</v>
      </c>
      <c r="F5" s="211">
        <f t="shared" si="1"/>
        <v>203648333.33333331</v>
      </c>
      <c r="G5" s="212">
        <f t="shared" si="1"/>
        <v>241889000</v>
      </c>
      <c r="H5" s="1"/>
      <c r="I5" s="1"/>
    </row>
    <row r="6" spans="1:9" ht="15.75" customHeight="1">
      <c r="A6" s="209" t="s">
        <v>168</v>
      </c>
      <c r="B6" s="210"/>
      <c r="C6" s="211">
        <f>C36</f>
        <v>2086200</v>
      </c>
      <c r="D6" s="211">
        <f t="shared" ref="D6:G6" si="2">D36</f>
        <v>10079640</v>
      </c>
      <c r="E6" s="211">
        <f t="shared" si="2"/>
        <v>12901500</v>
      </c>
      <c r="F6" s="211">
        <f t="shared" si="2"/>
        <v>17348400</v>
      </c>
      <c r="G6" s="212">
        <f t="shared" si="2"/>
        <v>23877000</v>
      </c>
      <c r="H6" s="1"/>
      <c r="I6" s="1"/>
    </row>
    <row r="7" spans="1:9" ht="15.75" customHeight="1">
      <c r="A7" s="213" t="s">
        <v>175</v>
      </c>
      <c r="B7" s="214"/>
      <c r="C7" s="215">
        <f>C39</f>
        <v>1320000</v>
      </c>
      <c r="D7" s="215">
        <f t="shared" ref="D7:G7" si="3">D39</f>
        <v>1452000.0000000002</v>
      </c>
      <c r="E7" s="215">
        <f t="shared" si="3"/>
        <v>1452000.0000000002</v>
      </c>
      <c r="F7" s="215">
        <f t="shared" si="3"/>
        <v>1386000</v>
      </c>
      <c r="G7" s="216">
        <f t="shared" si="3"/>
        <v>1386000</v>
      </c>
      <c r="H7" s="1"/>
      <c r="I7" s="1"/>
    </row>
    <row r="8" spans="1:9" ht="15.75" customHeight="1">
      <c r="A8" s="209" t="s">
        <v>18</v>
      </c>
      <c r="B8" s="210"/>
      <c r="C8" s="211">
        <f>C46</f>
        <v>312860</v>
      </c>
      <c r="D8" s="211">
        <f t="shared" ref="D8:G8" si="4">D46</f>
        <v>957660</v>
      </c>
      <c r="E8" s="211">
        <f t="shared" si="4"/>
        <v>802100</v>
      </c>
      <c r="F8" s="211">
        <f t="shared" si="4"/>
        <v>869620</v>
      </c>
      <c r="G8" s="212">
        <f t="shared" si="4"/>
        <v>801580</v>
      </c>
      <c r="H8" s="1"/>
      <c r="I8" s="1"/>
    </row>
    <row r="9" spans="1:9" ht="15.75" customHeight="1">
      <c r="A9" s="209" t="s">
        <v>183</v>
      </c>
      <c r="B9" s="210"/>
      <c r="C9" s="211">
        <f>C49</f>
        <v>228000</v>
      </c>
      <c r="D9" s="211">
        <f t="shared" ref="D9:G9" si="5">D49</f>
        <v>918000</v>
      </c>
      <c r="E9" s="211">
        <f t="shared" si="5"/>
        <v>1410000</v>
      </c>
      <c r="F9" s="211">
        <f t="shared" si="5"/>
        <v>1896000</v>
      </c>
      <c r="G9" s="212">
        <f t="shared" si="5"/>
        <v>2274000</v>
      </c>
      <c r="H9" s="1"/>
      <c r="I9" s="1"/>
    </row>
    <row r="10" spans="1:9" ht="15.75" customHeight="1">
      <c r="A10" s="209" t="s">
        <v>184</v>
      </c>
      <c r="B10" s="210"/>
      <c r="C10" s="211">
        <f>C52</f>
        <v>480000</v>
      </c>
      <c r="D10" s="211">
        <f t="shared" ref="D10:G10" si="6">D52</f>
        <v>480000</v>
      </c>
      <c r="E10" s="211">
        <f t="shared" si="6"/>
        <v>480000</v>
      </c>
      <c r="F10" s="211">
        <f t="shared" si="6"/>
        <v>528000</v>
      </c>
      <c r="G10" s="212">
        <f t="shared" si="6"/>
        <v>528000</v>
      </c>
      <c r="H10" s="1"/>
      <c r="I10" s="1"/>
    </row>
    <row r="11" spans="1:9" ht="15.75" customHeight="1">
      <c r="A11" s="22" t="s">
        <v>227</v>
      </c>
      <c r="B11" s="210"/>
      <c r="C11" s="211">
        <f>Revenue!B9*2300</f>
        <v>230000</v>
      </c>
      <c r="D11" s="211">
        <f>Revenue!C9*2300</f>
        <v>2300000</v>
      </c>
      <c r="E11" s="211">
        <f>Revenue!D9*2300</f>
        <v>6900000</v>
      </c>
      <c r="F11" s="211">
        <f>Revenue!E9*2300</f>
        <v>13800000</v>
      </c>
      <c r="G11" s="211">
        <f>Revenue!F9*2300</f>
        <v>20700000</v>
      </c>
      <c r="H11" s="1"/>
      <c r="I11" s="1"/>
    </row>
    <row r="12" spans="1:9" ht="15.75" customHeight="1">
      <c r="A12" s="22" t="s">
        <v>226</v>
      </c>
      <c r="B12" s="210"/>
      <c r="C12" s="211">
        <f>20000000</f>
        <v>20000000</v>
      </c>
      <c r="D12" s="211">
        <f>C12*1.5</f>
        <v>30000000</v>
      </c>
      <c r="E12" s="211">
        <f t="shared" ref="E12:F12" si="7">D12*1.5</f>
        <v>45000000</v>
      </c>
      <c r="F12" s="211">
        <f t="shared" si="7"/>
        <v>67500000</v>
      </c>
      <c r="G12" s="211">
        <v>82500000</v>
      </c>
      <c r="H12" s="1"/>
      <c r="I12" s="1"/>
    </row>
    <row r="13" spans="1:9" ht="15.75" customHeight="1">
      <c r="A13" s="217" t="s">
        <v>20</v>
      </c>
      <c r="B13" s="218"/>
      <c r="C13" s="219">
        <f>SUM(C4:C12)</f>
        <v>51938060</v>
      </c>
      <c r="D13" s="219">
        <f t="shared" ref="D13:G13" si="8">SUM(D4:D12)</f>
        <v>174871466.66666666</v>
      </c>
      <c r="E13" s="219">
        <f t="shared" si="8"/>
        <v>221621600</v>
      </c>
      <c r="F13" s="219">
        <f t="shared" si="8"/>
        <v>308536353.33333331</v>
      </c>
      <c r="G13" s="219">
        <f t="shared" si="8"/>
        <v>375515580</v>
      </c>
      <c r="H13" s="1"/>
      <c r="I13" s="1"/>
    </row>
    <row r="14" spans="1:9" ht="15.75" customHeight="1">
      <c r="A14" s="22"/>
      <c r="B14" s="210"/>
      <c r="C14" s="210"/>
      <c r="D14" s="210"/>
      <c r="E14" s="210"/>
      <c r="F14" s="210"/>
      <c r="G14" s="220"/>
      <c r="H14" s="1"/>
      <c r="I14" s="1"/>
    </row>
    <row r="15" spans="1:9" ht="15.75" customHeight="1">
      <c r="A15" s="207" t="s">
        <v>24</v>
      </c>
      <c r="B15" s="143" t="s">
        <v>25</v>
      </c>
      <c r="C15" s="143" t="s">
        <v>115</v>
      </c>
      <c r="D15" s="143" t="s">
        <v>116</v>
      </c>
      <c r="E15" s="143" t="s">
        <v>117</v>
      </c>
      <c r="F15" s="143" t="s">
        <v>118</v>
      </c>
      <c r="G15" s="144" t="s">
        <v>119</v>
      </c>
      <c r="H15" s="1"/>
      <c r="I15" s="1"/>
    </row>
    <row r="16" spans="1:9" ht="15.75" customHeight="1">
      <c r="A16" s="22" t="s">
        <v>26</v>
      </c>
      <c r="B16" s="221">
        <f>25000*12</f>
        <v>300000</v>
      </c>
      <c r="C16" s="211">
        <f>$B$16</f>
        <v>300000</v>
      </c>
      <c r="D16" s="211">
        <f>$B$16*1.1</f>
        <v>330000</v>
      </c>
      <c r="E16" s="211">
        <f>$B$16*1.2</f>
        <v>360000</v>
      </c>
      <c r="F16" s="211">
        <f>$B$16*1.3</f>
        <v>390000</v>
      </c>
      <c r="G16" s="212">
        <f>F16</f>
        <v>390000</v>
      </c>
      <c r="H16" s="1"/>
      <c r="I16" s="1"/>
    </row>
    <row r="17" spans="1:9" ht="15.75" customHeight="1">
      <c r="A17" s="209" t="s">
        <v>164</v>
      </c>
      <c r="B17" s="221">
        <f>20000*12</f>
        <v>240000</v>
      </c>
      <c r="C17" s="211">
        <f t="shared" ref="C17:C19" si="9">$B$16</f>
        <v>300000</v>
      </c>
      <c r="D17" s="211">
        <f>$B$16*1.1</f>
        <v>330000</v>
      </c>
      <c r="E17" s="211">
        <f>$B$16*1.2</f>
        <v>360000</v>
      </c>
      <c r="F17" s="211">
        <f>$B$16*1.3</f>
        <v>390000</v>
      </c>
      <c r="G17" s="212">
        <f>F17</f>
        <v>390000</v>
      </c>
      <c r="H17" s="1"/>
      <c r="I17" s="1"/>
    </row>
    <row r="18" spans="1:9" ht="15.75" customHeight="1">
      <c r="A18" s="209" t="s">
        <v>165</v>
      </c>
      <c r="B18" s="221">
        <f>25000*12</f>
        <v>300000</v>
      </c>
      <c r="C18" s="211">
        <f t="shared" si="9"/>
        <v>300000</v>
      </c>
      <c r="D18" s="211">
        <f>$B$16*1.1</f>
        <v>330000</v>
      </c>
      <c r="E18" s="211">
        <f>$B$16*1.2</f>
        <v>360000</v>
      </c>
      <c r="F18" s="211">
        <f>$B$16*1.3</f>
        <v>390000</v>
      </c>
      <c r="G18" s="212">
        <f>F18</f>
        <v>390000</v>
      </c>
      <c r="H18" s="33"/>
      <c r="I18" s="1"/>
    </row>
    <row r="19" spans="1:9" ht="15.75" customHeight="1">
      <c r="A19" s="209" t="s">
        <v>166</v>
      </c>
      <c r="B19" s="221">
        <f t="shared" ref="B19" si="10">25000*12</f>
        <v>300000</v>
      </c>
      <c r="C19" s="211">
        <f t="shared" si="9"/>
        <v>300000</v>
      </c>
      <c r="D19" s="211">
        <f>$B$16*1.1</f>
        <v>330000</v>
      </c>
      <c r="E19" s="211">
        <f>$B$16*1.2</f>
        <v>360000</v>
      </c>
      <c r="F19" s="211">
        <f>$B$16*1.3</f>
        <v>390000</v>
      </c>
      <c r="G19" s="212">
        <f>F19</f>
        <v>390000</v>
      </c>
      <c r="H19" s="1"/>
      <c r="I19" s="1"/>
    </row>
    <row r="20" spans="1:9" ht="15.75" customHeight="1">
      <c r="A20" s="22"/>
      <c r="B20" s="210"/>
      <c r="C20" s="222">
        <f>SUM(C16:C19)</f>
        <v>1200000</v>
      </c>
      <c r="D20" s="222">
        <f t="shared" ref="D20:G20" si="11">SUM(D16:D19)</f>
        <v>1320000</v>
      </c>
      <c r="E20" s="222">
        <f t="shared" si="11"/>
        <v>1440000</v>
      </c>
      <c r="F20" s="222">
        <f t="shared" si="11"/>
        <v>1560000</v>
      </c>
      <c r="G20" s="223">
        <f t="shared" si="11"/>
        <v>1560000</v>
      </c>
      <c r="H20" s="1"/>
      <c r="I20" s="1"/>
    </row>
    <row r="21" spans="1:9" ht="15.75" customHeight="1">
      <c r="A21" s="207" t="s">
        <v>21</v>
      </c>
      <c r="B21" s="143" t="s">
        <v>22</v>
      </c>
      <c r="C21" s="143" t="s">
        <v>115</v>
      </c>
      <c r="D21" s="143" t="s">
        <v>116</v>
      </c>
      <c r="E21" s="143" t="s">
        <v>117</v>
      </c>
      <c r="F21" s="143" t="s">
        <v>118</v>
      </c>
      <c r="G21" s="144" t="s">
        <v>119</v>
      </c>
      <c r="H21" s="1"/>
      <c r="I21" s="1"/>
    </row>
    <row r="22" spans="1:9" ht="15.75" customHeight="1">
      <c r="A22" s="224" t="s">
        <v>157</v>
      </c>
      <c r="B22" s="145">
        <f>4500000/3</f>
        <v>1500000</v>
      </c>
      <c r="C22" s="211">
        <f>Assumptions!B8*$B$22</f>
        <v>4500000</v>
      </c>
      <c r="D22" s="211">
        <f>Assumptions!C8*$B$22*1.25</f>
        <v>9375000</v>
      </c>
      <c r="E22" s="211">
        <f>Assumptions!D8*$B$22</f>
        <v>7500000</v>
      </c>
      <c r="F22" s="211">
        <f>Assumptions!E8*$B$22</f>
        <v>7500000</v>
      </c>
      <c r="G22" s="212">
        <f>Assumptions!F8*$B$22</f>
        <v>7500000</v>
      </c>
      <c r="H22" s="1"/>
      <c r="I22" s="1"/>
    </row>
    <row r="23" spans="1:9" ht="15.75" customHeight="1">
      <c r="A23" s="224" t="s">
        <v>158</v>
      </c>
      <c r="B23" s="211">
        <v>600000</v>
      </c>
      <c r="C23" s="211">
        <f>Assumptions!B9*$B$23</f>
        <v>1200000</v>
      </c>
      <c r="D23" s="211">
        <f>Assumptions!C9*$B$23*1.25</f>
        <v>8250000</v>
      </c>
      <c r="E23" s="211">
        <f>Assumptions!D9*$B$23</f>
        <v>9000000</v>
      </c>
      <c r="F23" s="211">
        <f>Assumptions!E9*$B$23</f>
        <v>10200000</v>
      </c>
      <c r="G23" s="212">
        <f>Assumptions!F9*$B$23</f>
        <v>12600000</v>
      </c>
      <c r="H23" s="1"/>
      <c r="I23" s="1"/>
    </row>
    <row r="24" spans="1:9" ht="15.75" customHeight="1">
      <c r="A24" s="224" t="s">
        <v>159</v>
      </c>
      <c r="B24" s="211">
        <f>5000000/8</f>
        <v>625000</v>
      </c>
      <c r="C24" s="211">
        <f>Assumptions!B10*$B$24</f>
        <v>6250000</v>
      </c>
      <c r="D24" s="211">
        <f>Assumptions!C10*$B$24*1.25</f>
        <v>21875000</v>
      </c>
      <c r="E24" s="211">
        <f>Assumptions!D10*$B$24</f>
        <v>30000000</v>
      </c>
      <c r="F24" s="211">
        <f>Assumptions!E10*$B$24</f>
        <v>42500000</v>
      </c>
      <c r="G24" s="212">
        <f>Assumptions!F10*$B$24</f>
        <v>52500000</v>
      </c>
      <c r="H24" s="1"/>
      <c r="I24" s="1"/>
    </row>
    <row r="25" spans="1:9" ht="15.75" customHeight="1">
      <c r="A25" s="22" t="s">
        <v>160</v>
      </c>
      <c r="B25" s="211">
        <f>2940000/5</f>
        <v>588000</v>
      </c>
      <c r="C25" s="211">
        <f>Assumptions!B11*$B$25</f>
        <v>4116000</v>
      </c>
      <c r="D25" s="211">
        <f>Assumptions!C11*$B$25*1.25</f>
        <v>22785000</v>
      </c>
      <c r="E25" s="211">
        <f>Assumptions!D11*$B$25</f>
        <v>30576000</v>
      </c>
      <c r="F25" s="211">
        <f>Assumptions!E11*$B$25</f>
        <v>41160000</v>
      </c>
      <c r="G25" s="212">
        <f>Assumptions!F11*$B$25</f>
        <v>54684000</v>
      </c>
      <c r="H25" s="1"/>
      <c r="I25" s="1"/>
    </row>
    <row r="26" spans="1:9" ht="15.75" customHeight="1">
      <c r="A26" s="22" t="s">
        <v>161</v>
      </c>
      <c r="B26" s="211">
        <f>8850000/12</f>
        <v>737500</v>
      </c>
      <c r="C26" s="211">
        <f>Assumptions!B12*$B$26</f>
        <v>7375000</v>
      </c>
      <c r="D26" s="211">
        <f>Assumptions!C12*$B$26*1.25</f>
        <v>55312500</v>
      </c>
      <c r="E26" s="211">
        <f>Assumptions!D12*$B$26</f>
        <v>59000000</v>
      </c>
      <c r="F26" s="211">
        <f>Assumptions!E12*$B$26</f>
        <v>84075000</v>
      </c>
      <c r="G26" s="212">
        <f>Assumptions!F12*$B$26</f>
        <v>92925000</v>
      </c>
      <c r="H26" s="1"/>
      <c r="I26" s="1"/>
    </row>
    <row r="27" spans="1:9" ht="15.75" customHeight="1">
      <c r="A27" s="22" t="s">
        <v>162</v>
      </c>
      <c r="B27" s="211">
        <f>1400000/3</f>
        <v>466666.66666666669</v>
      </c>
      <c r="C27" s="211">
        <f>Assumptions!B13*$B$27</f>
        <v>1400000</v>
      </c>
      <c r="D27" s="211">
        <f>Assumptions!C13*$B$27*1.25</f>
        <v>4083333.333333334</v>
      </c>
      <c r="E27" s="211">
        <f>Assumptions!D13*$B$27</f>
        <v>6066666.666666667</v>
      </c>
      <c r="F27" s="211">
        <f>Assumptions!E13*$B$27</f>
        <v>7466666.666666667</v>
      </c>
      <c r="G27" s="212">
        <f>Assumptions!F13*$B$27</f>
        <v>8866666.6666666679</v>
      </c>
      <c r="H27" s="1"/>
      <c r="I27" s="1"/>
    </row>
    <row r="28" spans="1:9" ht="15.75" customHeight="1">
      <c r="A28" s="22" t="s">
        <v>163</v>
      </c>
      <c r="B28" s="211">
        <f>1240000/3</f>
        <v>413333.33333333331</v>
      </c>
      <c r="C28" s="211">
        <f>Assumptions!B14*$B$28</f>
        <v>1240000</v>
      </c>
      <c r="D28" s="211">
        <f>Assumptions!C14*$B$28*1.25</f>
        <v>5683333.3333333321</v>
      </c>
      <c r="E28" s="211">
        <f>Assumptions!D14*$B$28</f>
        <v>9093333.3333333321</v>
      </c>
      <c r="F28" s="211">
        <f>Assumptions!E14*$B$28</f>
        <v>10746666.666666666</v>
      </c>
      <c r="G28" s="212">
        <f>Assumptions!F14*$B$28</f>
        <v>12813333.333333332</v>
      </c>
      <c r="H28" s="1"/>
      <c r="I28" s="1"/>
    </row>
    <row r="29" spans="1:9" ht="15.75" customHeight="1">
      <c r="A29" s="22"/>
      <c r="B29" s="210"/>
      <c r="C29" s="222">
        <f>SUM(C22:C28)</f>
        <v>26081000</v>
      </c>
      <c r="D29" s="222">
        <f>SUM(D22:D28)</f>
        <v>127364166.66666666</v>
      </c>
      <c r="E29" s="222">
        <f>SUM(E22:E28)</f>
        <v>151236000</v>
      </c>
      <c r="F29" s="222">
        <f t="shared" ref="F29:G29" si="12">SUM(F22:F28)</f>
        <v>203648333.33333331</v>
      </c>
      <c r="G29" s="223">
        <f t="shared" si="12"/>
        <v>241889000</v>
      </c>
      <c r="H29" s="1"/>
      <c r="I29" s="1"/>
    </row>
    <row r="30" spans="1:9" ht="15.75" customHeight="1">
      <c r="A30" s="225" t="s">
        <v>168</v>
      </c>
      <c r="B30" s="143" t="s">
        <v>23</v>
      </c>
      <c r="C30" s="143" t="s">
        <v>115</v>
      </c>
      <c r="D30" s="143" t="s">
        <v>116</v>
      </c>
      <c r="E30" s="143" t="s">
        <v>117</v>
      </c>
      <c r="F30" s="143" t="s">
        <v>118</v>
      </c>
      <c r="G30" s="144" t="s">
        <v>119</v>
      </c>
      <c r="H30" s="1"/>
      <c r="I30" s="1"/>
    </row>
    <row r="31" spans="1:9" ht="15.75" customHeight="1">
      <c r="A31" s="209" t="s">
        <v>16</v>
      </c>
      <c r="B31" s="226">
        <f>2700*12</f>
        <v>32400</v>
      </c>
      <c r="C31" s="211">
        <f>Assumptions!B15*$B$31</f>
        <v>1231200</v>
      </c>
      <c r="D31" s="211">
        <f>Assumptions!C15*$B$31*1.2</f>
        <v>5948640</v>
      </c>
      <c r="E31" s="211">
        <f>Assumptions!D15*$B$31</f>
        <v>7614000</v>
      </c>
      <c r="F31" s="211">
        <f>Assumptions!E15*$B$31</f>
        <v>10238400</v>
      </c>
      <c r="G31" s="212">
        <f>Assumptions!F15*$B$31</f>
        <v>12279600</v>
      </c>
      <c r="H31" s="1"/>
      <c r="I31" s="1"/>
    </row>
    <row r="32" spans="1:9" ht="15.75" customHeight="1">
      <c r="A32" s="209" t="s">
        <v>169</v>
      </c>
      <c r="B32" s="211">
        <f>1000*12</f>
        <v>12000</v>
      </c>
      <c r="C32" s="211">
        <f>Assumptions!B15*$B$32</f>
        <v>456000</v>
      </c>
      <c r="D32" s="211">
        <f>Assumptions!C15*$B$32*1.2</f>
        <v>2203200</v>
      </c>
      <c r="E32" s="211">
        <f>Assumptions!D15*$B$32</f>
        <v>2820000</v>
      </c>
      <c r="F32" s="211">
        <f>Assumptions!E15*$B$32</f>
        <v>3792000</v>
      </c>
      <c r="G32" s="212">
        <f>Assumptions!F15*$B$32</f>
        <v>4548000</v>
      </c>
      <c r="H32" s="1"/>
      <c r="I32" s="1"/>
    </row>
    <row r="33" spans="1:9" ht="15.75" customHeight="1">
      <c r="A33" s="209" t="s">
        <v>170</v>
      </c>
      <c r="B33" s="211">
        <f>500*12</f>
        <v>6000</v>
      </c>
      <c r="C33" s="211">
        <f>Assumptions!B15*$B$33</f>
        <v>228000</v>
      </c>
      <c r="D33" s="211">
        <f>Assumptions!C15*$B$33*1.2</f>
        <v>1101600</v>
      </c>
      <c r="E33" s="211">
        <f>Assumptions!D15*$B$33</f>
        <v>1410000</v>
      </c>
      <c r="F33" s="211">
        <f>Assumptions!E15*$B$33</f>
        <v>1896000</v>
      </c>
      <c r="G33" s="212">
        <f>Assumptions!F15*$B$33</f>
        <v>2274000</v>
      </c>
      <c r="H33" s="1"/>
      <c r="I33" s="1"/>
    </row>
    <row r="34" spans="1:9" ht="15.75" customHeight="1">
      <c r="A34" s="209" t="s">
        <v>171</v>
      </c>
      <c r="B34" s="211">
        <f>300*12</f>
        <v>3600</v>
      </c>
      <c r="C34" s="226">
        <f>Assumptions!B15*$B$34</f>
        <v>136800</v>
      </c>
      <c r="D34" s="226">
        <f>Assumptions!C15*$B$34*1.2</f>
        <v>660960</v>
      </c>
      <c r="E34" s="226">
        <f>Assumptions!D15*$B$34</f>
        <v>846000</v>
      </c>
      <c r="F34" s="226">
        <f>Assumptions!E15*$B$34</f>
        <v>1137600</v>
      </c>
      <c r="G34" s="227">
        <f>Assumptions!F15*$B$34</f>
        <v>1364400</v>
      </c>
      <c r="H34" s="1"/>
      <c r="I34" s="1"/>
    </row>
    <row r="35" spans="1:9" ht="15.75" customHeight="1">
      <c r="A35" s="209" t="s">
        <v>172</v>
      </c>
      <c r="B35" s="211">
        <f>9000</f>
        <v>9000</v>
      </c>
      <c r="C35" s="226">
        <f>Assumptions!B15*10%*$B$35</f>
        <v>34200</v>
      </c>
      <c r="D35" s="226">
        <f>Assumptions!C15*10%*$B$35*1.2</f>
        <v>165240</v>
      </c>
      <c r="E35" s="226">
        <f>Assumptions!D15*10%*$B$35</f>
        <v>211500</v>
      </c>
      <c r="F35" s="226">
        <f>Assumptions!E15*10%*$B$35</f>
        <v>284400</v>
      </c>
      <c r="G35" s="227">
        <f>Assumptions!F15*$B$35</f>
        <v>3411000</v>
      </c>
      <c r="H35" s="1"/>
      <c r="I35" s="1"/>
    </row>
    <row r="36" spans="1:9" ht="15.75" customHeight="1">
      <c r="A36" s="22"/>
      <c r="B36" s="210"/>
      <c r="C36" s="222">
        <f>SUM(C31:C35)</f>
        <v>2086200</v>
      </c>
      <c r="D36" s="222">
        <f t="shared" ref="D36:G36" si="13">SUM(D31:D35)</f>
        <v>10079640</v>
      </c>
      <c r="E36" s="222">
        <f t="shared" si="13"/>
        <v>12901500</v>
      </c>
      <c r="F36" s="222">
        <f t="shared" si="13"/>
        <v>17348400</v>
      </c>
      <c r="G36" s="223">
        <f t="shared" si="13"/>
        <v>23877000</v>
      </c>
      <c r="H36" s="1"/>
      <c r="I36" s="1"/>
    </row>
    <row r="37" spans="1:9" ht="15.75" customHeight="1">
      <c r="A37" s="228" t="s">
        <v>175</v>
      </c>
      <c r="B37" s="143" t="s">
        <v>23</v>
      </c>
      <c r="C37" s="143" t="s">
        <v>115</v>
      </c>
      <c r="D37" s="143" t="s">
        <v>116</v>
      </c>
      <c r="E37" s="143" t="s">
        <v>117</v>
      </c>
      <c r="F37" s="143" t="s">
        <v>118</v>
      </c>
      <c r="G37" s="144" t="s">
        <v>119</v>
      </c>
      <c r="H37" s="1"/>
      <c r="I37" s="1"/>
    </row>
    <row r="38" spans="1:9" ht="15.75" customHeight="1">
      <c r="A38" s="209" t="s">
        <v>177</v>
      </c>
      <c r="B38" s="229">
        <f>110000*12</f>
        <v>1320000</v>
      </c>
      <c r="C38" s="211">
        <f>$B$38</f>
        <v>1320000</v>
      </c>
      <c r="D38" s="211">
        <f>$B$38*1.1</f>
        <v>1452000.0000000002</v>
      </c>
      <c r="E38" s="211">
        <f>$B$38*1.1</f>
        <v>1452000.0000000002</v>
      </c>
      <c r="F38" s="211">
        <f>$B$38*1.05</f>
        <v>1386000</v>
      </c>
      <c r="G38" s="212">
        <f>$B$38*1.05</f>
        <v>1386000</v>
      </c>
      <c r="H38" s="1"/>
      <c r="I38" s="1"/>
    </row>
    <row r="39" spans="1:9" ht="15.75" customHeight="1">
      <c r="A39" s="22"/>
      <c r="B39" s="210"/>
      <c r="C39" s="222">
        <f>SUM(C38)</f>
        <v>1320000</v>
      </c>
      <c r="D39" s="222">
        <f t="shared" ref="D39:G39" si="14">SUM(D38)</f>
        <v>1452000.0000000002</v>
      </c>
      <c r="E39" s="222">
        <f t="shared" si="14"/>
        <v>1452000.0000000002</v>
      </c>
      <c r="F39" s="222">
        <f t="shared" si="14"/>
        <v>1386000</v>
      </c>
      <c r="G39" s="223">
        <f t="shared" si="14"/>
        <v>1386000</v>
      </c>
      <c r="H39" s="1"/>
      <c r="I39" s="1"/>
    </row>
    <row r="40" spans="1:9" ht="15.75" customHeight="1">
      <c r="A40" s="230" t="s">
        <v>18</v>
      </c>
      <c r="B40" s="143" t="s">
        <v>23</v>
      </c>
      <c r="C40" s="143" t="s">
        <v>115</v>
      </c>
      <c r="D40" s="143" t="s">
        <v>116</v>
      </c>
      <c r="E40" s="143" t="s">
        <v>117</v>
      </c>
      <c r="F40" s="143" t="s">
        <v>118</v>
      </c>
      <c r="G40" s="144" t="s">
        <v>119</v>
      </c>
      <c r="H40" s="1"/>
      <c r="I40" s="1"/>
    </row>
    <row r="41" spans="1:9" ht="15.75" customHeight="1">
      <c r="A41" s="209" t="s">
        <v>178</v>
      </c>
      <c r="B41" s="211">
        <v>7000</v>
      </c>
      <c r="C41" s="211">
        <f>Assumptions!B15*$B$41</f>
        <v>266000</v>
      </c>
      <c r="D41" s="211">
        <f>Assumptions!C16*$B$41</f>
        <v>805000</v>
      </c>
      <c r="E41" s="211">
        <f>Assumptions!D16*$B$41</f>
        <v>574000</v>
      </c>
      <c r="F41" s="211">
        <f>Assumptions!E16*$B$41</f>
        <v>567000</v>
      </c>
      <c r="G41" s="212">
        <f>Assumptions!F16*$B$41</f>
        <v>441000</v>
      </c>
      <c r="H41" s="1"/>
      <c r="I41" s="1"/>
    </row>
    <row r="42" spans="1:9" ht="15.75" customHeight="1">
      <c r="A42" s="213" t="s">
        <v>179</v>
      </c>
      <c r="B42" s="215">
        <v>200</v>
      </c>
      <c r="C42" s="215">
        <f>Assumptions!B15*$B$42</f>
        <v>7600</v>
      </c>
      <c r="D42" s="215">
        <f>Assumptions!C15*$B$42</f>
        <v>30600</v>
      </c>
      <c r="E42" s="215">
        <f>Assumptions!D15*$B$42</f>
        <v>47000</v>
      </c>
      <c r="F42" s="215">
        <f>Assumptions!E15*$B$42</f>
        <v>63200</v>
      </c>
      <c r="G42" s="216">
        <f>Assumptions!F15*$B$42</f>
        <v>75800</v>
      </c>
      <c r="H42" s="1"/>
      <c r="I42" s="1"/>
    </row>
    <row r="43" spans="1:9" ht="15.75" customHeight="1">
      <c r="A43" s="209" t="s">
        <v>180</v>
      </c>
      <c r="B43" s="211">
        <v>3500</v>
      </c>
      <c r="C43" s="211">
        <f>B43</f>
        <v>3500</v>
      </c>
      <c r="D43" s="211">
        <f t="shared" ref="D43:G43" si="15">C43</f>
        <v>3500</v>
      </c>
      <c r="E43" s="211">
        <f t="shared" si="15"/>
        <v>3500</v>
      </c>
      <c r="F43" s="211">
        <f t="shared" si="15"/>
        <v>3500</v>
      </c>
      <c r="G43" s="212">
        <f t="shared" si="15"/>
        <v>3500</v>
      </c>
      <c r="H43" s="1"/>
      <c r="I43" s="1"/>
    </row>
    <row r="44" spans="1:9" ht="15.75" customHeight="1">
      <c r="A44" s="213" t="s">
        <v>181</v>
      </c>
      <c r="B44" s="215">
        <f>700*12</f>
        <v>8400</v>
      </c>
      <c r="C44" s="215">
        <f>B44</f>
        <v>8400</v>
      </c>
      <c r="D44" s="215">
        <f t="shared" ref="D44:G44" si="16">C44</f>
        <v>8400</v>
      </c>
      <c r="E44" s="215">
        <f t="shared" si="16"/>
        <v>8400</v>
      </c>
      <c r="F44" s="215">
        <f t="shared" si="16"/>
        <v>8400</v>
      </c>
      <c r="G44" s="216">
        <f t="shared" si="16"/>
        <v>8400</v>
      </c>
      <c r="H44" s="1"/>
      <c r="I44" s="1"/>
    </row>
    <row r="45" spans="1:9" ht="15.75" customHeight="1">
      <c r="A45" s="213" t="s">
        <v>182</v>
      </c>
      <c r="B45" s="215">
        <f>60*12</f>
        <v>720</v>
      </c>
      <c r="C45" s="215">
        <f>Assumptions!B15*$B$45</f>
        <v>27360</v>
      </c>
      <c r="D45" s="215">
        <f>Assumptions!C15*$B$45</f>
        <v>110160</v>
      </c>
      <c r="E45" s="215">
        <f>Assumptions!D15*$B$45</f>
        <v>169200</v>
      </c>
      <c r="F45" s="215">
        <f>Assumptions!E15*$B$45</f>
        <v>227520</v>
      </c>
      <c r="G45" s="216">
        <f>Assumptions!F15*$B$45</f>
        <v>272880</v>
      </c>
      <c r="H45" s="1"/>
      <c r="I45" s="1"/>
    </row>
    <row r="46" spans="1:9" ht="15.75" customHeight="1">
      <c r="A46" s="22"/>
      <c r="B46" s="210"/>
      <c r="C46" s="222">
        <f>SUM(C41:C45)</f>
        <v>312860</v>
      </c>
      <c r="D46" s="222">
        <f t="shared" ref="D46:G46" si="17">SUM(D41:D45)</f>
        <v>957660</v>
      </c>
      <c r="E46" s="222">
        <f t="shared" si="17"/>
        <v>802100</v>
      </c>
      <c r="F46" s="222">
        <f t="shared" si="17"/>
        <v>869620</v>
      </c>
      <c r="G46" s="223">
        <f t="shared" si="17"/>
        <v>801580</v>
      </c>
      <c r="H46" s="1"/>
      <c r="I46" s="1"/>
    </row>
    <row r="47" spans="1:9" ht="15.75" customHeight="1">
      <c r="A47" s="207" t="s">
        <v>27</v>
      </c>
      <c r="B47" s="143" t="s">
        <v>23</v>
      </c>
      <c r="C47" s="143" t="s">
        <v>115</v>
      </c>
      <c r="D47" s="143" t="s">
        <v>116</v>
      </c>
      <c r="E47" s="143" t="s">
        <v>117</v>
      </c>
      <c r="F47" s="143" t="s">
        <v>118</v>
      </c>
      <c r="G47" s="144" t="s">
        <v>119</v>
      </c>
      <c r="H47" s="1"/>
      <c r="I47" s="1"/>
    </row>
    <row r="48" spans="1:9" ht="15.75" customHeight="1">
      <c r="A48" s="209" t="s">
        <v>173</v>
      </c>
      <c r="B48" s="211">
        <f>500*12</f>
        <v>6000</v>
      </c>
      <c r="C48" s="211">
        <f>Assumptions!B15*$B$48</f>
        <v>228000</v>
      </c>
      <c r="D48" s="211">
        <f>Assumptions!C15*$B$48</f>
        <v>918000</v>
      </c>
      <c r="E48" s="211">
        <f>Assumptions!D15*$B$48</f>
        <v>1410000</v>
      </c>
      <c r="F48" s="211">
        <f>Assumptions!E15*$B$48</f>
        <v>1896000</v>
      </c>
      <c r="G48" s="212">
        <f>Assumptions!F15*$B$48</f>
        <v>2274000</v>
      </c>
      <c r="H48" s="1"/>
      <c r="I48" s="1"/>
    </row>
    <row r="49" spans="1:9" ht="15.75" customHeight="1">
      <c r="A49" s="22"/>
      <c r="B49" s="210"/>
      <c r="C49" s="222">
        <f>SUM(C48)</f>
        <v>228000</v>
      </c>
      <c r="D49" s="222">
        <f t="shared" ref="D49:G49" si="18">SUM(D48)</f>
        <v>918000</v>
      </c>
      <c r="E49" s="222">
        <f t="shared" si="18"/>
        <v>1410000</v>
      </c>
      <c r="F49" s="222">
        <f t="shared" si="18"/>
        <v>1896000</v>
      </c>
      <c r="G49" s="223">
        <f t="shared" si="18"/>
        <v>2274000</v>
      </c>
      <c r="H49" s="1"/>
      <c r="I49" s="1"/>
    </row>
    <row r="50" spans="1:9" ht="15.75" customHeight="1">
      <c r="A50" s="207" t="s">
        <v>28</v>
      </c>
      <c r="B50" s="143" t="s">
        <v>23</v>
      </c>
      <c r="C50" s="143" t="s">
        <v>115</v>
      </c>
      <c r="D50" s="143" t="s">
        <v>116</v>
      </c>
      <c r="E50" s="143" t="s">
        <v>117</v>
      </c>
      <c r="F50" s="143" t="s">
        <v>118</v>
      </c>
      <c r="G50" s="144" t="s">
        <v>119</v>
      </c>
      <c r="H50" s="1"/>
      <c r="I50" s="1"/>
    </row>
    <row r="51" spans="1:9" ht="15.75" customHeight="1">
      <c r="A51" s="209" t="s">
        <v>167</v>
      </c>
      <c r="B51" s="211">
        <f>40000*12</f>
        <v>480000</v>
      </c>
      <c r="C51" s="211">
        <f>B51</f>
        <v>480000</v>
      </c>
      <c r="D51" s="211">
        <f t="shared" ref="D51:E51" si="19">C51</f>
        <v>480000</v>
      </c>
      <c r="E51" s="211">
        <f t="shared" si="19"/>
        <v>480000</v>
      </c>
      <c r="F51" s="211">
        <f>B51*1.1</f>
        <v>528000</v>
      </c>
      <c r="G51" s="212">
        <f>F51</f>
        <v>528000</v>
      </c>
      <c r="H51" s="1"/>
      <c r="I51" s="1"/>
    </row>
    <row r="52" spans="1:9" ht="15.75" customHeight="1">
      <c r="A52" s="22"/>
      <c r="B52" s="210"/>
      <c r="C52" s="222">
        <f>SUM(C51)</f>
        <v>480000</v>
      </c>
      <c r="D52" s="222">
        <f t="shared" ref="D52:G52" si="20">SUM(D51)</f>
        <v>480000</v>
      </c>
      <c r="E52" s="222">
        <f t="shared" si="20"/>
        <v>480000</v>
      </c>
      <c r="F52" s="222">
        <f t="shared" si="20"/>
        <v>528000</v>
      </c>
      <c r="G52" s="223">
        <f t="shared" si="20"/>
        <v>528000</v>
      </c>
      <c r="H52" s="1"/>
      <c r="I52" s="1"/>
    </row>
    <row r="53" spans="1:9" ht="15.75" customHeight="1">
      <c r="A53" s="231" t="s">
        <v>29</v>
      </c>
      <c r="B53" s="210"/>
      <c r="C53" s="210"/>
      <c r="D53" s="210"/>
      <c r="E53" s="210"/>
      <c r="F53" s="210"/>
      <c r="G53" s="220"/>
      <c r="H53" s="1"/>
      <c r="I53" s="1"/>
    </row>
    <row r="54" spans="1:9" ht="15.75" customHeight="1">
      <c r="A54" s="232" t="s">
        <v>185</v>
      </c>
      <c r="B54" s="233">
        <v>40000</v>
      </c>
      <c r="C54" s="233">
        <f>Assumptions!B15*$B$54</f>
        <v>1520000</v>
      </c>
      <c r="D54" s="233">
        <f>Assumptions!C16*$B$54</f>
        <v>4600000</v>
      </c>
      <c r="E54" s="233">
        <f>Assumptions!D16*$B$54</f>
        <v>3280000</v>
      </c>
      <c r="F54" s="233">
        <f>Assumptions!E16*$B$54</f>
        <v>3240000</v>
      </c>
      <c r="G54" s="234">
        <f>Assumptions!F16*$B$54</f>
        <v>2520000</v>
      </c>
      <c r="H54" s="1"/>
      <c r="I54" s="1"/>
    </row>
    <row r="55" spans="1:9" ht="15.75" customHeight="1">
      <c r="A55" s="209" t="s">
        <v>176</v>
      </c>
      <c r="B55" s="210"/>
      <c r="C55" s="211"/>
      <c r="D55" s="211">
        <v>500000</v>
      </c>
      <c r="E55" s="211"/>
      <c r="F55" s="211"/>
      <c r="G55" s="212"/>
      <c r="H55" s="1"/>
      <c r="I55" s="1"/>
    </row>
    <row r="56" spans="1:9" ht="15.75" customHeight="1">
      <c r="A56" s="235" t="s">
        <v>30</v>
      </c>
      <c r="B56" s="236"/>
      <c r="C56" s="237">
        <f>SUM(C54:C55)</f>
        <v>1520000</v>
      </c>
      <c r="D56" s="237">
        <f>SUM(D54:D55)</f>
        <v>5100000</v>
      </c>
      <c r="E56" s="237">
        <f>SUM(E54:E55)</f>
        <v>3280000</v>
      </c>
      <c r="F56" s="237">
        <f>SUM(F54:F55)</f>
        <v>3240000</v>
      </c>
      <c r="G56" s="238">
        <f>SUM(G54:G55)</f>
        <v>2520000</v>
      </c>
      <c r="H56" s="1"/>
      <c r="I56" s="1"/>
    </row>
    <row r="57" spans="1:9" ht="15.75" customHeight="1">
      <c r="A57" s="1"/>
      <c r="B57" s="1"/>
      <c r="C57" s="1"/>
      <c r="D57" s="1"/>
      <c r="E57" s="1"/>
      <c r="F57" s="1"/>
      <c r="G57" s="1"/>
      <c r="H57" s="1"/>
      <c r="I57" s="1"/>
    </row>
    <row r="58" spans="1:9" ht="15.75" customHeight="1">
      <c r="A58" s="1"/>
      <c r="B58" s="1"/>
      <c r="C58" s="1"/>
      <c r="D58" s="1"/>
      <c r="E58" s="1"/>
      <c r="F58" s="1"/>
      <c r="G58" s="1"/>
      <c r="H58" s="1"/>
      <c r="I58" s="1"/>
    </row>
    <row r="59" spans="1:9" ht="15.75" customHeight="1">
      <c r="A59" s="1"/>
      <c r="B59" s="1"/>
      <c r="C59" s="1"/>
      <c r="D59" s="1"/>
      <c r="E59" s="1"/>
      <c r="F59" s="1"/>
      <c r="G59" s="1"/>
      <c r="H59" s="1"/>
      <c r="I59" s="1"/>
    </row>
    <row r="60" spans="1:9" ht="15.75" customHeight="1">
      <c r="A60" s="1"/>
      <c r="B60" s="1"/>
      <c r="C60" s="1"/>
      <c r="D60" s="1"/>
      <c r="E60" s="1"/>
      <c r="F60" s="1"/>
      <c r="G60" s="1"/>
      <c r="H60" s="1"/>
      <c r="I60" s="1"/>
    </row>
    <row r="61" spans="1:9" ht="15.75" customHeight="1">
      <c r="A61" s="1"/>
      <c r="B61" s="1"/>
      <c r="C61" s="1"/>
      <c r="D61" s="1"/>
      <c r="E61" s="1"/>
      <c r="F61" s="1"/>
      <c r="G61" s="1"/>
      <c r="H61" s="1"/>
      <c r="I61" s="1"/>
    </row>
    <row r="62" spans="1:9" ht="15.75" customHeight="1">
      <c r="A62" s="1"/>
      <c r="B62" s="1"/>
      <c r="C62" s="1"/>
      <c r="D62" s="1"/>
      <c r="E62" s="1"/>
      <c r="F62" s="1"/>
      <c r="G62" s="1"/>
      <c r="H62" s="1"/>
      <c r="I62" s="1"/>
    </row>
    <row r="63" spans="1:9" ht="15.75" customHeight="1">
      <c r="A63" s="32"/>
      <c r="B63" s="1"/>
      <c r="C63" s="1"/>
      <c r="D63" s="1"/>
      <c r="E63" s="1"/>
      <c r="F63" s="1"/>
      <c r="G63" s="1"/>
      <c r="H63" s="1"/>
      <c r="I63" s="1"/>
    </row>
    <row r="64" spans="1:9" ht="15.75" customHeight="1">
      <c r="A64" s="32"/>
      <c r="B64" s="1"/>
      <c r="C64" s="1"/>
      <c r="D64" s="1"/>
      <c r="E64" s="1"/>
      <c r="F64" s="1"/>
      <c r="G64" s="1"/>
      <c r="H64" s="1"/>
      <c r="I64" s="1"/>
    </row>
    <row r="65" spans="1:9" ht="15.75" customHeight="1">
      <c r="A65" s="32"/>
      <c r="B65" s="1"/>
      <c r="C65" s="1"/>
      <c r="D65" s="1"/>
      <c r="E65" s="1"/>
      <c r="F65" s="1"/>
      <c r="G65" s="1"/>
      <c r="H65" s="1"/>
      <c r="I65" s="1"/>
    </row>
    <row r="66" spans="1:9" ht="15.75" customHeight="1">
      <c r="A66" s="32"/>
      <c r="B66" s="1"/>
      <c r="C66" s="1"/>
      <c r="D66" s="1"/>
      <c r="E66" s="1"/>
      <c r="F66" s="1"/>
      <c r="G66" s="1"/>
      <c r="H66" s="1"/>
      <c r="I66" s="1"/>
    </row>
    <row r="67" spans="1:9" ht="15.75" customHeight="1">
      <c r="A67" s="32"/>
      <c r="B67" s="1"/>
      <c r="C67" s="1"/>
      <c r="D67" s="1"/>
      <c r="E67" s="1"/>
      <c r="F67" s="1"/>
      <c r="G67" s="1"/>
      <c r="H67" s="1"/>
      <c r="I67" s="1"/>
    </row>
    <row r="68" spans="1:9" ht="15.75" customHeight="1">
      <c r="A68" s="32"/>
      <c r="B68" s="1"/>
      <c r="C68" s="1"/>
      <c r="D68" s="1"/>
      <c r="E68" s="1"/>
      <c r="F68" s="1"/>
      <c r="G68" s="1"/>
      <c r="H68" s="1"/>
      <c r="I68" s="1"/>
    </row>
    <row r="69" spans="1:9" ht="15.75" customHeight="1">
      <c r="A69" s="32"/>
      <c r="B69" s="1"/>
      <c r="C69" s="1"/>
      <c r="D69" s="1"/>
      <c r="E69" s="1"/>
      <c r="F69" s="1"/>
      <c r="G69" s="1"/>
      <c r="H69" s="1"/>
      <c r="I69" s="1"/>
    </row>
    <row r="70" spans="1:9" ht="15.75" customHeight="1">
      <c r="A70" s="32"/>
      <c r="B70" s="1"/>
      <c r="C70" s="1"/>
      <c r="D70" s="1"/>
      <c r="E70" s="1"/>
      <c r="F70" s="1"/>
      <c r="G70" s="1"/>
      <c r="H70" s="1"/>
      <c r="I70" s="1"/>
    </row>
    <row r="71" spans="1:9" ht="15.75" customHeight="1">
      <c r="A71" s="32"/>
      <c r="B71" s="1"/>
      <c r="C71" s="1"/>
      <c r="D71" s="1"/>
      <c r="E71" s="1"/>
      <c r="F71" s="1"/>
      <c r="G71" s="1"/>
      <c r="H71" s="1"/>
      <c r="I71" s="1"/>
    </row>
    <row r="72" spans="1:9" ht="15.75" customHeight="1">
      <c r="A72" s="32"/>
      <c r="B72" s="1"/>
      <c r="C72" s="1"/>
      <c r="D72" s="1"/>
      <c r="E72" s="1"/>
      <c r="F72" s="1"/>
      <c r="G72" s="1"/>
      <c r="H72" s="1"/>
      <c r="I72" s="1"/>
    </row>
    <row r="73" spans="1:9" ht="15.75" customHeight="1">
      <c r="A73" s="32"/>
      <c r="B73" s="1"/>
      <c r="C73" s="1"/>
      <c r="D73" s="1"/>
      <c r="E73" s="1"/>
      <c r="F73" s="1"/>
      <c r="G73" s="1"/>
      <c r="H73" s="1"/>
      <c r="I73" s="1"/>
    </row>
    <row r="74" spans="1:9" ht="15.75" customHeight="1">
      <c r="A74" s="32"/>
      <c r="B74" s="1"/>
      <c r="C74" s="1"/>
      <c r="D74" s="1"/>
      <c r="E74" s="1"/>
      <c r="F74" s="1"/>
      <c r="G74" s="1"/>
      <c r="H74" s="1"/>
      <c r="I74" s="1"/>
    </row>
    <row r="75" spans="1:9" ht="15.75" customHeight="1">
      <c r="A75" s="32"/>
      <c r="B75" s="1"/>
      <c r="C75" s="1"/>
      <c r="D75" s="1"/>
      <c r="E75" s="1"/>
      <c r="F75" s="1"/>
      <c r="G75" s="1"/>
      <c r="H75" s="1"/>
      <c r="I75" s="1"/>
    </row>
    <row r="76" spans="1:9" ht="15.75" customHeight="1">
      <c r="A76" s="32"/>
      <c r="B76" s="1"/>
      <c r="C76" s="1"/>
      <c r="D76" s="1"/>
      <c r="E76" s="1"/>
      <c r="F76" s="1"/>
      <c r="G76" s="1"/>
      <c r="H76" s="1"/>
      <c r="I76" s="1"/>
    </row>
    <row r="77" spans="1:9" ht="15.75" customHeight="1">
      <c r="A77" s="32"/>
      <c r="B77" s="1"/>
      <c r="C77" s="1"/>
      <c r="D77" s="1"/>
      <c r="E77" s="1"/>
      <c r="F77" s="1"/>
      <c r="G77" s="1"/>
      <c r="H77" s="1"/>
      <c r="I77" s="1"/>
    </row>
    <row r="78" spans="1:9" ht="15.75" customHeight="1">
      <c r="A78" s="32"/>
      <c r="B78" s="1"/>
      <c r="C78" s="1"/>
      <c r="D78" s="1"/>
      <c r="E78" s="1"/>
      <c r="F78" s="1"/>
      <c r="G78" s="1"/>
      <c r="H78" s="1"/>
      <c r="I78" s="1"/>
    </row>
    <row r="79" spans="1:9" ht="15.75" customHeight="1">
      <c r="A79" s="32"/>
      <c r="B79" s="1"/>
      <c r="C79" s="1"/>
      <c r="D79" s="1"/>
      <c r="E79" s="1"/>
      <c r="F79" s="1"/>
      <c r="G79" s="1"/>
      <c r="H79" s="1"/>
      <c r="I79" s="1"/>
    </row>
    <row r="80" spans="1:9" ht="15.75" customHeight="1">
      <c r="A80" s="32"/>
      <c r="B80" s="1"/>
      <c r="C80" s="1"/>
      <c r="D80" s="1"/>
      <c r="E80" s="1"/>
      <c r="F80" s="1"/>
      <c r="G80" s="1"/>
      <c r="H80" s="1"/>
      <c r="I80" s="1"/>
    </row>
    <row r="81" spans="1:9" ht="15.75" customHeight="1">
      <c r="A81" s="32"/>
      <c r="B81" s="1"/>
      <c r="C81" s="1"/>
      <c r="D81" s="1"/>
      <c r="E81" s="1"/>
      <c r="F81" s="1"/>
      <c r="G81" s="1"/>
      <c r="H81" s="1"/>
      <c r="I81" s="1"/>
    </row>
    <row r="82" spans="1:9" ht="15.75" customHeight="1">
      <c r="A82" s="32"/>
      <c r="B82" s="1"/>
      <c r="C82" s="1"/>
      <c r="D82" s="1"/>
      <c r="E82" s="1"/>
      <c r="F82" s="1"/>
      <c r="G82" s="1"/>
      <c r="H82" s="1"/>
      <c r="I82" s="1"/>
    </row>
    <row r="83" spans="1:9" ht="15.75" customHeight="1">
      <c r="A83" s="32"/>
      <c r="B83" s="1"/>
      <c r="C83" s="1"/>
      <c r="D83" s="1"/>
      <c r="E83" s="1"/>
      <c r="F83" s="1"/>
      <c r="G83" s="1"/>
      <c r="H83" s="1"/>
      <c r="I83" s="1"/>
    </row>
    <row r="84" spans="1:9" ht="15.75" customHeight="1">
      <c r="A84" s="32"/>
      <c r="B84" s="1"/>
      <c r="C84" s="1"/>
      <c r="D84" s="1"/>
      <c r="E84" s="1"/>
      <c r="F84" s="1"/>
      <c r="G84" s="1"/>
      <c r="H84" s="1"/>
      <c r="I84" s="1"/>
    </row>
    <row r="85" spans="1:9" ht="15.75" customHeight="1">
      <c r="A85" s="32"/>
      <c r="B85" s="1"/>
      <c r="C85" s="1"/>
      <c r="D85" s="1"/>
      <c r="E85" s="1"/>
      <c r="F85" s="1"/>
      <c r="G85" s="1"/>
      <c r="H85" s="1"/>
      <c r="I85" s="1"/>
    </row>
    <row r="86" spans="1:9" ht="15.75" customHeight="1">
      <c r="A86" s="32"/>
      <c r="B86" s="1"/>
      <c r="C86" s="1"/>
      <c r="D86" s="1"/>
      <c r="E86" s="1"/>
      <c r="F86" s="1"/>
      <c r="G86" s="1"/>
      <c r="H86" s="1"/>
      <c r="I86" s="1"/>
    </row>
    <row r="87" spans="1:9" ht="15.75" customHeight="1">
      <c r="A87" s="32"/>
      <c r="B87" s="1"/>
      <c r="C87" s="1"/>
      <c r="D87" s="1"/>
      <c r="E87" s="1"/>
      <c r="F87" s="1"/>
      <c r="G87" s="1"/>
      <c r="H87" s="1"/>
      <c r="I87" s="1"/>
    </row>
    <row r="88" spans="1:9" ht="15.75" customHeight="1">
      <c r="A88" s="32"/>
      <c r="B88" s="1"/>
      <c r="C88" s="1"/>
      <c r="D88" s="1"/>
      <c r="E88" s="1"/>
      <c r="F88" s="1"/>
      <c r="G88" s="1"/>
      <c r="H88" s="1"/>
      <c r="I88" s="1"/>
    </row>
    <row r="89" spans="1:9" ht="15.75" customHeight="1">
      <c r="A89" s="32"/>
      <c r="B89" s="1"/>
      <c r="C89" s="1"/>
      <c r="D89" s="1"/>
      <c r="E89" s="1"/>
      <c r="F89" s="1"/>
      <c r="G89" s="1"/>
      <c r="H89" s="1"/>
      <c r="I89" s="1"/>
    </row>
    <row r="90" spans="1:9" ht="15.75" customHeight="1">
      <c r="A90" s="32"/>
      <c r="B90" s="1"/>
      <c r="C90" s="1"/>
      <c r="D90" s="1"/>
      <c r="E90" s="1"/>
      <c r="F90" s="1"/>
      <c r="G90" s="1"/>
      <c r="H90" s="1"/>
      <c r="I90" s="1"/>
    </row>
    <row r="91" spans="1:9" ht="15.75" customHeight="1">
      <c r="A91" s="32"/>
      <c r="B91" s="1"/>
      <c r="C91" s="1"/>
      <c r="D91" s="1"/>
      <c r="E91" s="1"/>
      <c r="F91" s="1"/>
      <c r="G91" s="1"/>
      <c r="H91" s="1"/>
      <c r="I91" s="1"/>
    </row>
    <row r="92" spans="1:9" ht="15.75" customHeight="1">
      <c r="A92" s="32"/>
      <c r="B92" s="1"/>
      <c r="C92" s="1"/>
      <c r="D92" s="1"/>
      <c r="E92" s="1"/>
      <c r="F92" s="1"/>
      <c r="G92" s="1"/>
      <c r="H92" s="1"/>
      <c r="I92" s="1"/>
    </row>
    <row r="93" spans="1:9" ht="15.75" customHeight="1">
      <c r="A93" s="32"/>
      <c r="B93" s="1"/>
      <c r="C93" s="1"/>
      <c r="D93" s="1"/>
      <c r="E93" s="1"/>
      <c r="F93" s="1"/>
      <c r="G93" s="1"/>
      <c r="H93" s="1"/>
      <c r="I93" s="1"/>
    </row>
    <row r="94" spans="1:9" ht="15.75" customHeight="1">
      <c r="A94" s="32"/>
      <c r="B94" s="1"/>
      <c r="C94" s="1"/>
      <c r="D94" s="1"/>
      <c r="E94" s="1"/>
      <c r="F94" s="1"/>
      <c r="G94" s="1"/>
      <c r="H94" s="1"/>
      <c r="I94" s="1"/>
    </row>
    <row r="95" spans="1:9" ht="15.75" customHeight="1">
      <c r="A95" s="32"/>
      <c r="B95" s="1"/>
      <c r="C95" s="1"/>
      <c r="D95" s="1"/>
      <c r="E95" s="1"/>
      <c r="F95" s="1"/>
      <c r="G95" s="1"/>
      <c r="H95" s="1"/>
      <c r="I95" s="1"/>
    </row>
    <row r="96" spans="1:9" ht="15.75" customHeight="1">
      <c r="A96" s="32"/>
      <c r="B96" s="1"/>
      <c r="C96" s="1"/>
      <c r="D96" s="1"/>
      <c r="E96" s="1"/>
      <c r="F96" s="1"/>
      <c r="G96" s="1"/>
      <c r="H96" s="1"/>
      <c r="I96" s="1"/>
    </row>
    <row r="97" spans="1:9" ht="15.75" customHeight="1">
      <c r="A97" s="32"/>
      <c r="B97" s="1"/>
      <c r="C97" s="1"/>
      <c r="D97" s="1"/>
      <c r="E97" s="1"/>
      <c r="F97" s="1"/>
      <c r="G97" s="1"/>
      <c r="H97" s="1"/>
      <c r="I97" s="1"/>
    </row>
    <row r="98" spans="1:9" ht="15.75" customHeight="1">
      <c r="A98" s="32"/>
      <c r="B98" s="1"/>
      <c r="C98" s="1"/>
      <c r="D98" s="1"/>
      <c r="E98" s="1"/>
      <c r="F98" s="1"/>
      <c r="G98" s="1"/>
      <c r="H98" s="1"/>
      <c r="I98" s="1"/>
    </row>
    <row r="99" spans="1:9" ht="15.75" customHeight="1">
      <c r="A99" s="32"/>
      <c r="B99" s="1"/>
      <c r="C99" s="1"/>
      <c r="D99" s="1"/>
      <c r="E99" s="1"/>
      <c r="F99" s="1"/>
      <c r="G99" s="1"/>
      <c r="H99" s="1"/>
      <c r="I99" s="1"/>
    </row>
    <row r="100" spans="1:9" ht="15.75" customHeight="1">
      <c r="A100" s="32"/>
      <c r="B100" s="1"/>
      <c r="C100" s="1"/>
      <c r="D100" s="1"/>
      <c r="E100" s="1"/>
      <c r="F100" s="1"/>
      <c r="G100" s="1"/>
      <c r="H100" s="1"/>
      <c r="I100" s="1"/>
    </row>
    <row r="101" spans="1:9" ht="15.75" customHeight="1">
      <c r="A101" s="32"/>
      <c r="B101" s="1"/>
      <c r="C101" s="1"/>
      <c r="D101" s="1"/>
      <c r="E101" s="1"/>
      <c r="F101" s="1"/>
      <c r="G101" s="1"/>
      <c r="H101" s="1"/>
      <c r="I101" s="1"/>
    </row>
    <row r="102" spans="1:9" ht="15.75" customHeight="1">
      <c r="A102" s="32"/>
      <c r="B102" s="1"/>
      <c r="C102" s="1"/>
      <c r="D102" s="1"/>
      <c r="E102" s="1"/>
      <c r="F102" s="1"/>
      <c r="G102" s="1"/>
      <c r="H102" s="1"/>
      <c r="I102" s="1"/>
    </row>
    <row r="103" spans="1:9" ht="15.75" customHeight="1">
      <c r="A103" s="32"/>
      <c r="B103" s="1"/>
      <c r="C103" s="1"/>
      <c r="D103" s="1"/>
      <c r="E103" s="1"/>
      <c r="F103" s="1"/>
      <c r="G103" s="1"/>
      <c r="H103" s="1"/>
      <c r="I103" s="1"/>
    </row>
    <row r="104" spans="1:9" ht="15.75" customHeight="1">
      <c r="A104" s="32"/>
      <c r="B104" s="1"/>
      <c r="C104" s="1"/>
      <c r="D104" s="1"/>
      <c r="E104" s="1"/>
      <c r="F104" s="1"/>
      <c r="G104" s="1"/>
      <c r="H104" s="1"/>
      <c r="I104" s="1"/>
    </row>
    <row r="105" spans="1:9" ht="15.75" customHeight="1">
      <c r="A105" s="32"/>
      <c r="B105" s="1"/>
      <c r="C105" s="1"/>
      <c r="D105" s="1"/>
      <c r="E105" s="1"/>
      <c r="F105" s="1"/>
      <c r="G105" s="1"/>
      <c r="H105" s="1"/>
      <c r="I105" s="1"/>
    </row>
    <row r="106" spans="1:9" ht="15.75" customHeight="1">
      <c r="A106" s="32"/>
      <c r="B106" s="1"/>
      <c r="C106" s="1"/>
      <c r="D106" s="1"/>
      <c r="E106" s="1"/>
      <c r="F106" s="1"/>
      <c r="G106" s="1"/>
      <c r="H106" s="1"/>
      <c r="I106" s="1"/>
    </row>
    <row r="107" spans="1:9" ht="15.75" customHeight="1">
      <c r="A107" s="32"/>
      <c r="B107" s="1"/>
      <c r="C107" s="1"/>
      <c r="D107" s="1"/>
      <c r="E107" s="1"/>
      <c r="F107" s="1"/>
      <c r="G107" s="1"/>
      <c r="H107" s="1"/>
      <c r="I107" s="1"/>
    </row>
    <row r="108" spans="1:9" ht="15.75" customHeight="1">
      <c r="A108" s="32"/>
      <c r="B108" s="1"/>
      <c r="C108" s="1"/>
      <c r="D108" s="1"/>
      <c r="E108" s="1"/>
      <c r="F108" s="1"/>
      <c r="G108" s="1"/>
      <c r="H108" s="1"/>
      <c r="I108" s="1"/>
    </row>
    <row r="109" spans="1:9" ht="15.75" customHeight="1">
      <c r="A109" s="32"/>
      <c r="B109" s="1"/>
      <c r="C109" s="1"/>
      <c r="D109" s="1"/>
      <c r="E109" s="1"/>
      <c r="F109" s="1"/>
      <c r="G109" s="1"/>
      <c r="H109" s="1"/>
      <c r="I109" s="1"/>
    </row>
    <row r="110" spans="1:9" ht="15.75" customHeight="1">
      <c r="A110" s="32"/>
      <c r="B110" s="1"/>
      <c r="C110" s="1"/>
      <c r="D110" s="1"/>
      <c r="E110" s="1"/>
      <c r="F110" s="1"/>
      <c r="G110" s="1"/>
      <c r="H110" s="1"/>
      <c r="I110" s="1"/>
    </row>
    <row r="111" spans="1:9" ht="15.75" customHeight="1">
      <c r="A111" s="32"/>
      <c r="B111" s="1"/>
      <c r="C111" s="1"/>
      <c r="D111" s="1"/>
      <c r="E111" s="1"/>
      <c r="F111" s="1"/>
      <c r="G111" s="1"/>
      <c r="H111" s="1"/>
      <c r="I111" s="1"/>
    </row>
    <row r="112" spans="1:9" ht="15.75" customHeight="1">
      <c r="A112" s="32"/>
      <c r="B112" s="1"/>
      <c r="C112" s="1"/>
      <c r="D112" s="1"/>
      <c r="E112" s="1"/>
      <c r="F112" s="1"/>
      <c r="G112" s="1"/>
      <c r="H112" s="1"/>
      <c r="I112" s="1"/>
    </row>
    <row r="113" spans="1:9" ht="15.75" customHeight="1">
      <c r="A113" s="32"/>
      <c r="B113" s="1"/>
      <c r="C113" s="1"/>
      <c r="D113" s="1"/>
      <c r="E113" s="1"/>
      <c r="F113" s="1"/>
      <c r="G113" s="1"/>
      <c r="H113" s="1"/>
      <c r="I113" s="1"/>
    </row>
    <row r="114" spans="1:9" ht="15.75" customHeight="1">
      <c r="A114" s="32"/>
      <c r="B114" s="1"/>
      <c r="C114" s="1"/>
      <c r="D114" s="1"/>
      <c r="E114" s="1"/>
      <c r="F114" s="1"/>
      <c r="G114" s="1"/>
      <c r="H114" s="1"/>
      <c r="I114" s="1"/>
    </row>
    <row r="115" spans="1:9" ht="15.75" customHeight="1">
      <c r="A115" s="32"/>
      <c r="B115" s="1"/>
      <c r="C115" s="1"/>
      <c r="D115" s="1"/>
      <c r="E115" s="1"/>
      <c r="F115" s="1"/>
      <c r="G115" s="1"/>
      <c r="H115" s="1"/>
      <c r="I115" s="1"/>
    </row>
    <row r="116" spans="1:9" ht="15.75" customHeight="1">
      <c r="A116" s="32"/>
      <c r="B116" s="1"/>
      <c r="C116" s="1"/>
      <c r="D116" s="1"/>
      <c r="E116" s="1"/>
      <c r="F116" s="1"/>
      <c r="G116" s="1"/>
      <c r="H116" s="1"/>
      <c r="I116" s="1"/>
    </row>
    <row r="117" spans="1:9" ht="15.75" customHeight="1">
      <c r="A117" s="32"/>
      <c r="B117" s="1"/>
      <c r="C117" s="1"/>
      <c r="D117" s="1"/>
      <c r="E117" s="1"/>
      <c r="F117" s="1"/>
      <c r="G117" s="1"/>
      <c r="H117" s="1"/>
      <c r="I117" s="1"/>
    </row>
    <row r="118" spans="1:9" ht="15.75" customHeight="1">
      <c r="A118" s="32"/>
      <c r="B118" s="1"/>
      <c r="C118" s="1"/>
      <c r="D118" s="1"/>
      <c r="E118" s="1"/>
      <c r="F118" s="1"/>
      <c r="G118" s="1"/>
      <c r="H118" s="1"/>
      <c r="I118" s="1"/>
    </row>
    <row r="119" spans="1:9" ht="15.75" customHeight="1">
      <c r="A119" s="32"/>
      <c r="B119" s="1"/>
      <c r="C119" s="1"/>
      <c r="D119" s="1"/>
      <c r="E119" s="1"/>
      <c r="F119" s="1"/>
      <c r="G119" s="1"/>
      <c r="H119" s="1"/>
      <c r="I119" s="1"/>
    </row>
    <row r="120" spans="1:9" ht="15.75" customHeight="1">
      <c r="A120" s="32"/>
      <c r="B120" s="1"/>
      <c r="C120" s="1"/>
      <c r="D120" s="1"/>
      <c r="E120" s="1"/>
      <c r="F120" s="1"/>
      <c r="G120" s="1"/>
      <c r="H120" s="1"/>
      <c r="I120" s="1"/>
    </row>
    <row r="121" spans="1:9" ht="15.75" customHeight="1">
      <c r="A121" s="32"/>
      <c r="B121" s="1"/>
      <c r="C121" s="1"/>
      <c r="D121" s="1"/>
      <c r="E121" s="1"/>
      <c r="F121" s="1"/>
      <c r="G121" s="1"/>
      <c r="H121" s="1"/>
      <c r="I121" s="1"/>
    </row>
    <row r="122" spans="1:9" ht="15.75" customHeight="1">
      <c r="A122" s="32"/>
      <c r="B122" s="1"/>
      <c r="C122" s="1"/>
      <c r="D122" s="1"/>
      <c r="E122" s="1"/>
      <c r="F122" s="1"/>
      <c r="G122" s="1"/>
      <c r="H122" s="1"/>
      <c r="I122" s="1"/>
    </row>
    <row r="123" spans="1:9" ht="15.75" customHeight="1">
      <c r="A123" s="32"/>
      <c r="B123" s="1"/>
      <c r="C123" s="1"/>
      <c r="D123" s="1"/>
      <c r="E123" s="1"/>
      <c r="F123" s="1"/>
      <c r="G123" s="1"/>
      <c r="H123" s="1"/>
      <c r="I123" s="1"/>
    </row>
    <row r="124" spans="1:9" ht="15.75" customHeight="1">
      <c r="A124" s="32"/>
      <c r="B124" s="1"/>
      <c r="C124" s="1"/>
      <c r="D124" s="1"/>
      <c r="E124" s="1"/>
      <c r="F124" s="1"/>
      <c r="G124" s="1"/>
      <c r="H124" s="1"/>
      <c r="I124" s="1"/>
    </row>
    <row r="125" spans="1:9" ht="15.75" customHeight="1">
      <c r="A125" s="32"/>
      <c r="B125" s="1"/>
      <c r="C125" s="1"/>
      <c r="D125" s="1"/>
      <c r="E125" s="1"/>
      <c r="F125" s="1"/>
      <c r="G125" s="1"/>
      <c r="H125" s="1"/>
      <c r="I125" s="1"/>
    </row>
    <row r="126" spans="1:9" ht="15.75" customHeight="1">
      <c r="A126" s="32"/>
      <c r="B126" s="1"/>
      <c r="C126" s="1"/>
      <c r="D126" s="1"/>
      <c r="E126" s="1"/>
      <c r="F126" s="1"/>
      <c r="G126" s="1"/>
      <c r="H126" s="1"/>
      <c r="I126" s="1"/>
    </row>
    <row r="127" spans="1:9" ht="15.75" customHeight="1">
      <c r="A127" s="32"/>
      <c r="B127" s="1"/>
      <c r="C127" s="1"/>
      <c r="D127" s="1"/>
      <c r="E127" s="1"/>
      <c r="F127" s="1"/>
      <c r="G127" s="1"/>
      <c r="H127" s="1"/>
      <c r="I127" s="1"/>
    </row>
    <row r="128" spans="1:9" ht="15.75" customHeight="1">
      <c r="A128" s="32"/>
      <c r="B128" s="1"/>
      <c r="C128" s="1"/>
      <c r="D128" s="1"/>
      <c r="E128" s="1"/>
      <c r="F128" s="1"/>
      <c r="G128" s="1"/>
      <c r="H128" s="1"/>
      <c r="I128" s="1"/>
    </row>
    <row r="129" spans="1:9" ht="15.75" customHeight="1">
      <c r="A129" s="32"/>
      <c r="B129" s="1"/>
      <c r="C129" s="1"/>
      <c r="D129" s="1"/>
      <c r="E129" s="1"/>
      <c r="F129" s="1"/>
      <c r="G129" s="1"/>
      <c r="H129" s="1"/>
      <c r="I129" s="1"/>
    </row>
    <row r="130" spans="1:9" ht="15.75" customHeight="1">
      <c r="A130" s="32"/>
      <c r="B130" s="1"/>
      <c r="C130" s="1"/>
      <c r="D130" s="1"/>
      <c r="E130" s="1"/>
      <c r="F130" s="1"/>
      <c r="G130" s="1"/>
      <c r="H130" s="1"/>
      <c r="I130" s="1"/>
    </row>
    <row r="131" spans="1:9" ht="15.75" customHeight="1">
      <c r="A131" s="32"/>
      <c r="B131" s="1"/>
      <c r="C131" s="1"/>
      <c r="D131" s="1"/>
      <c r="E131" s="1"/>
      <c r="F131" s="1"/>
      <c r="G131" s="1"/>
      <c r="H131" s="1"/>
      <c r="I131" s="1"/>
    </row>
    <row r="132" spans="1:9" ht="15.75" customHeight="1">
      <c r="A132" s="32"/>
      <c r="B132" s="1"/>
      <c r="C132" s="1"/>
      <c r="D132" s="1"/>
      <c r="E132" s="1"/>
      <c r="F132" s="1"/>
      <c r="G132" s="1"/>
      <c r="H132" s="1"/>
      <c r="I132" s="1"/>
    </row>
    <row r="133" spans="1:9" ht="15.75" customHeight="1">
      <c r="A133" s="32"/>
      <c r="B133" s="1"/>
      <c r="C133" s="1"/>
      <c r="D133" s="1"/>
      <c r="E133" s="1"/>
      <c r="F133" s="1"/>
      <c r="G133" s="1"/>
      <c r="H133" s="1"/>
      <c r="I133" s="1"/>
    </row>
    <row r="134" spans="1:9" ht="15.75" customHeight="1">
      <c r="A134" s="32"/>
      <c r="B134" s="1"/>
      <c r="C134" s="1"/>
      <c r="D134" s="1"/>
      <c r="E134" s="1"/>
      <c r="F134" s="1"/>
      <c r="G134" s="1"/>
      <c r="H134" s="1"/>
      <c r="I134" s="1"/>
    </row>
    <row r="135" spans="1:9" ht="15.75" customHeight="1">
      <c r="A135" s="32"/>
      <c r="B135" s="1"/>
      <c r="C135" s="1"/>
      <c r="D135" s="1"/>
      <c r="E135" s="1"/>
      <c r="F135" s="1"/>
      <c r="G135" s="1"/>
      <c r="H135" s="1"/>
      <c r="I135" s="1"/>
    </row>
    <row r="136" spans="1:9" ht="15.75" customHeight="1">
      <c r="A136" s="32"/>
      <c r="B136" s="1"/>
      <c r="C136" s="1"/>
      <c r="D136" s="1"/>
      <c r="E136" s="1"/>
      <c r="F136" s="1"/>
      <c r="G136" s="1"/>
      <c r="H136" s="1"/>
      <c r="I136" s="1"/>
    </row>
    <row r="137" spans="1:9" ht="15.75" customHeight="1">
      <c r="A137" s="32"/>
      <c r="B137" s="1"/>
      <c r="C137" s="1"/>
      <c r="D137" s="1"/>
      <c r="E137" s="1"/>
      <c r="F137" s="1"/>
      <c r="G137" s="1"/>
      <c r="H137" s="1"/>
      <c r="I137" s="1"/>
    </row>
    <row r="138" spans="1:9" ht="15.75" customHeight="1">
      <c r="A138" s="32"/>
      <c r="B138" s="1"/>
      <c r="C138" s="1"/>
      <c r="D138" s="1"/>
      <c r="E138" s="1"/>
      <c r="F138" s="1"/>
      <c r="G138" s="1"/>
      <c r="H138" s="1"/>
      <c r="I138" s="1"/>
    </row>
    <row r="139" spans="1:9" ht="15.75" customHeight="1">
      <c r="A139" s="32"/>
      <c r="B139" s="1"/>
      <c r="C139" s="1"/>
      <c r="D139" s="1"/>
      <c r="E139" s="1"/>
      <c r="F139" s="1"/>
      <c r="G139" s="1"/>
      <c r="H139" s="1"/>
      <c r="I139" s="1"/>
    </row>
    <row r="140" spans="1:9" ht="15.75" customHeight="1">
      <c r="A140" s="32"/>
      <c r="B140" s="1"/>
      <c r="C140" s="1"/>
      <c r="D140" s="1"/>
      <c r="E140" s="1"/>
      <c r="F140" s="1"/>
      <c r="G140" s="1"/>
      <c r="H140" s="1"/>
      <c r="I140" s="1"/>
    </row>
    <row r="141" spans="1:9" ht="15.75" customHeight="1">
      <c r="A141" s="32"/>
      <c r="B141" s="1"/>
      <c r="C141" s="1"/>
      <c r="D141" s="1"/>
      <c r="E141" s="1"/>
      <c r="F141" s="1"/>
      <c r="G141" s="1"/>
      <c r="H141" s="1"/>
      <c r="I141" s="1"/>
    </row>
    <row r="142" spans="1:9" ht="15.75" customHeight="1">
      <c r="A142" s="32"/>
      <c r="B142" s="1"/>
      <c r="C142" s="1"/>
      <c r="D142" s="1"/>
      <c r="E142" s="1"/>
      <c r="F142" s="1"/>
      <c r="G142" s="1"/>
      <c r="H142" s="1"/>
      <c r="I142" s="1"/>
    </row>
    <row r="143" spans="1:9" ht="15.75" customHeight="1">
      <c r="A143" s="32"/>
      <c r="B143" s="1"/>
      <c r="C143" s="1"/>
      <c r="D143" s="1"/>
      <c r="E143" s="1"/>
      <c r="F143" s="1"/>
      <c r="G143" s="1"/>
      <c r="H143" s="1"/>
      <c r="I143" s="1"/>
    </row>
    <row r="144" spans="1:9" ht="15.75" customHeight="1">
      <c r="A144" s="32"/>
      <c r="B144" s="1"/>
      <c r="C144" s="1"/>
      <c r="D144" s="1"/>
      <c r="E144" s="1"/>
      <c r="F144" s="1"/>
      <c r="G144" s="1"/>
      <c r="H144" s="1"/>
      <c r="I144" s="1"/>
    </row>
    <row r="145" spans="1:9" ht="15.75" customHeight="1">
      <c r="A145" s="32"/>
      <c r="B145" s="1"/>
      <c r="C145" s="1"/>
      <c r="D145" s="1"/>
      <c r="E145" s="1"/>
      <c r="F145" s="1"/>
      <c r="G145" s="1"/>
      <c r="H145" s="1"/>
      <c r="I145" s="1"/>
    </row>
    <row r="146" spans="1:9" ht="15.75" customHeight="1">
      <c r="A146" s="32"/>
      <c r="B146" s="1"/>
      <c r="C146" s="1"/>
      <c r="D146" s="1"/>
      <c r="E146" s="1"/>
      <c r="F146" s="1"/>
      <c r="G146" s="1"/>
      <c r="H146" s="1"/>
      <c r="I146" s="1"/>
    </row>
    <row r="147" spans="1:9" ht="15.75" customHeight="1">
      <c r="A147" s="32"/>
      <c r="B147" s="1"/>
      <c r="C147" s="1"/>
      <c r="D147" s="1"/>
      <c r="E147" s="1"/>
      <c r="F147" s="1"/>
      <c r="G147" s="1"/>
      <c r="H147" s="1"/>
      <c r="I147" s="1"/>
    </row>
    <row r="148" spans="1:9" ht="15.75" customHeight="1">
      <c r="A148" s="32"/>
      <c r="B148" s="1"/>
      <c r="C148" s="1"/>
      <c r="D148" s="1"/>
      <c r="E148" s="1"/>
      <c r="F148" s="1"/>
      <c r="G148" s="1"/>
      <c r="H148" s="1"/>
      <c r="I148" s="1"/>
    </row>
    <row r="149" spans="1:9" ht="15.75" customHeight="1">
      <c r="A149" s="32"/>
      <c r="B149" s="1"/>
      <c r="C149" s="1"/>
      <c r="D149" s="1"/>
      <c r="E149" s="1"/>
      <c r="F149" s="1"/>
      <c r="G149" s="1"/>
      <c r="H149" s="1"/>
      <c r="I149" s="1"/>
    </row>
    <row r="150" spans="1:9" ht="15.75" customHeight="1">
      <c r="A150" s="32"/>
      <c r="B150" s="1"/>
      <c r="C150" s="1"/>
      <c r="D150" s="1"/>
      <c r="E150" s="1"/>
      <c r="F150" s="1"/>
      <c r="G150" s="1"/>
      <c r="H150" s="1"/>
      <c r="I150" s="1"/>
    </row>
    <row r="151" spans="1:9" ht="15.75" customHeight="1">
      <c r="A151" s="32"/>
      <c r="B151" s="1"/>
      <c r="C151" s="1"/>
      <c r="D151" s="1"/>
      <c r="E151" s="1"/>
      <c r="F151" s="1"/>
      <c r="G151" s="1"/>
      <c r="H151" s="1"/>
      <c r="I151" s="1"/>
    </row>
    <row r="152" spans="1:9" ht="15.75" customHeight="1">
      <c r="A152" s="32"/>
      <c r="B152" s="1"/>
      <c r="C152" s="1"/>
      <c r="D152" s="1"/>
      <c r="E152" s="1"/>
      <c r="F152" s="1"/>
      <c r="G152" s="1"/>
      <c r="H152" s="1"/>
      <c r="I152" s="1"/>
    </row>
    <row r="153" spans="1:9" ht="15.75" customHeight="1">
      <c r="A153" s="32"/>
      <c r="B153" s="1"/>
      <c r="C153" s="1"/>
      <c r="D153" s="1"/>
      <c r="E153" s="1"/>
      <c r="F153" s="1"/>
      <c r="G153" s="1"/>
      <c r="H153" s="1"/>
      <c r="I153" s="1"/>
    </row>
    <row r="154" spans="1:9" ht="15.75" customHeight="1">
      <c r="A154" s="32"/>
      <c r="B154" s="1"/>
      <c r="C154" s="1"/>
      <c r="D154" s="1"/>
      <c r="E154" s="1"/>
      <c r="F154" s="1"/>
      <c r="G154" s="1"/>
      <c r="H154" s="1"/>
      <c r="I154" s="1"/>
    </row>
    <row r="155" spans="1:9" ht="15.75" customHeight="1">
      <c r="A155" s="32"/>
      <c r="B155" s="1"/>
      <c r="C155" s="1"/>
      <c r="D155" s="1"/>
      <c r="E155" s="1"/>
      <c r="F155" s="1"/>
      <c r="G155" s="1"/>
      <c r="H155" s="1"/>
      <c r="I155" s="1"/>
    </row>
    <row r="156" spans="1:9" ht="15.75" customHeight="1">
      <c r="A156" s="32"/>
      <c r="B156" s="1"/>
      <c r="C156" s="1"/>
      <c r="D156" s="1"/>
      <c r="E156" s="1"/>
      <c r="F156" s="1"/>
      <c r="G156" s="1"/>
      <c r="H156" s="1"/>
      <c r="I156" s="1"/>
    </row>
    <row r="157" spans="1:9" ht="15.75" customHeight="1">
      <c r="A157" s="32"/>
      <c r="B157" s="1"/>
      <c r="C157" s="1"/>
      <c r="D157" s="1"/>
      <c r="E157" s="1"/>
      <c r="F157" s="1"/>
      <c r="G157" s="1"/>
      <c r="H157" s="1"/>
      <c r="I157" s="1"/>
    </row>
    <row r="158" spans="1:9" ht="15.75" customHeight="1">
      <c r="A158" s="32"/>
      <c r="B158" s="1"/>
      <c r="C158" s="1"/>
      <c r="D158" s="1"/>
      <c r="E158" s="1"/>
      <c r="F158" s="1"/>
      <c r="G158" s="1"/>
      <c r="H158" s="1"/>
      <c r="I158" s="1"/>
    </row>
    <row r="159" spans="1:9" ht="15.75" customHeight="1">
      <c r="A159" s="32"/>
      <c r="B159" s="1"/>
      <c r="C159" s="1"/>
      <c r="D159" s="1"/>
      <c r="E159" s="1"/>
      <c r="F159" s="1"/>
      <c r="G159" s="1"/>
      <c r="H159" s="1"/>
      <c r="I159" s="1"/>
    </row>
    <row r="160" spans="1:9" ht="15.75" customHeight="1">
      <c r="A160" s="32"/>
      <c r="B160" s="1"/>
      <c r="C160" s="1"/>
      <c r="D160" s="1"/>
      <c r="E160" s="1"/>
      <c r="F160" s="1"/>
      <c r="G160" s="1"/>
      <c r="H160" s="1"/>
      <c r="I160" s="1"/>
    </row>
    <row r="161" spans="1:9" ht="15.75" customHeight="1">
      <c r="A161" s="32"/>
      <c r="B161" s="1"/>
      <c r="C161" s="1"/>
      <c r="D161" s="1"/>
      <c r="E161" s="1"/>
      <c r="F161" s="1"/>
      <c r="G161" s="1"/>
      <c r="H161" s="1"/>
      <c r="I161" s="1"/>
    </row>
    <row r="162" spans="1:9" ht="15.75" customHeight="1">
      <c r="A162" s="32"/>
      <c r="B162" s="1"/>
      <c r="C162" s="1"/>
      <c r="D162" s="1"/>
      <c r="E162" s="1"/>
      <c r="F162" s="1"/>
      <c r="G162" s="1"/>
      <c r="H162" s="1"/>
      <c r="I162" s="1"/>
    </row>
    <row r="163" spans="1:9" ht="15.75" customHeight="1">
      <c r="A163" s="32"/>
      <c r="B163" s="1"/>
      <c r="C163" s="1"/>
      <c r="D163" s="1"/>
      <c r="E163" s="1"/>
      <c r="F163" s="1"/>
      <c r="G163" s="1"/>
      <c r="H163" s="1"/>
      <c r="I163" s="1"/>
    </row>
    <row r="164" spans="1:9" ht="15.75" customHeight="1">
      <c r="A164" s="32"/>
      <c r="B164" s="1"/>
      <c r="C164" s="1"/>
      <c r="D164" s="1"/>
      <c r="E164" s="1"/>
      <c r="F164" s="1"/>
      <c r="G164" s="1"/>
      <c r="H164" s="1"/>
      <c r="I164" s="1"/>
    </row>
    <row r="165" spans="1:9" ht="15.75" customHeight="1">
      <c r="A165" s="32"/>
      <c r="B165" s="1"/>
      <c r="C165" s="1"/>
      <c r="D165" s="1"/>
      <c r="E165" s="1"/>
      <c r="F165" s="1"/>
      <c r="G165" s="1"/>
      <c r="H165" s="1"/>
      <c r="I165" s="1"/>
    </row>
    <row r="166" spans="1:9" ht="15.75" customHeight="1">
      <c r="A166" s="32"/>
      <c r="B166" s="1"/>
      <c r="C166" s="1"/>
      <c r="D166" s="1"/>
      <c r="E166" s="1"/>
      <c r="F166" s="1"/>
      <c r="G166" s="1"/>
      <c r="H166" s="1"/>
      <c r="I166" s="1"/>
    </row>
    <row r="167" spans="1:9" ht="15.75" customHeight="1">
      <c r="A167" s="32"/>
      <c r="B167" s="1"/>
      <c r="C167" s="1"/>
      <c r="D167" s="1"/>
      <c r="E167" s="1"/>
      <c r="F167" s="1"/>
      <c r="G167" s="1"/>
      <c r="H167" s="1"/>
      <c r="I167" s="1"/>
    </row>
    <row r="168" spans="1:9" ht="15.75" customHeight="1">
      <c r="A168" s="32"/>
      <c r="B168" s="1"/>
      <c r="C168" s="1"/>
      <c r="D168" s="1"/>
      <c r="E168" s="1"/>
      <c r="F168" s="1"/>
      <c r="G168" s="1"/>
      <c r="H168" s="1"/>
      <c r="I168" s="1"/>
    </row>
    <row r="169" spans="1:9" ht="15.75" customHeight="1">
      <c r="A169" s="32"/>
      <c r="B169" s="1"/>
      <c r="C169" s="1"/>
      <c r="D169" s="1"/>
      <c r="E169" s="1"/>
      <c r="F169" s="1"/>
      <c r="G169" s="1"/>
      <c r="H169" s="1"/>
      <c r="I169" s="1"/>
    </row>
    <row r="170" spans="1:9" ht="15.75" customHeight="1">
      <c r="A170" s="32"/>
      <c r="B170" s="1"/>
      <c r="C170" s="1"/>
      <c r="D170" s="1"/>
      <c r="E170" s="1"/>
      <c r="F170" s="1"/>
      <c r="G170" s="1"/>
      <c r="H170" s="1"/>
      <c r="I170" s="1"/>
    </row>
    <row r="171" spans="1:9" ht="15.75" customHeight="1">
      <c r="A171" s="32"/>
      <c r="B171" s="1"/>
      <c r="C171" s="1"/>
      <c r="D171" s="1"/>
      <c r="E171" s="1"/>
      <c r="F171" s="1"/>
      <c r="G171" s="1"/>
      <c r="H171" s="1"/>
      <c r="I171" s="1"/>
    </row>
    <row r="172" spans="1:9" ht="15.75" customHeight="1">
      <c r="A172" s="32"/>
      <c r="B172" s="1"/>
      <c r="C172" s="1"/>
      <c r="D172" s="1"/>
      <c r="E172" s="1"/>
      <c r="F172" s="1"/>
      <c r="G172" s="1"/>
      <c r="H172" s="1"/>
      <c r="I172" s="1"/>
    </row>
    <row r="173" spans="1:9" ht="15.75" customHeight="1">
      <c r="A173" s="32"/>
      <c r="B173" s="1"/>
      <c r="C173" s="1"/>
      <c r="D173" s="1"/>
      <c r="E173" s="1"/>
      <c r="F173" s="1"/>
      <c r="G173" s="1"/>
      <c r="H173" s="1"/>
      <c r="I173" s="1"/>
    </row>
    <row r="174" spans="1:9" ht="15.75" customHeight="1">
      <c r="A174" s="32"/>
      <c r="B174" s="1"/>
      <c r="C174" s="1"/>
      <c r="D174" s="1"/>
      <c r="E174" s="1"/>
      <c r="F174" s="1"/>
      <c r="G174" s="1"/>
      <c r="H174" s="1"/>
      <c r="I174" s="1"/>
    </row>
    <row r="175" spans="1:9" ht="15.75" customHeight="1">
      <c r="A175" s="32"/>
      <c r="B175" s="1"/>
      <c r="C175" s="1"/>
      <c r="D175" s="1"/>
      <c r="E175" s="1"/>
      <c r="F175" s="1"/>
      <c r="G175" s="1"/>
      <c r="H175" s="1"/>
      <c r="I175" s="1"/>
    </row>
    <row r="176" spans="1:9" ht="15.75" customHeight="1">
      <c r="A176" s="32"/>
      <c r="B176" s="1"/>
      <c r="C176" s="1"/>
      <c r="D176" s="1"/>
      <c r="E176" s="1"/>
      <c r="F176" s="1"/>
      <c r="G176" s="1"/>
      <c r="H176" s="1"/>
      <c r="I176" s="1"/>
    </row>
    <row r="177" spans="1:9" ht="15.75" customHeight="1">
      <c r="A177" s="32"/>
      <c r="B177" s="1"/>
      <c r="C177" s="1"/>
      <c r="D177" s="1"/>
      <c r="E177" s="1"/>
      <c r="F177" s="1"/>
      <c r="G177" s="1"/>
      <c r="H177" s="1"/>
      <c r="I177" s="1"/>
    </row>
    <row r="178" spans="1:9" ht="15.75" customHeight="1">
      <c r="A178" s="32"/>
      <c r="B178" s="1"/>
      <c r="C178" s="1"/>
      <c r="D178" s="1"/>
      <c r="E178" s="1"/>
      <c r="F178" s="1"/>
      <c r="G178" s="1"/>
      <c r="H178" s="1"/>
      <c r="I178" s="1"/>
    </row>
    <row r="179" spans="1:9" ht="15.75" customHeight="1">
      <c r="A179" s="32"/>
      <c r="B179" s="1"/>
      <c r="C179" s="1"/>
      <c r="D179" s="1"/>
      <c r="E179" s="1"/>
      <c r="F179" s="1"/>
      <c r="G179" s="1"/>
      <c r="H179" s="1"/>
      <c r="I179" s="1"/>
    </row>
    <row r="180" spans="1:9" ht="15.75" customHeight="1">
      <c r="A180" s="32"/>
      <c r="B180" s="1"/>
      <c r="C180" s="1"/>
      <c r="D180" s="1"/>
      <c r="E180" s="1"/>
      <c r="F180" s="1"/>
      <c r="G180" s="1"/>
      <c r="H180" s="1"/>
      <c r="I180" s="1"/>
    </row>
    <row r="181" spans="1:9" ht="15.75" customHeight="1">
      <c r="A181" s="32"/>
      <c r="B181" s="1"/>
      <c r="C181" s="1"/>
      <c r="D181" s="1"/>
      <c r="E181" s="1"/>
      <c r="F181" s="1"/>
      <c r="G181" s="1"/>
      <c r="H181" s="1"/>
      <c r="I181" s="1"/>
    </row>
    <row r="182" spans="1:9" ht="15.75" customHeight="1">
      <c r="A182" s="32"/>
      <c r="B182" s="1"/>
      <c r="C182" s="1"/>
      <c r="D182" s="1"/>
      <c r="E182" s="1"/>
      <c r="F182" s="1"/>
      <c r="G182" s="1"/>
      <c r="H182" s="1"/>
      <c r="I182" s="1"/>
    </row>
    <row r="183" spans="1:9" ht="15.75" customHeight="1">
      <c r="A183" s="32"/>
      <c r="B183" s="1"/>
      <c r="C183" s="1"/>
      <c r="D183" s="1"/>
      <c r="E183" s="1"/>
      <c r="F183" s="1"/>
      <c r="G183" s="1"/>
      <c r="H183" s="1"/>
      <c r="I183" s="1"/>
    </row>
    <row r="184" spans="1:9" ht="15.75" customHeight="1">
      <c r="A184" s="32"/>
      <c r="B184" s="1"/>
      <c r="C184" s="1"/>
      <c r="D184" s="1"/>
      <c r="E184" s="1"/>
      <c r="F184" s="1"/>
      <c r="G184" s="1"/>
      <c r="H184" s="1"/>
      <c r="I184" s="1"/>
    </row>
    <row r="185" spans="1:9" ht="15.75" customHeight="1">
      <c r="A185" s="32"/>
      <c r="B185" s="1"/>
      <c r="C185" s="1"/>
      <c r="D185" s="1"/>
      <c r="E185" s="1"/>
      <c r="F185" s="1"/>
      <c r="G185" s="1"/>
      <c r="H185" s="1"/>
      <c r="I185" s="1"/>
    </row>
    <row r="186" spans="1:9" ht="15.75" customHeight="1">
      <c r="A186" s="32"/>
      <c r="B186" s="1"/>
      <c r="C186" s="1"/>
      <c r="D186" s="1"/>
      <c r="E186" s="1"/>
      <c r="F186" s="1"/>
      <c r="G186" s="1"/>
      <c r="H186" s="1"/>
      <c r="I186" s="1"/>
    </row>
    <row r="187" spans="1:9" ht="15.75" customHeight="1">
      <c r="A187" s="32"/>
      <c r="B187" s="1"/>
      <c r="C187" s="1"/>
      <c r="D187" s="1"/>
      <c r="E187" s="1"/>
      <c r="F187" s="1"/>
      <c r="G187" s="1"/>
      <c r="H187" s="1"/>
      <c r="I187" s="1"/>
    </row>
    <row r="188" spans="1:9" ht="15.75" customHeight="1">
      <c r="A188" s="32"/>
      <c r="B188" s="1"/>
      <c r="C188" s="1"/>
      <c r="D188" s="1"/>
      <c r="E188" s="1"/>
      <c r="F188" s="1"/>
      <c r="G188" s="1"/>
      <c r="H188" s="1"/>
      <c r="I188" s="1"/>
    </row>
    <row r="189" spans="1:9" ht="15.75" customHeight="1">
      <c r="A189" s="32"/>
      <c r="B189" s="1"/>
      <c r="C189" s="1"/>
      <c r="D189" s="1"/>
      <c r="E189" s="1"/>
      <c r="F189" s="1"/>
      <c r="G189" s="1"/>
      <c r="H189" s="1"/>
      <c r="I189" s="1"/>
    </row>
    <row r="190" spans="1:9" ht="15.75" customHeight="1">
      <c r="A190" s="32"/>
      <c r="B190" s="1"/>
      <c r="C190" s="1"/>
      <c r="D190" s="1"/>
      <c r="E190" s="1"/>
      <c r="F190" s="1"/>
      <c r="G190" s="1"/>
      <c r="H190" s="1"/>
      <c r="I190" s="1"/>
    </row>
    <row r="191" spans="1:9" ht="15.75" customHeight="1">
      <c r="A191" s="32"/>
      <c r="B191" s="1"/>
      <c r="C191" s="1"/>
      <c r="D191" s="1"/>
      <c r="E191" s="1"/>
      <c r="F191" s="1"/>
      <c r="G191" s="1"/>
      <c r="H191" s="1"/>
      <c r="I191" s="1"/>
    </row>
    <row r="192" spans="1:9" ht="15.75" customHeight="1">
      <c r="A192" s="32"/>
      <c r="B192" s="1"/>
      <c r="C192" s="1"/>
      <c r="D192" s="1"/>
      <c r="E192" s="1"/>
      <c r="F192" s="1"/>
      <c r="G192" s="1"/>
      <c r="H192" s="1"/>
      <c r="I192" s="1"/>
    </row>
    <row r="193" spans="1:9" ht="15.75" customHeight="1">
      <c r="A193" s="32"/>
      <c r="B193" s="1"/>
      <c r="C193" s="1"/>
      <c r="D193" s="1"/>
      <c r="E193" s="1"/>
      <c r="F193" s="1"/>
      <c r="G193" s="1"/>
      <c r="H193" s="1"/>
      <c r="I193" s="1"/>
    </row>
    <row r="194" spans="1:9" ht="15.75" customHeight="1">
      <c r="A194" s="32"/>
      <c r="B194" s="1"/>
      <c r="C194" s="1"/>
      <c r="D194" s="1"/>
      <c r="E194" s="1"/>
      <c r="F194" s="1"/>
      <c r="G194" s="1"/>
      <c r="H194" s="1"/>
      <c r="I194" s="1"/>
    </row>
    <row r="195" spans="1:9" ht="15.75" customHeight="1">
      <c r="A195" s="32"/>
      <c r="B195" s="1"/>
      <c r="C195" s="1"/>
      <c r="D195" s="1"/>
      <c r="E195" s="1"/>
      <c r="F195" s="1"/>
      <c r="G195" s="1"/>
      <c r="H195" s="1"/>
      <c r="I195" s="1"/>
    </row>
    <row r="196" spans="1:9" ht="15.75" customHeight="1">
      <c r="A196" s="32"/>
      <c r="B196" s="1"/>
      <c r="C196" s="1"/>
      <c r="D196" s="1"/>
      <c r="E196" s="1"/>
      <c r="F196" s="1"/>
      <c r="G196" s="1"/>
      <c r="H196" s="1"/>
      <c r="I196" s="1"/>
    </row>
    <row r="197" spans="1:9" ht="15.75" customHeight="1">
      <c r="A197" s="32"/>
      <c r="B197" s="1"/>
      <c r="C197" s="1"/>
      <c r="D197" s="1"/>
      <c r="E197" s="1"/>
      <c r="F197" s="1"/>
      <c r="G197" s="1"/>
      <c r="H197" s="1"/>
      <c r="I197" s="1"/>
    </row>
    <row r="198" spans="1:9" ht="15.75" customHeight="1">
      <c r="A198" s="32"/>
      <c r="B198" s="1"/>
      <c r="C198" s="1"/>
      <c r="D198" s="1"/>
      <c r="E198" s="1"/>
      <c r="F198" s="1"/>
      <c r="G198" s="1"/>
      <c r="H198" s="1"/>
      <c r="I198" s="1"/>
    </row>
    <row r="199" spans="1:9" ht="15.75" customHeight="1">
      <c r="A199" s="32"/>
      <c r="B199" s="1"/>
      <c r="C199" s="1"/>
      <c r="D199" s="1"/>
      <c r="E199" s="1"/>
      <c r="F199" s="1"/>
      <c r="G199" s="1"/>
      <c r="H199" s="1"/>
      <c r="I199" s="1"/>
    </row>
    <row r="200" spans="1:9" ht="15.75" customHeight="1">
      <c r="A200" s="32"/>
      <c r="B200" s="1"/>
      <c r="C200" s="1"/>
      <c r="D200" s="1"/>
      <c r="E200" s="1"/>
      <c r="F200" s="1"/>
      <c r="G200" s="1"/>
      <c r="H200" s="1"/>
      <c r="I200" s="1"/>
    </row>
    <row r="201" spans="1:9" ht="15.75" customHeight="1">
      <c r="A201" s="32"/>
      <c r="B201" s="1"/>
      <c r="C201" s="1"/>
      <c r="D201" s="1"/>
      <c r="E201" s="1"/>
      <c r="F201" s="1"/>
      <c r="G201" s="1"/>
      <c r="H201" s="1"/>
      <c r="I201" s="1"/>
    </row>
    <row r="202" spans="1:9" ht="15.75" customHeight="1">
      <c r="A202" s="32"/>
      <c r="B202" s="1"/>
      <c r="C202" s="1"/>
      <c r="D202" s="1"/>
      <c r="E202" s="1"/>
      <c r="F202" s="1"/>
      <c r="G202" s="1"/>
      <c r="H202" s="1"/>
      <c r="I202" s="1"/>
    </row>
    <row r="203" spans="1:9" ht="15.75" customHeight="1">
      <c r="A203" s="32"/>
      <c r="B203" s="1"/>
      <c r="C203" s="1"/>
      <c r="D203" s="1"/>
      <c r="E203" s="1"/>
      <c r="F203" s="1"/>
      <c r="G203" s="1"/>
      <c r="H203" s="1"/>
      <c r="I203" s="1"/>
    </row>
    <row r="204" spans="1:9" ht="15.75" customHeight="1">
      <c r="A204" s="32"/>
      <c r="B204" s="1"/>
      <c r="C204" s="1"/>
      <c r="D204" s="1"/>
      <c r="E204" s="1"/>
      <c r="F204" s="1"/>
      <c r="G204" s="1"/>
      <c r="H204" s="1"/>
      <c r="I204" s="1"/>
    </row>
    <row r="205" spans="1:9" ht="15.75" customHeight="1">
      <c r="A205" s="32"/>
      <c r="B205" s="1"/>
      <c r="C205" s="1"/>
      <c r="D205" s="1"/>
      <c r="E205" s="1"/>
      <c r="F205" s="1"/>
      <c r="G205" s="1"/>
      <c r="H205" s="1"/>
      <c r="I205" s="1"/>
    </row>
    <row r="206" spans="1:9" ht="15.75" customHeight="1">
      <c r="A206" s="32"/>
      <c r="B206" s="1"/>
      <c r="C206" s="1"/>
      <c r="D206" s="1"/>
      <c r="E206" s="1"/>
      <c r="F206" s="1"/>
      <c r="G206" s="1"/>
      <c r="H206" s="1"/>
      <c r="I206" s="1"/>
    </row>
    <row r="207" spans="1:9" ht="15.75" customHeight="1">
      <c r="A207" s="32"/>
      <c r="B207" s="1"/>
      <c r="C207" s="1"/>
      <c r="D207" s="1"/>
      <c r="E207" s="1"/>
      <c r="F207" s="1"/>
      <c r="G207" s="1"/>
      <c r="H207" s="1"/>
      <c r="I207" s="1"/>
    </row>
    <row r="208" spans="1:9" ht="15.75" customHeight="1">
      <c r="A208" s="32"/>
      <c r="B208" s="1"/>
      <c r="C208" s="1"/>
      <c r="D208" s="1"/>
      <c r="E208" s="1"/>
      <c r="F208" s="1"/>
      <c r="G208" s="1"/>
      <c r="H208" s="1"/>
      <c r="I208" s="1"/>
    </row>
    <row r="209" spans="1:9" ht="15.75" customHeight="1">
      <c r="A209" s="32"/>
      <c r="B209" s="1"/>
      <c r="C209" s="1"/>
      <c r="D209" s="1"/>
      <c r="E209" s="1"/>
      <c r="F209" s="1"/>
      <c r="G209" s="1"/>
      <c r="H209" s="1"/>
      <c r="I209" s="1"/>
    </row>
    <row r="210" spans="1:9" ht="15.75" customHeight="1">
      <c r="A210" s="32"/>
      <c r="B210" s="1"/>
      <c r="C210" s="1"/>
      <c r="D210" s="1"/>
      <c r="E210" s="1"/>
      <c r="F210" s="1"/>
      <c r="G210" s="1"/>
      <c r="H210" s="1"/>
      <c r="I210" s="1"/>
    </row>
    <row r="211" spans="1:9" ht="15.75" customHeight="1">
      <c r="A211" s="32"/>
      <c r="B211" s="1"/>
      <c r="C211" s="1"/>
      <c r="D211" s="1"/>
      <c r="E211" s="1"/>
      <c r="F211" s="1"/>
      <c r="G211" s="1"/>
      <c r="H211" s="1"/>
      <c r="I211" s="1"/>
    </row>
    <row r="212" spans="1:9" ht="15.75" customHeight="1">
      <c r="A212" s="32"/>
      <c r="B212" s="1"/>
      <c r="C212" s="1"/>
      <c r="D212" s="1"/>
      <c r="E212" s="1"/>
      <c r="F212" s="1"/>
      <c r="G212" s="1"/>
      <c r="H212" s="1"/>
      <c r="I212" s="1"/>
    </row>
    <row r="213" spans="1:9" ht="15.75" customHeight="1">
      <c r="A213" s="32"/>
      <c r="B213" s="1"/>
      <c r="C213" s="1"/>
      <c r="D213" s="1"/>
      <c r="E213" s="1"/>
      <c r="F213" s="1"/>
      <c r="G213" s="1"/>
      <c r="H213" s="1"/>
      <c r="I213" s="1"/>
    </row>
    <row r="214" spans="1:9" ht="15.75" customHeight="1">
      <c r="A214" s="32"/>
      <c r="B214" s="1"/>
      <c r="C214" s="1"/>
      <c r="D214" s="1"/>
      <c r="E214" s="1"/>
      <c r="F214" s="1"/>
      <c r="G214" s="1"/>
      <c r="H214" s="1"/>
      <c r="I214" s="1"/>
    </row>
    <row r="215" spans="1:9" ht="15.75" customHeight="1">
      <c r="A215" s="32"/>
      <c r="B215" s="1"/>
      <c r="C215" s="1"/>
      <c r="D215" s="1"/>
      <c r="E215" s="1"/>
      <c r="F215" s="1"/>
      <c r="G215" s="1"/>
      <c r="H215" s="1"/>
      <c r="I215" s="1"/>
    </row>
    <row r="216" spans="1:9" ht="15.75" customHeight="1">
      <c r="A216" s="32"/>
      <c r="B216" s="1"/>
      <c r="C216" s="1"/>
      <c r="D216" s="1"/>
      <c r="E216" s="1"/>
      <c r="F216" s="1"/>
      <c r="G216" s="1"/>
      <c r="H216" s="1"/>
      <c r="I216" s="1"/>
    </row>
    <row r="217" spans="1:9" ht="15.75" customHeight="1">
      <c r="A217" s="32"/>
      <c r="B217" s="1"/>
      <c r="C217" s="1"/>
      <c r="D217" s="1"/>
      <c r="E217" s="1"/>
      <c r="F217" s="1"/>
      <c r="G217" s="1"/>
      <c r="H217" s="1"/>
      <c r="I217" s="1"/>
    </row>
    <row r="218" spans="1:9" ht="15.75" customHeight="1">
      <c r="A218" s="32"/>
      <c r="B218" s="1"/>
      <c r="C218" s="1"/>
      <c r="D218" s="1"/>
      <c r="E218" s="1"/>
      <c r="F218" s="1"/>
      <c r="G218" s="1"/>
      <c r="H218" s="1"/>
      <c r="I218" s="1"/>
    </row>
    <row r="219" spans="1:9" ht="15.75" customHeight="1">
      <c r="A219" s="32"/>
      <c r="B219" s="1"/>
      <c r="C219" s="1"/>
      <c r="D219" s="1"/>
      <c r="E219" s="1"/>
      <c r="F219" s="1"/>
      <c r="G219" s="1"/>
      <c r="H219" s="1"/>
      <c r="I219" s="1"/>
    </row>
    <row r="220" spans="1:9" ht="15.75" customHeight="1">
      <c r="A220" s="32"/>
      <c r="B220" s="1"/>
      <c r="C220" s="1"/>
      <c r="D220" s="1"/>
      <c r="E220" s="1"/>
      <c r="F220" s="1"/>
      <c r="G220" s="1"/>
      <c r="H220" s="1"/>
      <c r="I220" s="1"/>
    </row>
    <row r="221" spans="1:9" ht="15.75" customHeight="1">
      <c r="A221" s="32"/>
      <c r="B221" s="1"/>
      <c r="C221" s="1"/>
      <c r="D221" s="1"/>
      <c r="E221" s="1"/>
      <c r="F221" s="1"/>
      <c r="G221" s="1"/>
      <c r="H221" s="1"/>
      <c r="I221" s="1"/>
    </row>
    <row r="222" spans="1:9" ht="15.75" customHeight="1">
      <c r="A222" s="32"/>
      <c r="B222" s="1"/>
      <c r="C222" s="1"/>
      <c r="D222" s="1"/>
      <c r="E222" s="1"/>
      <c r="F222" s="1"/>
      <c r="G222" s="1"/>
      <c r="H222" s="1"/>
      <c r="I222" s="1"/>
    </row>
    <row r="223" spans="1:9" ht="15.75" customHeight="1">
      <c r="A223" s="32"/>
      <c r="B223" s="1"/>
      <c r="C223" s="1"/>
      <c r="D223" s="1"/>
      <c r="E223" s="1"/>
      <c r="F223" s="1"/>
      <c r="G223" s="1"/>
      <c r="H223" s="1"/>
      <c r="I223" s="1"/>
    </row>
    <row r="224" spans="1:9" ht="15.75" customHeight="1">
      <c r="A224" s="32"/>
      <c r="B224" s="1"/>
      <c r="C224" s="1"/>
      <c r="D224" s="1"/>
      <c r="E224" s="1"/>
      <c r="F224" s="1"/>
      <c r="G224" s="1"/>
      <c r="H224" s="1"/>
      <c r="I224" s="1"/>
    </row>
    <row r="225" spans="1:9" ht="15.75" customHeight="1">
      <c r="A225" s="32"/>
      <c r="B225" s="1"/>
      <c r="C225" s="1"/>
      <c r="D225" s="1"/>
      <c r="E225" s="1"/>
      <c r="F225" s="1"/>
      <c r="G225" s="1"/>
      <c r="H225" s="1"/>
      <c r="I225" s="1"/>
    </row>
    <row r="226" spans="1:9" ht="15.75" customHeight="1">
      <c r="A226" s="32"/>
      <c r="B226" s="1"/>
      <c r="C226" s="1"/>
      <c r="D226" s="1"/>
      <c r="E226" s="1"/>
      <c r="F226" s="1"/>
      <c r="G226" s="1"/>
      <c r="H226" s="1"/>
      <c r="I226" s="1"/>
    </row>
    <row r="227" spans="1:9" ht="15.75" customHeight="1">
      <c r="A227" s="32"/>
      <c r="B227" s="1"/>
      <c r="C227" s="1"/>
      <c r="D227" s="1"/>
      <c r="E227" s="1"/>
      <c r="F227" s="1"/>
      <c r="G227" s="1"/>
      <c r="H227" s="1"/>
      <c r="I227" s="1"/>
    </row>
    <row r="228" spans="1:9" ht="15.75" customHeight="1">
      <c r="A228" s="32"/>
      <c r="B228" s="1"/>
      <c r="C228" s="1"/>
      <c r="D228" s="1"/>
      <c r="E228" s="1"/>
      <c r="F228" s="1"/>
      <c r="G228" s="1"/>
      <c r="H228" s="1"/>
      <c r="I228" s="1"/>
    </row>
    <row r="229" spans="1:9" ht="15.75" customHeight="1">
      <c r="A229" s="32"/>
      <c r="B229" s="1"/>
      <c r="C229" s="1"/>
      <c r="D229" s="1"/>
      <c r="E229" s="1"/>
      <c r="F229" s="1"/>
      <c r="G229" s="1"/>
      <c r="H229" s="1"/>
      <c r="I229" s="1"/>
    </row>
    <row r="230" spans="1:9" ht="15.75" customHeight="1">
      <c r="A230" s="32"/>
      <c r="B230" s="1"/>
      <c r="C230" s="1"/>
      <c r="D230" s="1"/>
      <c r="E230" s="1"/>
      <c r="F230" s="1"/>
      <c r="G230" s="1"/>
      <c r="H230" s="1"/>
      <c r="I230" s="1"/>
    </row>
    <row r="231" spans="1:9" ht="15.75" customHeight="1">
      <c r="A231" s="32"/>
      <c r="B231" s="1"/>
      <c r="C231" s="1"/>
      <c r="D231" s="1"/>
      <c r="E231" s="1"/>
      <c r="F231" s="1"/>
      <c r="G231" s="1"/>
      <c r="H231" s="1"/>
      <c r="I231" s="1"/>
    </row>
    <row r="232" spans="1:9" ht="15.75" customHeight="1">
      <c r="A232" s="32"/>
      <c r="B232" s="1"/>
      <c r="C232" s="1"/>
      <c r="D232" s="1"/>
      <c r="E232" s="1"/>
      <c r="F232" s="1"/>
      <c r="G232" s="1"/>
      <c r="H232" s="1"/>
      <c r="I232" s="1"/>
    </row>
    <row r="233" spans="1:9" ht="15.75" customHeight="1">
      <c r="A233" s="32"/>
      <c r="B233" s="1"/>
      <c r="C233" s="1"/>
      <c r="D233" s="1"/>
      <c r="E233" s="1"/>
      <c r="F233" s="1"/>
      <c r="G233" s="1"/>
      <c r="H233" s="1"/>
      <c r="I233" s="1"/>
    </row>
    <row r="234" spans="1:9" ht="15.75" customHeight="1">
      <c r="A234" s="32"/>
      <c r="B234" s="1"/>
      <c r="C234" s="1"/>
      <c r="D234" s="1"/>
      <c r="E234" s="1"/>
      <c r="F234" s="1"/>
      <c r="G234" s="1"/>
      <c r="H234" s="1"/>
      <c r="I234" s="1"/>
    </row>
    <row r="235" spans="1:9" ht="15.75" customHeight="1">
      <c r="A235" s="32"/>
      <c r="B235" s="1"/>
      <c r="C235" s="1"/>
      <c r="D235" s="1"/>
      <c r="E235" s="1"/>
      <c r="F235" s="1"/>
      <c r="G235" s="1"/>
      <c r="H235" s="1"/>
      <c r="I235" s="1"/>
    </row>
    <row r="236" spans="1:9" ht="15.75" customHeight="1">
      <c r="A236" s="32"/>
      <c r="B236" s="1"/>
      <c r="C236" s="1"/>
      <c r="D236" s="1"/>
      <c r="E236" s="1"/>
      <c r="F236" s="1"/>
      <c r="G236" s="1"/>
      <c r="H236" s="1"/>
      <c r="I236" s="1"/>
    </row>
    <row r="237" spans="1:9" ht="15.75" customHeight="1">
      <c r="A237" s="32"/>
      <c r="B237" s="1"/>
      <c r="C237" s="1"/>
      <c r="D237" s="1"/>
      <c r="E237" s="1"/>
      <c r="F237" s="1"/>
      <c r="G237" s="1"/>
      <c r="H237" s="1"/>
      <c r="I237" s="1"/>
    </row>
    <row r="238" spans="1:9" ht="15.75" customHeight="1">
      <c r="A238" s="32"/>
      <c r="B238" s="1"/>
      <c r="C238" s="1"/>
      <c r="D238" s="1"/>
      <c r="E238" s="1"/>
      <c r="F238" s="1"/>
      <c r="G238" s="1"/>
      <c r="H238" s="1"/>
      <c r="I238" s="1"/>
    </row>
    <row r="239" spans="1:9" ht="15.75" customHeight="1">
      <c r="A239" s="32"/>
      <c r="B239" s="1"/>
      <c r="C239" s="1"/>
      <c r="D239" s="1"/>
      <c r="E239" s="1"/>
      <c r="F239" s="1"/>
      <c r="G239" s="1"/>
      <c r="H239" s="1"/>
      <c r="I239" s="1"/>
    </row>
    <row r="240" spans="1:9" ht="15.75" customHeight="1">
      <c r="A240" s="32"/>
      <c r="B240" s="1"/>
      <c r="C240" s="1"/>
      <c r="D240" s="1"/>
      <c r="E240" s="1"/>
      <c r="F240" s="1"/>
      <c r="G240" s="1"/>
      <c r="H240" s="1"/>
      <c r="I240" s="1"/>
    </row>
    <row r="241" spans="1:9" ht="15.75" customHeight="1">
      <c r="A241" s="32"/>
      <c r="B241" s="1"/>
      <c r="C241" s="1"/>
      <c r="D241" s="1"/>
      <c r="E241" s="1"/>
      <c r="F241" s="1"/>
      <c r="G241" s="1"/>
      <c r="H241" s="1"/>
      <c r="I241" s="1"/>
    </row>
    <row r="242" spans="1:9" ht="15.75" customHeight="1">
      <c r="A242" s="32"/>
      <c r="B242" s="1"/>
      <c r="C242" s="1"/>
      <c r="D242" s="1"/>
      <c r="E242" s="1"/>
      <c r="F242" s="1"/>
      <c r="G242" s="1"/>
      <c r="H242" s="1"/>
      <c r="I242" s="1"/>
    </row>
    <row r="243" spans="1:9" ht="15.75" customHeight="1">
      <c r="A243" s="32"/>
      <c r="B243" s="1"/>
      <c r="C243" s="1"/>
      <c r="D243" s="1"/>
      <c r="E243" s="1"/>
      <c r="F243" s="1"/>
      <c r="G243" s="1"/>
      <c r="H243" s="1"/>
      <c r="I243" s="1"/>
    </row>
    <row r="244" spans="1:9" ht="15.75" customHeight="1">
      <c r="A244" s="32"/>
      <c r="B244" s="1"/>
      <c r="C244" s="1"/>
      <c r="D244" s="1"/>
      <c r="E244" s="1"/>
      <c r="F244" s="1"/>
      <c r="G244" s="1"/>
      <c r="H244" s="1"/>
      <c r="I244" s="1"/>
    </row>
    <row r="245" spans="1:9" ht="15.75" customHeight="1">
      <c r="A245" s="32"/>
      <c r="B245" s="1"/>
      <c r="C245" s="1"/>
      <c r="D245" s="1"/>
      <c r="E245" s="1"/>
      <c r="F245" s="1"/>
      <c r="G245" s="1"/>
      <c r="H245" s="1"/>
      <c r="I245" s="1"/>
    </row>
    <row r="246" spans="1:9" ht="15.75" customHeight="1">
      <c r="A246" s="32"/>
      <c r="B246" s="1"/>
      <c r="C246" s="1"/>
      <c r="D246" s="1"/>
      <c r="E246" s="1"/>
      <c r="F246" s="1"/>
      <c r="G246" s="1"/>
      <c r="H246" s="1"/>
      <c r="I246" s="1"/>
    </row>
    <row r="247" spans="1:9" ht="15.75" customHeight="1">
      <c r="A247" s="32"/>
      <c r="B247" s="1"/>
      <c r="C247" s="1"/>
      <c r="D247" s="1"/>
      <c r="E247" s="1"/>
      <c r="F247" s="1"/>
      <c r="G247" s="1"/>
      <c r="H247" s="1"/>
      <c r="I247" s="1"/>
    </row>
    <row r="248" spans="1:9" ht="15.75" customHeight="1">
      <c r="A248" s="32"/>
      <c r="B248" s="1"/>
      <c r="C248" s="1"/>
      <c r="D248" s="1"/>
      <c r="E248" s="1"/>
      <c r="F248" s="1"/>
      <c r="G248" s="1"/>
      <c r="H248" s="1"/>
      <c r="I248" s="1"/>
    </row>
    <row r="249" spans="1:9" ht="15.75" customHeight="1">
      <c r="A249" s="32"/>
      <c r="B249" s="1"/>
      <c r="C249" s="1"/>
      <c r="D249" s="1"/>
      <c r="E249" s="1"/>
      <c r="F249" s="1"/>
      <c r="G249" s="1"/>
      <c r="H249" s="1"/>
      <c r="I249" s="1"/>
    </row>
    <row r="250" spans="1:9" ht="15.75" customHeight="1">
      <c r="A250" s="32"/>
      <c r="B250" s="1"/>
      <c r="C250" s="1"/>
      <c r="D250" s="1"/>
      <c r="E250" s="1"/>
      <c r="F250" s="1"/>
      <c r="G250" s="1"/>
      <c r="H250" s="1"/>
      <c r="I250" s="1"/>
    </row>
    <row r="251" spans="1:9" ht="15.75" customHeight="1">
      <c r="A251" s="32"/>
      <c r="B251" s="1"/>
      <c r="C251" s="1"/>
      <c r="D251" s="1"/>
      <c r="E251" s="1"/>
      <c r="F251" s="1"/>
      <c r="G251" s="1"/>
      <c r="H251" s="1"/>
      <c r="I251" s="1"/>
    </row>
    <row r="252" spans="1:9" ht="15.75" customHeight="1">
      <c r="A252" s="32"/>
      <c r="B252" s="1"/>
      <c r="C252" s="1"/>
      <c r="D252" s="1"/>
      <c r="E252" s="1"/>
      <c r="F252" s="1"/>
      <c r="G252" s="1"/>
      <c r="H252" s="1"/>
      <c r="I252" s="1"/>
    </row>
    <row r="253" spans="1:9" ht="15.75" customHeight="1">
      <c r="A253" s="32"/>
      <c r="B253" s="1"/>
      <c r="C253" s="1"/>
      <c r="D253" s="1"/>
      <c r="E253" s="1"/>
      <c r="F253" s="1"/>
      <c r="G253" s="1"/>
      <c r="H253" s="1"/>
      <c r="I253" s="1"/>
    </row>
    <row r="254" spans="1:9" ht="15.75" customHeight="1">
      <c r="A254" s="32"/>
      <c r="B254" s="1"/>
      <c r="C254" s="1"/>
      <c r="D254" s="1"/>
      <c r="E254" s="1"/>
      <c r="F254" s="1"/>
      <c r="G254" s="1"/>
      <c r="H254" s="1"/>
      <c r="I254" s="1"/>
    </row>
    <row r="255" spans="1:9" ht="15.75" customHeight="1">
      <c r="A255" s="32"/>
      <c r="B255" s="1"/>
      <c r="C255" s="1"/>
      <c r="D255" s="1"/>
      <c r="E255" s="1"/>
      <c r="F255" s="1"/>
      <c r="G255" s="1"/>
      <c r="H255" s="1"/>
      <c r="I255" s="1"/>
    </row>
    <row r="256" spans="1:9" ht="15.75" customHeight="1">
      <c r="A256" s="32"/>
      <c r="B256" s="1"/>
      <c r="C256" s="1"/>
      <c r="D256" s="1"/>
      <c r="E256" s="1"/>
      <c r="F256" s="1"/>
      <c r="G256" s="1"/>
      <c r="H256" s="1"/>
      <c r="I256" s="1"/>
    </row>
  </sheetData>
  <pageMargins left="0.7" right="0.7" top="0.75" bottom="0.75" header="0" footer="0"/>
  <pageSetup scale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"/>
  <sheetViews>
    <sheetView showGridLines="0" topLeftCell="A14" zoomScaleNormal="100" zoomScaleSheetLayoutView="100" workbookViewId="0">
      <selection activeCell="C14" sqref="C14"/>
    </sheetView>
  </sheetViews>
  <sheetFormatPr defaultColWidth="14.453125" defaultRowHeight="15" customHeight="1"/>
  <cols>
    <col min="1" max="1" width="36.453125" customWidth="1"/>
    <col min="2" max="2" width="12.453125" customWidth="1"/>
    <col min="3" max="3" width="16.08984375" customWidth="1"/>
    <col min="4" max="4" width="21.7265625" customWidth="1"/>
    <col min="5" max="5" width="17.81640625" customWidth="1"/>
    <col min="6" max="6" width="18.81640625" customWidth="1"/>
    <col min="7" max="10" width="8.81640625" customWidth="1"/>
  </cols>
  <sheetData>
    <row r="1" spans="1:10" ht="13.5" customHeight="1">
      <c r="A1" s="39" t="s">
        <v>31</v>
      </c>
      <c r="B1" s="1"/>
      <c r="C1" s="1"/>
      <c r="D1" s="1"/>
      <c r="E1" s="1"/>
      <c r="F1" s="1"/>
      <c r="G1" s="1"/>
      <c r="H1" s="1"/>
      <c r="I1" s="1"/>
      <c r="J1" s="1"/>
    </row>
    <row r="2" spans="1:10" ht="13.5" customHeight="1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3.5" customHeight="1">
      <c r="A3" s="21" t="s">
        <v>2</v>
      </c>
      <c r="B3" s="5" t="s">
        <v>115</v>
      </c>
      <c r="C3" s="5" t="s">
        <v>116</v>
      </c>
      <c r="D3" s="5" t="s">
        <v>117</v>
      </c>
      <c r="E3" s="5" t="s">
        <v>118</v>
      </c>
      <c r="F3" s="6" t="s">
        <v>119</v>
      </c>
      <c r="G3" s="1"/>
      <c r="H3" s="1"/>
      <c r="I3" s="1"/>
      <c r="J3" s="1"/>
    </row>
    <row r="4" spans="1:10" ht="13.5" customHeight="1">
      <c r="A4" s="40" t="s">
        <v>12</v>
      </c>
      <c r="B4" s="41">
        <f>Revenue!B49</f>
        <v>51204000</v>
      </c>
      <c r="C4" s="41">
        <f>Revenue!C49</f>
        <v>180325624.99999997</v>
      </c>
      <c r="D4" s="41">
        <f>Revenue!D49</f>
        <v>397615020</v>
      </c>
      <c r="E4" s="41">
        <f>Revenue!E49</f>
        <v>787674330</v>
      </c>
      <c r="F4" s="42">
        <f>Revenue!F49</f>
        <v>1287612900</v>
      </c>
      <c r="G4" s="1"/>
      <c r="H4" s="1"/>
      <c r="I4" s="1"/>
      <c r="J4" s="1"/>
    </row>
    <row r="5" spans="1:10" ht="13.5" customHeight="1">
      <c r="A5" s="43" t="s">
        <v>32</v>
      </c>
      <c r="B5" s="44">
        <v>0</v>
      </c>
      <c r="C5" s="45">
        <f t="shared" ref="C5:F5" si="0">(C4/B4)-1</f>
        <v>2.5217097297086157</v>
      </c>
      <c r="D5" s="45">
        <f t="shared" si="0"/>
        <v>1.2049834570100622</v>
      </c>
      <c r="E5" s="45">
        <f t="shared" si="0"/>
        <v>0.98099742308527471</v>
      </c>
      <c r="F5" s="46">
        <f t="shared" si="0"/>
        <v>0.63470212365559764</v>
      </c>
      <c r="G5" s="1"/>
      <c r="H5" s="1"/>
      <c r="I5" s="1"/>
      <c r="J5" s="1"/>
    </row>
    <row r="6" spans="1:10" ht="13.5" customHeight="1">
      <c r="A6" s="47" t="s">
        <v>33</v>
      </c>
      <c r="B6" s="41">
        <f>SUM(B7:B11)</f>
        <v>47943860</v>
      </c>
      <c r="C6" s="41">
        <f t="shared" ref="C6:F6" si="1">SUM(C7:C11)</f>
        <v>162073826.66666666</v>
      </c>
      <c r="D6" s="41">
        <f t="shared" si="1"/>
        <v>205390100</v>
      </c>
      <c r="E6" s="41">
        <f t="shared" si="1"/>
        <v>287203953.33333331</v>
      </c>
      <c r="F6" s="41">
        <f t="shared" si="1"/>
        <v>347276580</v>
      </c>
      <c r="G6" s="1"/>
      <c r="H6" s="1"/>
      <c r="I6" s="1"/>
      <c r="J6" s="1"/>
    </row>
    <row r="7" spans="1:10" ht="13.5" customHeight="1">
      <c r="A7" s="28" t="s">
        <v>15</v>
      </c>
      <c r="B7" s="25">
        <f>Expense!C5</f>
        <v>26081000</v>
      </c>
      <c r="C7" s="25">
        <f>Expense!D5</f>
        <v>127364166.66666666</v>
      </c>
      <c r="D7" s="25">
        <f>Expense!E5</f>
        <v>151236000</v>
      </c>
      <c r="E7" s="25">
        <f>Expense!F5</f>
        <v>203648333.33333331</v>
      </c>
      <c r="F7" s="26">
        <f>Expense!G5</f>
        <v>241889000</v>
      </c>
      <c r="G7" s="1"/>
      <c r="H7" s="1"/>
      <c r="I7" s="1"/>
      <c r="J7" s="1"/>
    </row>
    <row r="8" spans="1:10" ht="13.5" customHeight="1">
      <c r="A8" s="134" t="s">
        <v>175</v>
      </c>
      <c r="B8" s="25">
        <f>Expense!C7</f>
        <v>1320000</v>
      </c>
      <c r="C8" s="25">
        <f>Expense!D7</f>
        <v>1452000.0000000002</v>
      </c>
      <c r="D8" s="25">
        <f>Expense!E7</f>
        <v>1452000.0000000002</v>
      </c>
      <c r="E8" s="25">
        <f>Expense!F7</f>
        <v>1386000</v>
      </c>
      <c r="F8" s="26">
        <f>Expense!G7</f>
        <v>1386000</v>
      </c>
      <c r="G8" s="1"/>
      <c r="H8" s="1"/>
      <c r="I8" s="1"/>
      <c r="J8" s="1"/>
    </row>
    <row r="9" spans="1:10" ht="13.5" customHeight="1">
      <c r="A9" s="133" t="s">
        <v>18</v>
      </c>
      <c r="B9" s="25">
        <f>Expense!C8</f>
        <v>312860</v>
      </c>
      <c r="C9" s="25">
        <f>Expense!D8</f>
        <v>957660</v>
      </c>
      <c r="D9" s="25">
        <f>Expense!E8</f>
        <v>802100</v>
      </c>
      <c r="E9" s="25">
        <f>Expense!F8</f>
        <v>869620</v>
      </c>
      <c r="F9" s="26">
        <f>Expense!G8</f>
        <v>801580</v>
      </c>
      <c r="G9" s="1"/>
      <c r="H9" s="1"/>
      <c r="I9" s="1"/>
      <c r="J9" s="1"/>
    </row>
    <row r="10" spans="1:10" ht="13.5" customHeight="1">
      <c r="A10" s="80" t="s">
        <v>227</v>
      </c>
      <c r="B10" s="25">
        <f>Expense!C11</f>
        <v>230000</v>
      </c>
      <c r="C10" s="25">
        <f>Expense!D11</f>
        <v>2300000</v>
      </c>
      <c r="D10" s="25">
        <f>Expense!E11</f>
        <v>6900000</v>
      </c>
      <c r="E10" s="25">
        <f>Expense!F11</f>
        <v>13800000</v>
      </c>
      <c r="F10" s="25">
        <f>Expense!G11</f>
        <v>20700000</v>
      </c>
      <c r="G10" s="1"/>
      <c r="H10" s="1"/>
      <c r="I10" s="1"/>
      <c r="J10" s="1"/>
    </row>
    <row r="11" spans="1:10" ht="13.5" customHeight="1">
      <c r="A11" s="80" t="s">
        <v>226</v>
      </c>
      <c r="B11" s="25">
        <f>Expense!C12</f>
        <v>20000000</v>
      </c>
      <c r="C11" s="25">
        <f>Expense!D12</f>
        <v>30000000</v>
      </c>
      <c r="D11" s="25">
        <f>Expense!E12</f>
        <v>45000000</v>
      </c>
      <c r="E11" s="25">
        <f>Expense!F12</f>
        <v>67500000</v>
      </c>
      <c r="F11" s="25">
        <f>Expense!G12</f>
        <v>82500000</v>
      </c>
      <c r="G11" s="1"/>
      <c r="H11" s="1"/>
      <c r="I11" s="1"/>
      <c r="J11" s="1"/>
    </row>
    <row r="12" spans="1:10" ht="13.5" customHeight="1">
      <c r="A12" s="48" t="s">
        <v>34</v>
      </c>
      <c r="B12" s="41">
        <f>B4-B6</f>
        <v>3260140</v>
      </c>
      <c r="C12" s="41">
        <f t="shared" ref="C12:F12" si="2">C4-C6</f>
        <v>18251798.333333313</v>
      </c>
      <c r="D12" s="41">
        <f t="shared" si="2"/>
        <v>192224920</v>
      </c>
      <c r="E12" s="41">
        <f t="shared" si="2"/>
        <v>500470376.66666669</v>
      </c>
      <c r="F12" s="41">
        <f t="shared" si="2"/>
        <v>940336320</v>
      </c>
      <c r="G12" s="1"/>
      <c r="H12" s="1"/>
      <c r="I12" s="1"/>
      <c r="J12" s="1"/>
    </row>
    <row r="13" spans="1:10" ht="13.5" customHeight="1">
      <c r="A13" s="43" t="s">
        <v>35</v>
      </c>
      <c r="B13" s="45">
        <f t="shared" ref="B13:F13" si="3">B12/B4</f>
        <v>6.3669635184751189E-2</v>
      </c>
      <c r="C13" s="45">
        <f t="shared" si="3"/>
        <v>0.10121577747662494</v>
      </c>
      <c r="D13" s="45">
        <f t="shared" si="3"/>
        <v>0.48344481554041896</v>
      </c>
      <c r="E13" s="45">
        <f t="shared" si="3"/>
        <v>0.63537728424724305</v>
      </c>
      <c r="F13" s="46">
        <f t="shared" si="3"/>
        <v>0.7302942677880907</v>
      </c>
      <c r="G13" s="1"/>
      <c r="H13" s="1"/>
      <c r="I13" s="1"/>
      <c r="J13" s="1"/>
    </row>
    <row r="14" spans="1:10" ht="13.5" customHeight="1">
      <c r="A14" s="49" t="s">
        <v>36</v>
      </c>
      <c r="B14" s="50">
        <f>SUM(B15:B18)</f>
        <v>3994200</v>
      </c>
      <c r="C14" s="50">
        <f>SUM(C15:C18)</f>
        <v>12797640</v>
      </c>
      <c r="D14" s="50">
        <f>SUM(D15:D18)</f>
        <v>16231500</v>
      </c>
      <c r="E14" s="50">
        <f>SUM(E15:E18)</f>
        <v>21332400</v>
      </c>
      <c r="F14" s="50">
        <f>SUM(F15:F18)</f>
        <v>28239000</v>
      </c>
      <c r="G14" s="1"/>
      <c r="H14" s="1"/>
      <c r="I14" s="1"/>
      <c r="J14" s="1"/>
    </row>
    <row r="15" spans="1:10" ht="13.5" customHeight="1">
      <c r="A15" s="133" t="s">
        <v>24</v>
      </c>
      <c r="B15" s="25">
        <f>Expense!C4</f>
        <v>1200000</v>
      </c>
      <c r="C15" s="25">
        <f>Expense!D4</f>
        <v>1320000</v>
      </c>
      <c r="D15" s="25">
        <f>Expense!E4</f>
        <v>1440000</v>
      </c>
      <c r="E15" s="25">
        <f>Expense!F4</f>
        <v>1560000</v>
      </c>
      <c r="F15" s="25">
        <f>Expense!G4</f>
        <v>1560000</v>
      </c>
      <c r="G15" s="1"/>
      <c r="H15" s="1"/>
      <c r="I15" s="1"/>
      <c r="J15" s="1"/>
    </row>
    <row r="16" spans="1:10" ht="13.5" customHeight="1">
      <c r="A16" s="133" t="s">
        <v>168</v>
      </c>
      <c r="B16" s="25">
        <f>Expense!C6</f>
        <v>2086200</v>
      </c>
      <c r="C16" s="25">
        <f>Expense!D6</f>
        <v>10079640</v>
      </c>
      <c r="D16" s="25">
        <f>Expense!E6</f>
        <v>12901500</v>
      </c>
      <c r="E16" s="25">
        <f>Expense!F6</f>
        <v>17348400</v>
      </c>
      <c r="F16" s="25">
        <f>Expense!G6</f>
        <v>23877000</v>
      </c>
      <c r="G16" s="1"/>
      <c r="H16" s="1"/>
      <c r="I16" s="1"/>
      <c r="J16" s="1"/>
    </row>
    <row r="17" spans="1:10" ht="13.5" customHeight="1">
      <c r="A17" s="28" t="s">
        <v>17</v>
      </c>
      <c r="B17" s="25">
        <f>Expense!C9</f>
        <v>228000</v>
      </c>
      <c r="C17" s="25">
        <f>Expense!D9</f>
        <v>918000</v>
      </c>
      <c r="D17" s="25">
        <f>Expense!E9</f>
        <v>1410000</v>
      </c>
      <c r="E17" s="25">
        <f>Expense!F9</f>
        <v>1896000</v>
      </c>
      <c r="F17" s="25">
        <f>Expense!G9</f>
        <v>2274000</v>
      </c>
      <c r="G17" s="1"/>
      <c r="H17" s="1"/>
      <c r="I17" s="1"/>
      <c r="J17" s="1"/>
    </row>
    <row r="18" spans="1:10" ht="13.5" customHeight="1">
      <c r="A18" s="28" t="s">
        <v>19</v>
      </c>
      <c r="B18" s="25">
        <f>Expense!C10</f>
        <v>480000</v>
      </c>
      <c r="C18" s="25">
        <f>Expense!D10</f>
        <v>480000</v>
      </c>
      <c r="D18" s="25">
        <f>Expense!E10</f>
        <v>480000</v>
      </c>
      <c r="E18" s="25">
        <f>Expense!F10</f>
        <v>528000</v>
      </c>
      <c r="F18" s="25">
        <f>Expense!G10</f>
        <v>528000</v>
      </c>
      <c r="G18" s="1"/>
      <c r="H18" s="1"/>
      <c r="I18" s="1"/>
      <c r="J18" s="1"/>
    </row>
    <row r="19" spans="1:10" ht="13.5" customHeight="1">
      <c r="A19" s="40" t="s">
        <v>37</v>
      </c>
      <c r="B19" s="52">
        <f>B12-B14</f>
        <v>-734060</v>
      </c>
      <c r="C19" s="52">
        <f>C12-C14</f>
        <v>5454158.3333333135</v>
      </c>
      <c r="D19" s="52">
        <f>D12-D14</f>
        <v>175993420</v>
      </c>
      <c r="E19" s="52">
        <f>E12-E14</f>
        <v>479137976.66666669</v>
      </c>
      <c r="F19" s="53">
        <f>F12-F14</f>
        <v>912097320</v>
      </c>
      <c r="G19" s="1"/>
      <c r="H19" s="1"/>
      <c r="I19" s="1"/>
      <c r="J19" s="1"/>
    </row>
    <row r="20" spans="1:10" ht="13.5" customHeight="1">
      <c r="A20" s="43" t="s">
        <v>38</v>
      </c>
      <c r="B20" s="45">
        <f>B19/B4</f>
        <v>-1.4335989375830013E-2</v>
      </c>
      <c r="C20" s="45">
        <f>C19/C4</f>
        <v>3.0246163479723497E-2</v>
      </c>
      <c r="D20" s="45">
        <f>D19/D4</f>
        <v>0.44262266551198193</v>
      </c>
      <c r="E20" s="45">
        <f>E19/E4</f>
        <v>0.60829451769320286</v>
      </c>
      <c r="F20" s="46">
        <f>F19/F4</f>
        <v>0.70836298704369927</v>
      </c>
      <c r="G20" s="1"/>
      <c r="H20" s="1"/>
      <c r="I20" s="1"/>
      <c r="J20" s="1"/>
    </row>
    <row r="21" spans="1:10" ht="13.5" customHeight="1">
      <c r="A21" s="28" t="s">
        <v>39</v>
      </c>
      <c r="B21" s="25">
        <f>Assumptions!B22</f>
        <v>3159843.05</v>
      </c>
      <c r="C21" s="25">
        <f>Assumptions!C22</f>
        <v>3838897.9824999995</v>
      </c>
      <c r="D21" s="25">
        <f>Assumptions!D22</f>
        <v>3643283.6886249995</v>
      </c>
      <c r="E21" s="25">
        <f>Assumptions!E22</f>
        <v>3502134.3976062499</v>
      </c>
      <c r="F21" s="26">
        <f>Assumptions!F22</f>
        <v>3158387.3584440625</v>
      </c>
      <c r="G21" s="1"/>
      <c r="H21" s="1"/>
      <c r="I21" s="1"/>
      <c r="J21" s="1"/>
    </row>
    <row r="22" spans="1:10" ht="13.5" customHeight="1">
      <c r="A22" s="54" t="s">
        <v>40</v>
      </c>
      <c r="B22" s="41">
        <f t="shared" ref="B22:F22" si="4">B19-B21</f>
        <v>-3893903.05</v>
      </c>
      <c r="C22" s="41">
        <f t="shared" si="4"/>
        <v>1615260.350833314</v>
      </c>
      <c r="D22" s="41">
        <f t="shared" si="4"/>
        <v>172350136.31137499</v>
      </c>
      <c r="E22" s="41">
        <f t="shared" si="4"/>
        <v>475635842.26906043</v>
      </c>
      <c r="F22" s="42">
        <f t="shared" si="4"/>
        <v>908938932.64155591</v>
      </c>
      <c r="G22" s="1"/>
      <c r="H22" s="1"/>
      <c r="I22" s="1"/>
      <c r="J22" s="1"/>
    </row>
    <row r="23" spans="1:10" ht="13.5" customHeight="1">
      <c r="A23" s="55" t="s">
        <v>41</v>
      </c>
      <c r="B23" s="45">
        <f>B22/B4</f>
        <v>-7.6046852784938668E-2</v>
      </c>
      <c r="C23" s="243">
        <f>C22/C4</f>
        <v>8.9574643139781959E-3</v>
      </c>
      <c r="D23" s="45">
        <f>D22/D4</f>
        <v>0.43345982330188382</v>
      </c>
      <c r="E23" s="45">
        <f>E22/E4</f>
        <v>0.60384834715771485</v>
      </c>
      <c r="F23" s="46">
        <f>F22/F4</f>
        <v>0.70591008574203928</v>
      </c>
      <c r="G23" s="1"/>
      <c r="H23" s="1"/>
      <c r="I23" s="1"/>
      <c r="J23" s="1"/>
    </row>
    <row r="24" spans="1:10" ht="13.5" customHeight="1">
      <c r="A24" s="28" t="s">
        <v>42</v>
      </c>
      <c r="B24" s="25">
        <v>0</v>
      </c>
      <c r="C24" s="25">
        <v>0</v>
      </c>
      <c r="D24" s="25">
        <v>0</v>
      </c>
      <c r="E24" s="25">
        <v>0</v>
      </c>
      <c r="F24" s="26">
        <v>0</v>
      </c>
      <c r="G24" s="1"/>
      <c r="H24" s="1"/>
      <c r="I24" s="1"/>
      <c r="J24" s="1"/>
    </row>
    <row r="25" spans="1:10" ht="13.5" customHeight="1">
      <c r="A25" s="54" t="s">
        <v>43</v>
      </c>
      <c r="B25" s="41">
        <f t="shared" ref="B25:F25" si="5">B22-B24</f>
        <v>-3893903.05</v>
      </c>
      <c r="C25" s="41">
        <f t="shared" si="5"/>
        <v>1615260.350833314</v>
      </c>
      <c r="D25" s="41">
        <f t="shared" si="5"/>
        <v>172350136.31137499</v>
      </c>
      <c r="E25" s="41">
        <f t="shared" si="5"/>
        <v>475635842.26906043</v>
      </c>
      <c r="F25" s="42">
        <f t="shared" si="5"/>
        <v>908938932.64155591</v>
      </c>
      <c r="G25" s="1"/>
      <c r="H25" s="1"/>
      <c r="I25" s="1"/>
      <c r="J25" s="1"/>
    </row>
    <row r="26" spans="1:10" ht="13.5" customHeight="1">
      <c r="A26" s="55" t="s">
        <v>44</v>
      </c>
      <c r="B26" s="45">
        <f>B25/B4</f>
        <v>-7.6046852784938668E-2</v>
      </c>
      <c r="C26" s="243">
        <f>C25/C4</f>
        <v>8.9574643139781959E-3</v>
      </c>
      <c r="D26" s="45">
        <f>D25/D4</f>
        <v>0.43345982330188382</v>
      </c>
      <c r="E26" s="45">
        <f>E25/E4</f>
        <v>0.60384834715771485</v>
      </c>
      <c r="F26" s="46">
        <f>F25/F4</f>
        <v>0.70591008574203928</v>
      </c>
      <c r="G26" s="1"/>
      <c r="H26" s="1"/>
      <c r="I26" s="1"/>
      <c r="J26" s="1"/>
    </row>
    <row r="27" spans="1:10" ht="13.5" customHeight="1">
      <c r="A27" s="28" t="s">
        <v>45</v>
      </c>
      <c r="B27" s="25">
        <f>IF(B25&lt;0,0,B25*Assumptions!B4)</f>
        <v>0</v>
      </c>
      <c r="C27" s="25">
        <f>IF(C25&lt;0,0,C25*Assumptions!C4)</f>
        <v>452272.89823332796</v>
      </c>
      <c r="D27" s="25">
        <f>IF(D25&lt;0,0,D25*Assumptions!D4)</f>
        <v>48258038.167185001</v>
      </c>
      <c r="E27" s="25">
        <f>IF(E25&lt;0,0,E25*Assumptions!E4)</f>
        <v>133178035.83533694</v>
      </c>
      <c r="F27" s="26">
        <f>IF(F25&lt;0,0,Assumptions!F4*F25)</f>
        <v>254502901.13963568</v>
      </c>
      <c r="G27" s="1"/>
      <c r="H27" s="1"/>
      <c r="I27" s="1"/>
      <c r="J27" s="1"/>
    </row>
    <row r="28" spans="1:10" ht="13.5" customHeight="1">
      <c r="A28" s="30" t="s">
        <v>9</v>
      </c>
      <c r="B28" s="27">
        <f t="shared" ref="B28:F28" si="6">B25-B27</f>
        <v>-3893903.05</v>
      </c>
      <c r="C28" s="27">
        <f t="shared" si="6"/>
        <v>1162987.452599986</v>
      </c>
      <c r="D28" s="27">
        <f t="shared" si="6"/>
        <v>124092098.14418998</v>
      </c>
      <c r="E28" s="27">
        <f t="shared" si="6"/>
        <v>342457806.43372351</v>
      </c>
      <c r="F28" s="31">
        <f t="shared" si="6"/>
        <v>654436031.50192022</v>
      </c>
      <c r="G28" s="1"/>
      <c r="H28" s="1"/>
      <c r="I28" s="1"/>
      <c r="J28" s="1"/>
    </row>
    <row r="29" spans="1:10" ht="13.5" customHeight="1">
      <c r="A29" s="56" t="s">
        <v>46</v>
      </c>
      <c r="B29" s="57">
        <f>B28/B4</f>
        <v>-7.6046852784938668E-2</v>
      </c>
      <c r="C29" s="244">
        <f>C28/C4</f>
        <v>6.4493743060642997E-3</v>
      </c>
      <c r="D29" s="57">
        <f>D28/D4</f>
        <v>0.31209107277735632</v>
      </c>
      <c r="E29" s="57">
        <f>E28/E4</f>
        <v>0.43477080995355466</v>
      </c>
      <c r="F29" s="58">
        <f>F28/F4</f>
        <v>0.50825526173426827</v>
      </c>
      <c r="G29" s="1"/>
      <c r="H29" s="1"/>
      <c r="I29" s="1"/>
      <c r="J29" s="1"/>
    </row>
    <row r="30" spans="1:1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3.5" customHeight="1">
      <c r="A31" s="25"/>
      <c r="B31" s="1"/>
      <c r="C31" s="1"/>
      <c r="D31" s="1"/>
      <c r="E31" s="1"/>
      <c r="F31" s="1"/>
      <c r="G31" s="1"/>
      <c r="H31" s="1"/>
      <c r="I31" s="1"/>
      <c r="J31" s="1"/>
    </row>
    <row r="32" spans="1:10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3.5" customHeight="1">
      <c r="A34" s="1"/>
      <c r="B34" s="25"/>
      <c r="C34" s="1"/>
      <c r="D34" s="1"/>
      <c r="E34" s="1"/>
      <c r="F34" s="1"/>
      <c r="G34" s="1"/>
      <c r="H34" s="1"/>
      <c r="I34" s="1"/>
      <c r="J34" s="1"/>
    </row>
    <row r="35" spans="1:10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3.5" customHeight="1">
      <c r="A36" s="1"/>
      <c r="B36" s="25"/>
      <c r="C36" s="1"/>
      <c r="D36" s="1"/>
      <c r="E36" s="1"/>
      <c r="F36" s="1"/>
      <c r="G36" s="1"/>
      <c r="H36" s="1"/>
      <c r="I36" s="1"/>
      <c r="J36" s="1"/>
    </row>
    <row r="37" spans="1:10" ht="13.5" customHeight="1">
      <c r="A37" s="1"/>
      <c r="B37" s="25"/>
      <c r="C37" s="1"/>
      <c r="D37" s="1"/>
      <c r="E37" s="1"/>
      <c r="F37" s="1"/>
      <c r="G37" s="1"/>
      <c r="H37" s="1"/>
      <c r="I37" s="1"/>
      <c r="J37" s="1"/>
    </row>
    <row r="38" spans="1:10" ht="13.5" customHeight="1">
      <c r="A38" s="1"/>
      <c r="B38" s="25"/>
      <c r="C38" s="25"/>
      <c r="D38" s="1"/>
      <c r="E38" s="59"/>
      <c r="F38" s="1"/>
      <c r="G38" s="1"/>
      <c r="H38" s="1"/>
      <c r="I38" s="1"/>
      <c r="J38" s="1"/>
    </row>
    <row r="39" spans="1:10" ht="13.5" customHeight="1">
      <c r="A39" s="1"/>
      <c r="B39" s="25"/>
      <c r="C39" s="25"/>
      <c r="D39" s="1"/>
      <c r="E39" s="59"/>
      <c r="F39" s="1"/>
      <c r="G39" s="1"/>
      <c r="H39" s="1"/>
      <c r="I39" s="1"/>
      <c r="J39" s="1"/>
    </row>
    <row r="40" spans="1:10" ht="13.5" customHeight="1">
      <c r="A40" s="1"/>
      <c r="B40" s="25"/>
      <c r="C40" s="25"/>
      <c r="D40" s="1"/>
      <c r="E40" s="59"/>
      <c r="F40" s="1"/>
      <c r="G40" s="1"/>
      <c r="H40" s="1"/>
      <c r="I40" s="1"/>
      <c r="J40" s="1"/>
    </row>
    <row r="41" spans="1:10" ht="13.5" customHeight="1">
      <c r="A41" s="1"/>
      <c r="B41" s="25"/>
      <c r="C41" s="25"/>
      <c r="D41" s="1"/>
      <c r="E41" s="59"/>
      <c r="F41" s="1"/>
      <c r="G41" s="1"/>
      <c r="H41" s="1"/>
      <c r="I41" s="1"/>
      <c r="J41" s="1"/>
    </row>
    <row r="42" spans="1:10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</sheetData>
  <pageMargins left="0.7" right="0.7" top="0.75" bottom="0.75" header="0" footer="0"/>
  <pageSetup scale="9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showGridLines="0" view="pageBreakPreview" zoomScale="92" zoomScaleNormal="100" zoomScaleSheetLayoutView="92" workbookViewId="0">
      <selection activeCell="B19" sqref="B19"/>
    </sheetView>
  </sheetViews>
  <sheetFormatPr defaultColWidth="14.453125" defaultRowHeight="15" customHeight="1"/>
  <cols>
    <col min="1" max="1" width="34.90625" bestFit="1" customWidth="1"/>
    <col min="2" max="2" width="12.36328125" customWidth="1"/>
    <col min="3" max="3" width="12.1796875" bestFit="1" customWidth="1"/>
    <col min="4" max="5" width="13.1796875" bestFit="1" customWidth="1"/>
    <col min="6" max="6" width="14.54296875" bestFit="1" customWidth="1"/>
    <col min="7" max="10" width="8.81640625" customWidth="1"/>
  </cols>
  <sheetData>
    <row r="1" spans="1:10" ht="13.5" customHeight="1">
      <c r="A1" s="20" t="s">
        <v>47</v>
      </c>
      <c r="B1" s="1"/>
      <c r="C1" s="1"/>
      <c r="D1" s="1"/>
      <c r="E1" s="1"/>
      <c r="F1" s="1"/>
      <c r="G1" s="1"/>
      <c r="H1" s="1"/>
      <c r="I1" s="1"/>
      <c r="J1" s="1"/>
    </row>
    <row r="2" spans="1:10" ht="13.5" customHeight="1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3.5" customHeight="1">
      <c r="A3" s="21" t="s">
        <v>2</v>
      </c>
      <c r="B3" s="5" t="s">
        <v>115</v>
      </c>
      <c r="C3" s="5" t="s">
        <v>116</v>
      </c>
      <c r="D3" s="5" t="s">
        <v>117</v>
      </c>
      <c r="E3" s="5" t="s">
        <v>118</v>
      </c>
      <c r="F3" s="6" t="s">
        <v>119</v>
      </c>
      <c r="G3" s="1"/>
      <c r="H3" s="1"/>
      <c r="I3" s="1"/>
      <c r="J3" s="1"/>
    </row>
    <row r="4" spans="1:10" ht="13.5" customHeight="1">
      <c r="A4" s="60" t="s">
        <v>48</v>
      </c>
      <c r="B4" s="61"/>
      <c r="C4" s="61"/>
      <c r="D4" s="61"/>
      <c r="E4" s="61"/>
      <c r="F4" s="62"/>
      <c r="G4" s="1"/>
      <c r="H4" s="1"/>
      <c r="I4" s="1"/>
      <c r="J4" s="1"/>
    </row>
    <row r="5" spans="1:10" ht="13.5" customHeight="1">
      <c r="A5" s="28" t="s">
        <v>49</v>
      </c>
      <c r="B5" s="61">
        <f>-7331072</f>
        <v>-7331072</v>
      </c>
      <c r="C5" s="61"/>
      <c r="D5" s="61"/>
      <c r="E5" s="61"/>
      <c r="F5" s="61"/>
      <c r="G5" s="1"/>
      <c r="H5" s="1"/>
      <c r="I5" s="1"/>
      <c r="J5" s="1"/>
    </row>
    <row r="6" spans="1:10" ht="13.5" customHeight="1">
      <c r="A6" s="28" t="s">
        <v>50</v>
      </c>
      <c r="B6" s="25">
        <f>'P&amp;L'!B28</f>
        <v>-3893903.05</v>
      </c>
      <c r="C6" s="25">
        <f>B6+'P&amp;L'!C28</f>
        <v>-2730915.5974000138</v>
      </c>
      <c r="D6" s="25">
        <f>C6+'P&amp;L'!D28</f>
        <v>121361182.54678997</v>
      </c>
      <c r="E6" s="25">
        <f>D6+'P&amp;L'!E28</f>
        <v>463818988.98051345</v>
      </c>
      <c r="F6" s="26">
        <f>E6+'P&amp;L'!F28</f>
        <v>1118255020.4824338</v>
      </c>
      <c r="G6" s="1"/>
      <c r="H6" s="1"/>
      <c r="I6" s="1"/>
      <c r="J6" s="1"/>
    </row>
    <row r="7" spans="1:10" ht="13.5" customHeight="1">
      <c r="A7" s="63" t="s">
        <v>51</v>
      </c>
      <c r="B7" s="37">
        <f t="shared" ref="B7:F7" si="0">SUM(B5:B6)</f>
        <v>-11224975.050000001</v>
      </c>
      <c r="C7" s="37">
        <f t="shared" si="0"/>
        <v>-2730915.5974000138</v>
      </c>
      <c r="D7" s="37">
        <f t="shared" si="0"/>
        <v>121361182.54678997</v>
      </c>
      <c r="E7" s="37">
        <f t="shared" si="0"/>
        <v>463818988.98051345</v>
      </c>
      <c r="F7" s="38">
        <f t="shared" si="0"/>
        <v>1118255020.4824338</v>
      </c>
      <c r="G7" s="1"/>
      <c r="H7" s="1"/>
      <c r="I7" s="1"/>
      <c r="J7" s="1"/>
    </row>
    <row r="8" spans="1:10" ht="13.5" customHeight="1">
      <c r="A8" s="28"/>
      <c r="B8" s="61"/>
      <c r="C8" s="61"/>
      <c r="D8" s="61"/>
      <c r="E8" s="61"/>
      <c r="F8" s="62"/>
      <c r="G8" s="1"/>
      <c r="H8" s="1"/>
      <c r="I8" s="1"/>
      <c r="J8" s="1"/>
    </row>
    <row r="9" spans="1:10" ht="13.5" customHeight="1">
      <c r="A9" s="28" t="s">
        <v>52</v>
      </c>
      <c r="B9" s="61"/>
      <c r="C9" s="61"/>
      <c r="D9" s="61"/>
      <c r="E9" s="61"/>
      <c r="F9" s="62"/>
      <c r="G9" s="1"/>
      <c r="H9" s="1"/>
      <c r="I9" s="1"/>
      <c r="J9" s="1"/>
    </row>
    <row r="10" spans="1:10" ht="13.5" customHeight="1">
      <c r="A10" s="28" t="s">
        <v>53</v>
      </c>
      <c r="B10" s="61">
        <f>9756360</f>
        <v>9756360</v>
      </c>
      <c r="C10" s="61">
        <v>0</v>
      </c>
      <c r="D10" s="61">
        <v>0</v>
      </c>
      <c r="E10" s="61">
        <v>0</v>
      </c>
      <c r="F10" s="62">
        <v>0</v>
      </c>
      <c r="G10" s="1"/>
      <c r="H10" s="1"/>
      <c r="I10" s="1"/>
      <c r="J10" s="1"/>
    </row>
    <row r="11" spans="1:10" ht="13.5" customHeight="1">
      <c r="A11" s="28" t="s">
        <v>54</v>
      </c>
      <c r="B11" s="61">
        <v>0</v>
      </c>
      <c r="C11" s="61">
        <v>0</v>
      </c>
      <c r="D11" s="61">
        <v>0</v>
      </c>
      <c r="E11" s="61">
        <v>0</v>
      </c>
      <c r="F11" s="62">
        <v>0</v>
      </c>
      <c r="G11" s="1"/>
      <c r="H11" s="1"/>
      <c r="I11" s="1"/>
      <c r="J11" s="1"/>
    </row>
    <row r="12" spans="1:10" ht="13.5" customHeight="1">
      <c r="A12" s="63" t="s">
        <v>51</v>
      </c>
      <c r="B12" s="64">
        <f t="shared" ref="B12:F12" si="1">SUM(B10:B11)</f>
        <v>9756360</v>
      </c>
      <c r="C12" s="64">
        <f t="shared" si="1"/>
        <v>0</v>
      </c>
      <c r="D12" s="64">
        <f t="shared" si="1"/>
        <v>0</v>
      </c>
      <c r="E12" s="64">
        <f t="shared" si="1"/>
        <v>0</v>
      </c>
      <c r="F12" s="65">
        <f t="shared" si="1"/>
        <v>0</v>
      </c>
      <c r="G12" s="1"/>
      <c r="H12" s="1"/>
      <c r="I12" s="1"/>
      <c r="J12" s="1"/>
    </row>
    <row r="13" spans="1:10" ht="13.5" customHeight="1">
      <c r="A13" s="34" t="s">
        <v>55</v>
      </c>
      <c r="B13" s="61"/>
      <c r="C13" s="61"/>
      <c r="D13" s="61"/>
      <c r="E13" s="61"/>
      <c r="F13" s="62"/>
      <c r="G13" s="1"/>
      <c r="H13" s="1"/>
      <c r="I13" s="1"/>
      <c r="J13" s="1"/>
    </row>
    <row r="14" spans="1:10" ht="13.5" customHeight="1">
      <c r="A14" s="63" t="s">
        <v>30</v>
      </c>
      <c r="B14" s="64">
        <f t="shared" ref="B14:F14" si="2">SUM(B12:B13)</f>
        <v>9756360</v>
      </c>
      <c r="C14" s="64">
        <f t="shared" si="2"/>
        <v>0</v>
      </c>
      <c r="D14" s="64">
        <f t="shared" si="2"/>
        <v>0</v>
      </c>
      <c r="E14" s="64">
        <f t="shared" si="2"/>
        <v>0</v>
      </c>
      <c r="F14" s="65">
        <f t="shared" si="2"/>
        <v>0</v>
      </c>
      <c r="G14" s="1"/>
      <c r="H14" s="1"/>
      <c r="I14" s="1"/>
      <c r="J14" s="1"/>
    </row>
    <row r="15" spans="1:10" ht="13.5" customHeight="1">
      <c r="A15" s="28"/>
      <c r="B15" s="61"/>
      <c r="C15" s="61"/>
      <c r="D15" s="61"/>
      <c r="E15" s="61"/>
      <c r="F15" s="62"/>
      <c r="G15" s="1"/>
      <c r="H15" s="1"/>
      <c r="I15" s="1"/>
      <c r="J15" s="1"/>
    </row>
    <row r="16" spans="1:10" ht="13.5" customHeight="1">
      <c r="A16" s="60" t="s">
        <v>56</v>
      </c>
      <c r="B16" s="61"/>
      <c r="C16" s="61"/>
      <c r="D16" s="61"/>
      <c r="E16" s="61"/>
      <c r="F16" s="62"/>
      <c r="G16" s="1"/>
      <c r="H16" s="1"/>
      <c r="I16" s="1"/>
      <c r="J16" s="1"/>
    </row>
    <row r="17" spans="1:10" ht="13.5" customHeight="1">
      <c r="A17" s="28" t="s">
        <v>57</v>
      </c>
      <c r="B17" s="61">
        <v>0</v>
      </c>
      <c r="C17" s="61">
        <v>0</v>
      </c>
      <c r="D17" s="61">
        <v>0</v>
      </c>
      <c r="E17" s="61">
        <v>0</v>
      </c>
      <c r="F17" s="62">
        <v>0</v>
      </c>
      <c r="G17" s="1"/>
      <c r="H17" s="1"/>
      <c r="I17" s="1"/>
      <c r="J17" s="1"/>
    </row>
    <row r="18" spans="1:10" ht="13.5" customHeight="1">
      <c r="A18" s="28" t="s">
        <v>58</v>
      </c>
      <c r="B18" s="61">
        <v>0</v>
      </c>
      <c r="C18" s="61">
        <v>0</v>
      </c>
      <c r="D18" s="61">
        <v>0</v>
      </c>
      <c r="E18" s="61">
        <v>0</v>
      </c>
      <c r="F18" s="62">
        <v>0</v>
      </c>
      <c r="G18" s="1"/>
      <c r="H18" s="1"/>
      <c r="I18" s="1"/>
      <c r="J18" s="1"/>
    </row>
    <row r="19" spans="1:10" ht="13.5" customHeight="1">
      <c r="A19" s="28" t="s">
        <v>59</v>
      </c>
      <c r="B19" s="61">
        <v>7288855</v>
      </c>
      <c r="C19" s="61">
        <v>0</v>
      </c>
      <c r="D19" s="61">
        <v>0</v>
      </c>
      <c r="E19" s="61">
        <v>0</v>
      </c>
      <c r="F19" s="62">
        <v>0</v>
      </c>
      <c r="G19" s="1"/>
      <c r="H19" s="1"/>
      <c r="I19" s="1"/>
      <c r="J19" s="1"/>
    </row>
    <row r="20" spans="1:10" ht="13.5" customHeight="1">
      <c r="A20" s="28" t="s">
        <v>60</v>
      </c>
      <c r="B20" s="61">
        <f>'P&amp;L'!B27</f>
        <v>0</v>
      </c>
      <c r="C20" s="61">
        <f>'P&amp;L'!C27</f>
        <v>452272.89823332796</v>
      </c>
      <c r="D20" s="61">
        <f>'P&amp;L'!D27</f>
        <v>48258038.167185001</v>
      </c>
      <c r="E20" s="61">
        <f>'P&amp;L'!E27</f>
        <v>133178035.83533694</v>
      </c>
      <c r="F20" s="62">
        <f>'P&amp;L'!F27</f>
        <v>254502901.13963568</v>
      </c>
      <c r="G20" s="1"/>
      <c r="H20" s="1"/>
      <c r="I20" s="1"/>
      <c r="J20" s="1"/>
    </row>
    <row r="21" spans="1:10" ht="13.5" customHeight="1">
      <c r="A21" s="63" t="s">
        <v>51</v>
      </c>
      <c r="B21" s="64">
        <f t="shared" ref="B21:F21" si="3">SUM(B17:B20)</f>
        <v>7288855</v>
      </c>
      <c r="C21" s="64">
        <f t="shared" si="3"/>
        <v>452272.89823332796</v>
      </c>
      <c r="D21" s="64">
        <f t="shared" si="3"/>
        <v>48258038.167185001</v>
      </c>
      <c r="E21" s="64">
        <f t="shared" si="3"/>
        <v>133178035.83533694</v>
      </c>
      <c r="F21" s="65">
        <f t="shared" si="3"/>
        <v>254502901.13963568</v>
      </c>
      <c r="G21" s="1"/>
      <c r="H21" s="1"/>
      <c r="I21" s="1"/>
      <c r="J21" s="1"/>
    </row>
    <row r="22" spans="1:10" ht="13.5" customHeight="1">
      <c r="A22" s="28"/>
      <c r="B22" s="61"/>
      <c r="C22" s="61"/>
      <c r="D22" s="61"/>
      <c r="E22" s="61"/>
      <c r="F22" s="62"/>
      <c r="G22" s="1"/>
      <c r="H22" s="1"/>
      <c r="I22" s="1"/>
      <c r="J22" s="1"/>
    </row>
    <row r="23" spans="1:10" ht="13.5" customHeight="1">
      <c r="A23" s="66" t="s">
        <v>61</v>
      </c>
      <c r="B23" s="67">
        <f t="shared" ref="B23:F23" si="4">B7+B14+B21</f>
        <v>5820239.9499999993</v>
      </c>
      <c r="C23" s="67">
        <f t="shared" si="4"/>
        <v>-2278642.6991666858</v>
      </c>
      <c r="D23" s="67">
        <f t="shared" si="4"/>
        <v>169619220.71397498</v>
      </c>
      <c r="E23" s="67">
        <f t="shared" si="4"/>
        <v>596997024.81585038</v>
      </c>
      <c r="F23" s="68">
        <f t="shared" si="4"/>
        <v>1372757921.6220694</v>
      </c>
      <c r="G23" s="1"/>
      <c r="H23" s="1"/>
      <c r="I23" s="1"/>
      <c r="J23" s="1"/>
    </row>
    <row r="24" spans="1:10" ht="13.5" customHeight="1">
      <c r="A24" s="28"/>
      <c r="B24" s="61"/>
      <c r="C24" s="61"/>
      <c r="D24" s="61"/>
      <c r="E24" s="61"/>
      <c r="F24" s="62"/>
      <c r="G24" s="1"/>
      <c r="H24" s="1"/>
      <c r="I24" s="1"/>
      <c r="J24" s="1"/>
    </row>
    <row r="25" spans="1:10" ht="13.5" customHeight="1">
      <c r="A25" s="60" t="s">
        <v>62</v>
      </c>
      <c r="B25" s="61"/>
      <c r="C25" s="61"/>
      <c r="D25" s="61"/>
      <c r="E25" s="61"/>
      <c r="F25" s="62"/>
      <c r="G25" s="1"/>
      <c r="H25" s="1"/>
      <c r="I25" s="1"/>
      <c r="J25" s="1"/>
    </row>
    <row r="26" spans="1:10" ht="13.5" customHeight="1">
      <c r="A26" s="60" t="s">
        <v>29</v>
      </c>
      <c r="B26" s="61"/>
      <c r="C26" s="61"/>
      <c r="D26" s="61"/>
      <c r="E26" s="61"/>
      <c r="F26" s="62"/>
      <c r="G26" s="1"/>
      <c r="H26" s="1"/>
      <c r="I26" s="1"/>
      <c r="J26" s="1"/>
    </row>
    <row r="27" spans="1:10" ht="13.5" customHeight="1">
      <c r="A27" s="28" t="s">
        <v>63</v>
      </c>
      <c r="B27" s="25">
        <f>Assumptions!B23</f>
        <v>5868279.9500000002</v>
      </c>
      <c r="C27" s="25">
        <f>Assumptions!C23</f>
        <v>7129381.9674999993</v>
      </c>
      <c r="D27" s="25">
        <f>Assumptions!D23</f>
        <v>6766098.2788749998</v>
      </c>
      <c r="E27" s="25">
        <f>Assumptions!E23</f>
        <v>6503963.8812687509</v>
      </c>
      <c r="F27" s="26">
        <f>Assumptions!F23</f>
        <v>5865576.5228246879</v>
      </c>
      <c r="G27" s="1"/>
      <c r="H27" s="1"/>
      <c r="I27" s="1"/>
      <c r="J27" s="1"/>
    </row>
    <row r="28" spans="1:10" ht="13.5" customHeight="1">
      <c r="A28" s="28" t="s">
        <v>64</v>
      </c>
      <c r="B28" s="25">
        <v>0</v>
      </c>
      <c r="C28" s="25">
        <v>0</v>
      </c>
      <c r="D28" s="25">
        <v>0</v>
      </c>
      <c r="E28" s="25">
        <v>0</v>
      </c>
      <c r="F28" s="26">
        <v>0</v>
      </c>
      <c r="G28" s="1"/>
      <c r="H28" s="1"/>
      <c r="I28" s="1"/>
      <c r="J28" s="1"/>
    </row>
    <row r="29" spans="1:10" ht="13.5" customHeight="1">
      <c r="A29" s="28" t="s">
        <v>65</v>
      </c>
      <c r="B29" s="35">
        <v>0</v>
      </c>
      <c r="C29" s="35">
        <v>0</v>
      </c>
      <c r="D29" s="35">
        <v>0</v>
      </c>
      <c r="E29" s="35">
        <v>0</v>
      </c>
      <c r="F29" s="36">
        <v>0</v>
      </c>
      <c r="G29" s="1"/>
      <c r="H29" s="1"/>
      <c r="I29" s="1"/>
      <c r="J29" s="1"/>
    </row>
    <row r="30" spans="1:10" ht="13.5" customHeight="1">
      <c r="A30" s="63" t="s">
        <v>51</v>
      </c>
      <c r="B30" s="37">
        <f t="shared" ref="B30:F30" si="5">SUM(B27:B29)</f>
        <v>5868279.9500000002</v>
      </c>
      <c r="C30" s="37">
        <f t="shared" si="5"/>
        <v>7129381.9674999993</v>
      </c>
      <c r="D30" s="37">
        <f t="shared" si="5"/>
        <v>6766098.2788749998</v>
      </c>
      <c r="E30" s="37">
        <f t="shared" si="5"/>
        <v>6503963.8812687509</v>
      </c>
      <c r="F30" s="38">
        <f t="shared" si="5"/>
        <v>5865576.5228246879</v>
      </c>
      <c r="G30" s="1"/>
      <c r="H30" s="1"/>
      <c r="I30" s="1"/>
      <c r="J30" s="1"/>
    </row>
    <row r="31" spans="1:10" ht="13.5" customHeight="1">
      <c r="A31" s="28"/>
      <c r="B31" s="25"/>
      <c r="C31" s="25"/>
      <c r="D31" s="25"/>
      <c r="E31" s="25"/>
      <c r="F31" s="26"/>
      <c r="G31" s="1"/>
      <c r="H31" s="1"/>
      <c r="I31" s="1"/>
      <c r="J31" s="1"/>
    </row>
    <row r="32" spans="1:10" ht="13.5" customHeight="1">
      <c r="A32" s="60" t="s">
        <v>66</v>
      </c>
      <c r="B32" s="25"/>
      <c r="C32" s="25"/>
      <c r="D32" s="25"/>
      <c r="E32" s="25"/>
      <c r="F32" s="26"/>
      <c r="G32" s="1"/>
      <c r="H32" s="1"/>
      <c r="I32" s="1"/>
      <c r="J32" s="1"/>
    </row>
    <row r="33" spans="1:10" ht="13.5" customHeight="1">
      <c r="A33" s="28" t="s">
        <v>67</v>
      </c>
      <c r="B33" s="25">
        <f>'Cash Flow'!B35</f>
        <v>-2254060</v>
      </c>
      <c r="C33" s="25">
        <f>'Cash Flow'!C35</f>
        <v>-1899901.6666666865</v>
      </c>
      <c r="D33" s="25">
        <f>'Cash Flow'!D35</f>
        <v>170361245.43509999</v>
      </c>
      <c r="E33" s="25">
        <f>'Cash Flow'!E35</f>
        <v>598001183.93458164</v>
      </c>
      <c r="F33" s="26">
        <f>'Cash Flow'!F35</f>
        <v>1374400468.0992446</v>
      </c>
      <c r="G33" s="1"/>
      <c r="H33" s="1"/>
      <c r="I33" s="1"/>
      <c r="J33" s="1"/>
    </row>
    <row r="34" spans="1:10" ht="13.5" customHeight="1">
      <c r="A34" s="28" t="s">
        <v>68</v>
      </c>
      <c r="B34" s="25">
        <v>0</v>
      </c>
      <c r="C34" s="25">
        <v>0</v>
      </c>
      <c r="D34" s="25">
        <v>0</v>
      </c>
      <c r="E34" s="25">
        <v>0</v>
      </c>
      <c r="F34" s="26">
        <v>0</v>
      </c>
      <c r="G34" s="1"/>
      <c r="H34" s="1"/>
      <c r="I34" s="1"/>
      <c r="J34" s="1"/>
    </row>
    <row r="35" spans="1:10" ht="13.5" customHeight="1">
      <c r="A35" s="28" t="s">
        <v>69</v>
      </c>
      <c r="B35" s="35">
        <f>2206020</f>
        <v>2206020</v>
      </c>
      <c r="C35" s="35">
        <v>0</v>
      </c>
      <c r="D35" s="35">
        <v>0</v>
      </c>
      <c r="E35" s="35">
        <v>0</v>
      </c>
      <c r="F35" s="36">
        <v>0</v>
      </c>
      <c r="G35" s="1"/>
      <c r="H35" s="1"/>
      <c r="I35" s="1"/>
      <c r="J35" s="1"/>
    </row>
    <row r="36" spans="1:10" ht="13.5" customHeight="1">
      <c r="A36" s="69" t="s">
        <v>51</v>
      </c>
      <c r="B36" s="23">
        <f t="shared" ref="B36:F36" si="6">SUM(B33:B35)</f>
        <v>-48040</v>
      </c>
      <c r="C36" s="23">
        <f t="shared" si="6"/>
        <v>-1899901.6666666865</v>
      </c>
      <c r="D36" s="23">
        <f t="shared" si="6"/>
        <v>170361245.43509999</v>
      </c>
      <c r="E36" s="23">
        <f t="shared" si="6"/>
        <v>598001183.93458164</v>
      </c>
      <c r="F36" s="24">
        <f t="shared" si="6"/>
        <v>1374400468.0992446</v>
      </c>
      <c r="G36" s="1"/>
      <c r="H36" s="1"/>
      <c r="I36" s="1"/>
      <c r="J36" s="1"/>
    </row>
    <row r="37" spans="1:10" ht="13.5" customHeight="1">
      <c r="A37" s="28"/>
      <c r="B37" s="61"/>
      <c r="C37" s="61"/>
      <c r="D37" s="61"/>
      <c r="E37" s="61"/>
      <c r="F37" s="62"/>
      <c r="G37" s="1"/>
      <c r="H37" s="1"/>
      <c r="I37" s="1"/>
      <c r="J37" s="1"/>
    </row>
    <row r="38" spans="1:10" ht="13.5" customHeight="1">
      <c r="A38" s="70" t="s">
        <v>70</v>
      </c>
      <c r="B38" s="71">
        <f t="shared" ref="B38:F38" si="7">B30+B36</f>
        <v>5820239.9500000002</v>
      </c>
      <c r="C38" s="71">
        <f t="shared" si="7"/>
        <v>5229480.3008333128</v>
      </c>
      <c r="D38" s="71">
        <f t="shared" si="7"/>
        <v>177127343.71397498</v>
      </c>
      <c r="E38" s="71">
        <f t="shared" si="7"/>
        <v>604505147.81585038</v>
      </c>
      <c r="F38" s="72">
        <f t="shared" si="7"/>
        <v>1380266044.6220694</v>
      </c>
      <c r="G38" s="1"/>
      <c r="H38" s="1"/>
      <c r="I38" s="1"/>
      <c r="J38" s="1"/>
    </row>
    <row r="39" spans="1:10" ht="13.5" customHeight="1">
      <c r="A39" s="28"/>
      <c r="B39" s="61"/>
      <c r="C39" s="61"/>
      <c r="D39" s="61"/>
      <c r="E39" s="61"/>
      <c r="F39" s="62"/>
      <c r="G39" s="1"/>
      <c r="H39" s="1"/>
      <c r="I39" s="1"/>
      <c r="J39" s="1"/>
    </row>
    <row r="40" spans="1:10" ht="13.5" customHeight="1">
      <c r="A40" s="30" t="s">
        <v>71</v>
      </c>
      <c r="B40" s="27">
        <f t="shared" ref="B40:F40" si="8">B23-B38</f>
        <v>0</v>
      </c>
      <c r="C40" s="27">
        <f t="shared" si="8"/>
        <v>-7508122.9999999981</v>
      </c>
      <c r="D40" s="27">
        <f t="shared" si="8"/>
        <v>-7508123</v>
      </c>
      <c r="E40" s="27">
        <f t="shared" si="8"/>
        <v>-7508123</v>
      </c>
      <c r="F40" s="31">
        <f t="shared" si="8"/>
        <v>-7508123</v>
      </c>
      <c r="G40" s="1"/>
      <c r="H40" s="1"/>
      <c r="I40" s="1"/>
      <c r="J40" s="1"/>
    </row>
    <row r="41" spans="1:10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</sheetData>
  <pageMargins left="0.7" right="0.7" top="0.75" bottom="0.75" header="0" footer="0"/>
  <pageSetup scale="9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"/>
  <sheetViews>
    <sheetView showGridLines="0" view="pageBreakPreview" zoomScale="60" zoomScaleNormal="100" workbookViewId="0">
      <selection activeCell="A23" sqref="A23"/>
    </sheetView>
  </sheetViews>
  <sheetFormatPr defaultColWidth="14.453125" defaultRowHeight="15" customHeight="1"/>
  <cols>
    <col min="1" max="1" width="49.90625" bestFit="1" customWidth="1"/>
    <col min="2" max="2" width="10.7265625" bestFit="1" customWidth="1"/>
    <col min="3" max="5" width="11.6328125" bestFit="1" customWidth="1"/>
    <col min="6" max="6" width="12.1796875" bestFit="1" customWidth="1"/>
    <col min="7" max="9" width="8.81640625" customWidth="1"/>
  </cols>
  <sheetData>
    <row r="1" spans="1:9" ht="13.5" customHeight="1">
      <c r="A1" s="20" t="s">
        <v>72</v>
      </c>
      <c r="B1" s="1"/>
      <c r="C1" s="1"/>
      <c r="D1" s="1"/>
      <c r="E1" s="1"/>
      <c r="F1" s="1"/>
      <c r="G1" s="1"/>
      <c r="H1" s="1"/>
      <c r="I1" s="1"/>
    </row>
    <row r="2" spans="1:9" ht="13.5" customHeight="1">
      <c r="A2" s="3" t="s">
        <v>1</v>
      </c>
      <c r="B2" s="1"/>
      <c r="C2" s="1"/>
      <c r="D2" s="1"/>
      <c r="E2" s="1"/>
      <c r="F2" s="1"/>
      <c r="G2" s="1"/>
      <c r="H2" s="1"/>
      <c r="I2" s="1"/>
    </row>
    <row r="3" spans="1:9" ht="13.5" customHeight="1">
      <c r="A3" s="21" t="s">
        <v>2</v>
      </c>
      <c r="B3" s="5" t="s">
        <v>115</v>
      </c>
      <c r="C3" s="5" t="s">
        <v>116</v>
      </c>
      <c r="D3" s="5" t="s">
        <v>117</v>
      </c>
      <c r="E3" s="5" t="s">
        <v>118</v>
      </c>
      <c r="F3" s="6" t="s">
        <v>119</v>
      </c>
      <c r="G3" s="1"/>
      <c r="H3" s="1"/>
      <c r="I3" s="1"/>
    </row>
    <row r="4" spans="1:9" ht="13.5" customHeight="1">
      <c r="A4" s="60" t="s">
        <v>73</v>
      </c>
      <c r="B4" s="25"/>
      <c r="C4" s="25"/>
      <c r="D4" s="25"/>
      <c r="E4" s="25"/>
      <c r="F4" s="26"/>
      <c r="G4" s="1"/>
      <c r="H4" s="1"/>
      <c r="I4" s="1"/>
    </row>
    <row r="5" spans="1:9" ht="13.5" customHeight="1">
      <c r="A5" s="73" t="s">
        <v>74</v>
      </c>
      <c r="B5" s="52">
        <f>'P&amp;L'!B28</f>
        <v>-3893903.05</v>
      </c>
      <c r="C5" s="52">
        <f>'P&amp;L'!C28</f>
        <v>1162987.452599986</v>
      </c>
      <c r="D5" s="52">
        <f>'P&amp;L'!D28</f>
        <v>124092098.14418998</v>
      </c>
      <c r="E5" s="52">
        <f>'P&amp;L'!E28</f>
        <v>342457806.43372351</v>
      </c>
      <c r="F5" s="53">
        <f>'P&amp;L'!F28</f>
        <v>654436031.50192022</v>
      </c>
      <c r="G5" s="1"/>
      <c r="H5" s="1"/>
      <c r="I5" s="1"/>
    </row>
    <row r="6" spans="1:9" ht="13.5" customHeight="1">
      <c r="A6" s="63" t="s">
        <v>75</v>
      </c>
      <c r="B6" s="25"/>
      <c r="C6" s="25"/>
      <c r="D6" s="25"/>
      <c r="E6" s="25"/>
      <c r="F6" s="26"/>
      <c r="G6" s="1"/>
      <c r="H6" s="1"/>
      <c r="I6" s="1"/>
    </row>
    <row r="7" spans="1:9" ht="13.5" customHeight="1">
      <c r="A7" s="28" t="s">
        <v>76</v>
      </c>
      <c r="B7" s="25"/>
      <c r="C7" s="25"/>
      <c r="D7" s="25"/>
      <c r="E7" s="25"/>
      <c r="F7" s="26"/>
      <c r="G7" s="1"/>
      <c r="H7" s="1"/>
      <c r="I7" s="1"/>
    </row>
    <row r="8" spans="1:9" ht="13.5" customHeight="1">
      <c r="A8" s="28" t="s">
        <v>77</v>
      </c>
      <c r="B8" s="25">
        <v>0</v>
      </c>
      <c r="C8" s="25">
        <v>0</v>
      </c>
      <c r="D8" s="25">
        <v>0</v>
      </c>
      <c r="E8" s="25">
        <v>0</v>
      </c>
      <c r="F8" s="26">
        <v>0</v>
      </c>
      <c r="G8" s="1"/>
      <c r="H8" s="1"/>
      <c r="I8" s="1"/>
    </row>
    <row r="9" spans="1:9" ht="13.5" customHeight="1">
      <c r="A9" s="28" t="s">
        <v>78</v>
      </c>
      <c r="B9" s="25">
        <f>Assumptions!B22</f>
        <v>3159843.05</v>
      </c>
      <c r="C9" s="25">
        <f>Assumptions!C22</f>
        <v>3838897.9824999995</v>
      </c>
      <c r="D9" s="25">
        <f>Assumptions!D22</f>
        <v>3643283.6886249995</v>
      </c>
      <c r="E9" s="25">
        <f>Assumptions!E22</f>
        <v>3502134.3976062499</v>
      </c>
      <c r="F9" s="26">
        <f>Assumptions!F22</f>
        <v>3158387.3584440625</v>
      </c>
      <c r="G9" s="1"/>
      <c r="H9" s="1"/>
      <c r="I9" s="1"/>
    </row>
    <row r="10" spans="1:9" ht="13.5" customHeight="1">
      <c r="A10" s="28" t="s">
        <v>79</v>
      </c>
      <c r="B10" s="25">
        <v>0</v>
      </c>
      <c r="C10" s="25">
        <v>0</v>
      </c>
      <c r="D10" s="25">
        <v>0</v>
      </c>
      <c r="E10" s="25">
        <v>0</v>
      </c>
      <c r="F10" s="26">
        <v>0</v>
      </c>
      <c r="G10" s="1"/>
      <c r="H10" s="1"/>
      <c r="I10" s="1"/>
    </row>
    <row r="11" spans="1:9" ht="13.5" customHeight="1">
      <c r="A11" s="28" t="s">
        <v>80</v>
      </c>
      <c r="B11" s="25">
        <v>0</v>
      </c>
      <c r="C11" s="25">
        <v>0</v>
      </c>
      <c r="D11" s="25">
        <v>0</v>
      </c>
      <c r="E11" s="25">
        <v>0</v>
      </c>
      <c r="F11" s="26">
        <v>0</v>
      </c>
      <c r="G11" s="1"/>
      <c r="H11" s="1"/>
      <c r="I11" s="1"/>
    </row>
    <row r="12" spans="1:9" ht="13.5" customHeight="1">
      <c r="A12" s="28" t="s">
        <v>81</v>
      </c>
      <c r="B12" s="25">
        <f>'P&amp;L'!B27</f>
        <v>0</v>
      </c>
      <c r="C12" s="25">
        <f>'P&amp;L'!C27</f>
        <v>452272.89823332796</v>
      </c>
      <c r="D12" s="25">
        <f>'P&amp;L'!D27</f>
        <v>48258038.167185001</v>
      </c>
      <c r="E12" s="25">
        <f>'P&amp;L'!E27</f>
        <v>133178035.83533694</v>
      </c>
      <c r="F12" s="26">
        <f>'P&amp;L'!F27</f>
        <v>254502901.13963568</v>
      </c>
      <c r="G12" s="1"/>
      <c r="H12" s="1"/>
      <c r="I12" s="1"/>
    </row>
    <row r="13" spans="1:9" ht="13.5" customHeight="1">
      <c r="A13" s="74" t="s">
        <v>82</v>
      </c>
      <c r="B13" s="50">
        <f>SUM(B8:B12)+B5</f>
        <v>-734060</v>
      </c>
      <c r="C13" s="50">
        <f t="shared" ref="C13:F13" si="0">SUM(C8:C12)+C5</f>
        <v>5454158.3333333135</v>
      </c>
      <c r="D13" s="50">
        <f t="shared" si="0"/>
        <v>175993420</v>
      </c>
      <c r="E13" s="50">
        <f t="shared" si="0"/>
        <v>479137976.66666669</v>
      </c>
      <c r="F13" s="51">
        <f t="shared" si="0"/>
        <v>912097320</v>
      </c>
      <c r="G13" s="1"/>
      <c r="H13" s="1"/>
      <c r="I13" s="1"/>
    </row>
    <row r="14" spans="1:9" ht="13.5" customHeight="1">
      <c r="A14" s="28" t="s">
        <v>83</v>
      </c>
      <c r="B14" s="25"/>
      <c r="C14" s="25"/>
      <c r="D14" s="25"/>
      <c r="E14" s="25"/>
      <c r="F14" s="26"/>
      <c r="G14" s="1"/>
      <c r="H14" s="1"/>
      <c r="I14" s="1"/>
    </row>
    <row r="15" spans="1:9" ht="13.5" customHeight="1">
      <c r="A15" s="28" t="s">
        <v>68</v>
      </c>
      <c r="B15" s="25">
        <v>0</v>
      </c>
      <c r="C15" s="25">
        <v>0</v>
      </c>
      <c r="D15" s="25">
        <v>0</v>
      </c>
      <c r="E15" s="25">
        <v>0</v>
      </c>
      <c r="F15" s="26">
        <v>0</v>
      </c>
      <c r="G15" s="1"/>
      <c r="H15" s="1"/>
      <c r="I15" s="1"/>
    </row>
    <row r="16" spans="1:9" ht="13.5" customHeight="1">
      <c r="A16" s="28" t="s">
        <v>69</v>
      </c>
      <c r="B16" s="25">
        <v>0</v>
      </c>
      <c r="C16" s="25">
        <v>0</v>
      </c>
      <c r="D16" s="25">
        <v>0</v>
      </c>
      <c r="E16" s="25">
        <v>0</v>
      </c>
      <c r="F16" s="26">
        <v>0</v>
      </c>
      <c r="G16" s="1"/>
      <c r="H16" s="1"/>
      <c r="I16" s="1"/>
    </row>
    <row r="17" spans="1:9" ht="13.5" customHeight="1">
      <c r="A17" s="28" t="s">
        <v>84</v>
      </c>
      <c r="B17" s="25">
        <v>0</v>
      </c>
      <c r="C17" s="25">
        <f>-'P&amp;L'!B27</f>
        <v>0</v>
      </c>
      <c r="D17" s="25">
        <f>-'P&amp;L'!C27</f>
        <v>-452272.89823332796</v>
      </c>
      <c r="E17" s="25">
        <f>-'P&amp;L'!D27</f>
        <v>-48258038.167185001</v>
      </c>
      <c r="F17" s="26">
        <f>-'P&amp;L'!E27</f>
        <v>-133178035.83533694</v>
      </c>
      <c r="G17" s="1"/>
      <c r="H17" s="1"/>
      <c r="I17" s="1"/>
    </row>
    <row r="18" spans="1:9" ht="13.5" customHeight="1">
      <c r="A18" s="28" t="s">
        <v>85</v>
      </c>
      <c r="B18" s="25">
        <v>0</v>
      </c>
      <c r="C18" s="25">
        <v>0</v>
      </c>
      <c r="D18" s="25">
        <v>0</v>
      </c>
      <c r="E18" s="25">
        <v>0</v>
      </c>
      <c r="F18" s="26">
        <v>0</v>
      </c>
      <c r="G18" s="1"/>
      <c r="H18" s="1"/>
      <c r="I18" s="1"/>
    </row>
    <row r="19" spans="1:9" ht="13.5" customHeight="1">
      <c r="A19" s="75" t="s">
        <v>86</v>
      </c>
      <c r="B19" s="76">
        <f t="shared" ref="B19:F19" si="1">SUM(B13:B18)</f>
        <v>-734060</v>
      </c>
      <c r="C19" s="76">
        <f t="shared" si="1"/>
        <v>5454158.3333333135</v>
      </c>
      <c r="D19" s="76">
        <f t="shared" si="1"/>
        <v>175541147.10176668</v>
      </c>
      <c r="E19" s="76">
        <f t="shared" si="1"/>
        <v>430879938.49948168</v>
      </c>
      <c r="F19" s="77">
        <f t="shared" si="1"/>
        <v>778919284.16466308</v>
      </c>
      <c r="G19" s="25"/>
      <c r="H19" s="1"/>
      <c r="I19" s="1"/>
    </row>
    <row r="20" spans="1:9" ht="13.5" customHeight="1">
      <c r="A20" s="28"/>
      <c r="B20" s="25"/>
      <c r="C20" s="25"/>
      <c r="D20" s="25"/>
      <c r="E20" s="25"/>
      <c r="F20" s="26"/>
      <c r="G20" s="1"/>
      <c r="H20" s="1"/>
      <c r="I20" s="1"/>
    </row>
    <row r="21" spans="1:9" ht="13.5" customHeight="1">
      <c r="A21" s="60" t="s">
        <v>87</v>
      </c>
      <c r="B21" s="25"/>
      <c r="C21" s="25"/>
      <c r="D21" s="25"/>
      <c r="E21" s="25"/>
      <c r="F21" s="26"/>
      <c r="G21" s="1"/>
      <c r="H21" s="1"/>
      <c r="I21" s="1"/>
    </row>
    <row r="22" spans="1:9" ht="13.5" customHeight="1">
      <c r="A22" s="28" t="s">
        <v>88</v>
      </c>
      <c r="B22" s="25">
        <f>-Assumptions!B20</f>
        <v>-1520000</v>
      </c>
      <c r="C22" s="25">
        <f>-Assumptions!C20</f>
        <v>-5100000</v>
      </c>
      <c r="D22" s="25">
        <f>-Assumptions!D20</f>
        <v>-3280000</v>
      </c>
      <c r="E22" s="25">
        <f>-Assumptions!E20</f>
        <v>-3240000</v>
      </c>
      <c r="F22" s="26">
        <f>-Assumptions!F20</f>
        <v>-2520000</v>
      </c>
      <c r="G22" s="1"/>
      <c r="H22" s="1"/>
      <c r="I22" s="1"/>
    </row>
    <row r="23" spans="1:9" ht="13.5" customHeight="1">
      <c r="A23" s="28" t="s">
        <v>89</v>
      </c>
      <c r="B23" s="25">
        <v>0</v>
      </c>
      <c r="C23" s="25">
        <v>0</v>
      </c>
      <c r="D23" s="25">
        <v>0</v>
      </c>
      <c r="E23" s="25">
        <v>0</v>
      </c>
      <c r="F23" s="26">
        <v>0</v>
      </c>
      <c r="G23" s="1"/>
      <c r="H23" s="1"/>
      <c r="I23" s="1"/>
    </row>
    <row r="24" spans="1:9" ht="13.5" customHeight="1">
      <c r="A24" s="28" t="s">
        <v>90</v>
      </c>
      <c r="B24" s="35">
        <v>0</v>
      </c>
      <c r="C24" s="35">
        <v>0</v>
      </c>
      <c r="D24" s="35">
        <v>0</v>
      </c>
      <c r="E24" s="35">
        <v>0</v>
      </c>
      <c r="F24" s="36">
        <v>0</v>
      </c>
      <c r="G24" s="1"/>
      <c r="H24" s="1"/>
      <c r="I24" s="1"/>
    </row>
    <row r="25" spans="1:9" ht="13.5" customHeight="1">
      <c r="A25" s="75" t="s">
        <v>91</v>
      </c>
      <c r="B25" s="76">
        <f t="shared" ref="B25:F25" si="2">SUM(B22:B24)</f>
        <v>-1520000</v>
      </c>
      <c r="C25" s="76">
        <f t="shared" si="2"/>
        <v>-5100000</v>
      </c>
      <c r="D25" s="76">
        <f t="shared" si="2"/>
        <v>-3280000</v>
      </c>
      <c r="E25" s="76">
        <f t="shared" si="2"/>
        <v>-3240000</v>
      </c>
      <c r="F25" s="77">
        <f t="shared" si="2"/>
        <v>-2520000</v>
      </c>
      <c r="G25" s="1"/>
      <c r="H25" s="1"/>
      <c r="I25" s="1"/>
    </row>
    <row r="26" spans="1:9" ht="13.5" customHeight="1">
      <c r="A26" s="28"/>
      <c r="B26" s="25"/>
      <c r="C26" s="25"/>
      <c r="D26" s="25"/>
      <c r="E26" s="25"/>
      <c r="F26" s="26"/>
      <c r="G26" s="1"/>
      <c r="H26" s="1"/>
      <c r="I26" s="1"/>
    </row>
    <row r="27" spans="1:9" ht="13.5" customHeight="1">
      <c r="A27" s="60" t="s">
        <v>92</v>
      </c>
      <c r="B27" s="25"/>
      <c r="C27" s="25"/>
      <c r="D27" s="25"/>
      <c r="E27" s="25"/>
      <c r="F27" s="26"/>
      <c r="G27" s="1"/>
      <c r="H27" s="1"/>
      <c r="I27" s="1"/>
    </row>
    <row r="28" spans="1:9" ht="13.5" customHeight="1">
      <c r="A28" s="28" t="s">
        <v>93</v>
      </c>
      <c r="B28" s="25"/>
      <c r="C28" s="25">
        <v>0</v>
      </c>
      <c r="D28" s="25"/>
      <c r="E28" s="25"/>
      <c r="F28" s="26">
        <v>0</v>
      </c>
      <c r="G28" s="1"/>
      <c r="H28" s="1"/>
      <c r="I28" s="1"/>
    </row>
    <row r="29" spans="1:9" ht="13.5" customHeight="1">
      <c r="A29" s="28" t="s">
        <v>94</v>
      </c>
      <c r="B29" s="25">
        <v>0</v>
      </c>
      <c r="C29" s="25">
        <v>0</v>
      </c>
      <c r="D29" s="25">
        <v>0</v>
      </c>
      <c r="E29" s="25">
        <v>0</v>
      </c>
      <c r="F29" s="26">
        <v>0</v>
      </c>
      <c r="G29" s="1"/>
      <c r="H29" s="1"/>
      <c r="I29" s="1"/>
    </row>
    <row r="30" spans="1:9" ht="13.5" customHeight="1">
      <c r="A30" s="28" t="s">
        <v>95</v>
      </c>
      <c r="B30" s="35">
        <v>0</v>
      </c>
      <c r="C30" s="35">
        <v>0</v>
      </c>
      <c r="D30" s="35">
        <v>0</v>
      </c>
      <c r="E30" s="35">
        <v>0</v>
      </c>
      <c r="F30" s="36">
        <v>0</v>
      </c>
      <c r="G30" s="1"/>
      <c r="H30" s="1"/>
      <c r="I30" s="1"/>
    </row>
    <row r="31" spans="1:9" ht="13.5" customHeight="1">
      <c r="A31" s="75" t="s">
        <v>96</v>
      </c>
      <c r="B31" s="76">
        <f t="shared" ref="B31:F31" si="3">SUM(B28:B30)</f>
        <v>0</v>
      </c>
      <c r="C31" s="76">
        <f t="shared" si="3"/>
        <v>0</v>
      </c>
      <c r="D31" s="76">
        <f t="shared" si="3"/>
        <v>0</v>
      </c>
      <c r="E31" s="76">
        <f t="shared" si="3"/>
        <v>0</v>
      </c>
      <c r="F31" s="77">
        <f t="shared" si="3"/>
        <v>0</v>
      </c>
      <c r="G31" s="1"/>
      <c r="H31" s="1"/>
      <c r="I31" s="1"/>
    </row>
    <row r="32" spans="1:9" ht="13.5" customHeight="1">
      <c r="A32" s="28" t="s">
        <v>97</v>
      </c>
      <c r="B32" s="25">
        <v>0</v>
      </c>
      <c r="C32" s="25">
        <v>0</v>
      </c>
      <c r="D32" s="25">
        <v>0</v>
      </c>
      <c r="E32" s="25">
        <v>0</v>
      </c>
      <c r="F32" s="26">
        <v>0</v>
      </c>
      <c r="G32" s="1"/>
      <c r="H32" s="1"/>
      <c r="I32" s="1"/>
    </row>
    <row r="33" spans="1:9" ht="13.5" customHeight="1">
      <c r="A33" s="28" t="s">
        <v>98</v>
      </c>
      <c r="B33" s="25">
        <f t="shared" ref="B33:F33" si="4">B19+B25+B31</f>
        <v>-2254060</v>
      </c>
      <c r="C33" s="25">
        <f t="shared" si="4"/>
        <v>354158.33333331347</v>
      </c>
      <c r="D33" s="25">
        <f t="shared" si="4"/>
        <v>172261147.10176668</v>
      </c>
      <c r="E33" s="25">
        <f t="shared" si="4"/>
        <v>427639938.49948168</v>
      </c>
      <c r="F33" s="26">
        <f t="shared" si="4"/>
        <v>776399284.16466308</v>
      </c>
      <c r="G33" s="1"/>
      <c r="H33" s="1"/>
      <c r="I33" s="1"/>
    </row>
    <row r="34" spans="1:9" ht="13.5" customHeight="1">
      <c r="A34" s="28" t="s">
        <v>99</v>
      </c>
      <c r="B34" s="25">
        <v>0</v>
      </c>
      <c r="C34" s="25">
        <f t="shared" ref="C34:F34" si="5">B35</f>
        <v>-2254060</v>
      </c>
      <c r="D34" s="25">
        <f t="shared" si="5"/>
        <v>-1899901.6666666865</v>
      </c>
      <c r="E34" s="25">
        <f t="shared" si="5"/>
        <v>170361245.43509999</v>
      </c>
      <c r="F34" s="26">
        <f t="shared" si="5"/>
        <v>598001183.93458164</v>
      </c>
      <c r="G34" s="1"/>
      <c r="H34" s="1"/>
      <c r="I34" s="1"/>
    </row>
    <row r="35" spans="1:9" ht="13.5" customHeight="1">
      <c r="A35" s="30" t="s">
        <v>100</v>
      </c>
      <c r="B35" s="27">
        <f t="shared" ref="B35:F35" si="6">B34+B33</f>
        <v>-2254060</v>
      </c>
      <c r="C35" s="27">
        <f t="shared" si="6"/>
        <v>-1899901.6666666865</v>
      </c>
      <c r="D35" s="27">
        <f t="shared" si="6"/>
        <v>170361245.43509999</v>
      </c>
      <c r="E35" s="27">
        <f t="shared" si="6"/>
        <v>598001183.93458164</v>
      </c>
      <c r="F35" s="31">
        <f t="shared" si="6"/>
        <v>1374400468.0992446</v>
      </c>
      <c r="G35" s="1"/>
      <c r="H35" s="1"/>
      <c r="I35" s="1"/>
    </row>
    <row r="36" spans="1:9" ht="13.5" customHeight="1">
      <c r="A36" s="1"/>
      <c r="B36" s="1"/>
      <c r="C36" s="1"/>
      <c r="D36" s="1"/>
      <c r="E36" s="1"/>
      <c r="F36" s="1"/>
      <c r="G36" s="1"/>
      <c r="H36" s="1"/>
      <c r="I36" s="1"/>
    </row>
    <row r="37" spans="1:9" ht="13.5" customHeight="1">
      <c r="A37" s="1"/>
      <c r="B37" s="1"/>
      <c r="C37" s="1"/>
      <c r="D37" s="1"/>
      <c r="E37" s="1"/>
      <c r="F37" s="1"/>
      <c r="G37" s="1"/>
      <c r="H37" s="1"/>
      <c r="I37" s="1"/>
    </row>
    <row r="38" spans="1:9" ht="13.5" customHeight="1">
      <c r="A38" s="1"/>
      <c r="B38" s="1"/>
      <c r="C38" s="1"/>
      <c r="D38" s="1"/>
      <c r="E38" s="1"/>
      <c r="F38" s="1"/>
      <c r="G38" s="1"/>
      <c r="H38" s="1"/>
      <c r="I38" s="1"/>
    </row>
    <row r="39" spans="1:9" ht="13.5" customHeight="1">
      <c r="A39" s="1"/>
      <c r="B39" s="1"/>
      <c r="C39" s="1"/>
      <c r="D39" s="1"/>
      <c r="E39" s="1"/>
      <c r="F39" s="1"/>
      <c r="G39" s="1"/>
      <c r="H39" s="1"/>
      <c r="I39" s="1"/>
    </row>
    <row r="40" spans="1:9" ht="13.5" customHeight="1">
      <c r="A40" s="1"/>
      <c r="B40" s="1"/>
      <c r="C40" s="1"/>
      <c r="D40" s="1"/>
      <c r="E40" s="1"/>
      <c r="F40" s="1"/>
      <c r="G40" s="1"/>
      <c r="H40" s="1"/>
      <c r="I40" s="1"/>
    </row>
    <row r="41" spans="1:9" ht="13.5" customHeight="1">
      <c r="A41" s="1"/>
      <c r="B41" s="1"/>
      <c r="C41" s="1"/>
      <c r="D41" s="1"/>
      <c r="E41" s="1"/>
      <c r="F41" s="1"/>
      <c r="G41" s="1"/>
      <c r="H41" s="1"/>
      <c r="I41" s="1"/>
    </row>
    <row r="42" spans="1:9" ht="13.5" customHeight="1">
      <c r="A42" s="1"/>
      <c r="B42" s="1"/>
      <c r="C42" s="1"/>
      <c r="D42" s="1"/>
      <c r="E42" s="1"/>
      <c r="F42" s="1"/>
      <c r="G42" s="1"/>
      <c r="H42" s="1"/>
      <c r="I42" s="1"/>
    </row>
    <row r="43" spans="1:9" ht="13.5" customHeight="1">
      <c r="A43" s="1"/>
      <c r="B43" s="1"/>
      <c r="C43" s="1"/>
      <c r="D43" s="1"/>
      <c r="E43" s="1"/>
      <c r="F43" s="1"/>
      <c r="G43" s="1"/>
      <c r="H43" s="1"/>
      <c r="I43" s="1"/>
    </row>
    <row r="44" spans="1:9" ht="13.5" customHeight="1">
      <c r="A44" s="1"/>
      <c r="B44" s="1"/>
      <c r="C44" s="1"/>
      <c r="D44" s="1"/>
      <c r="E44" s="1"/>
      <c r="F44" s="1"/>
      <c r="G44" s="1"/>
      <c r="H44" s="1"/>
      <c r="I44" s="1"/>
    </row>
    <row r="45" spans="1:9" ht="13.5" customHeight="1">
      <c r="A45" s="1"/>
      <c r="B45" s="1"/>
      <c r="C45" s="1"/>
      <c r="D45" s="1"/>
      <c r="E45" s="1"/>
      <c r="F45" s="1"/>
      <c r="G45" s="1"/>
      <c r="H45" s="1"/>
      <c r="I45" s="1"/>
    </row>
    <row r="46" spans="1:9" ht="13.5" customHeight="1">
      <c r="A46" s="1"/>
      <c r="B46" s="1"/>
      <c r="C46" s="1"/>
      <c r="D46" s="1"/>
      <c r="E46" s="1"/>
      <c r="F46" s="1"/>
      <c r="G46" s="1"/>
      <c r="H46" s="1"/>
      <c r="I46" s="1"/>
    </row>
    <row r="47" spans="1:9" ht="13.5" customHeight="1">
      <c r="A47" s="1"/>
      <c r="B47" s="1"/>
      <c r="C47" s="1"/>
      <c r="D47" s="1"/>
      <c r="E47" s="1"/>
      <c r="F47" s="1"/>
      <c r="G47" s="1"/>
      <c r="H47" s="1"/>
      <c r="I47" s="1"/>
    </row>
    <row r="48" spans="1:9" ht="13.5" customHeight="1">
      <c r="A48" s="1"/>
      <c r="B48" s="1"/>
      <c r="C48" s="1"/>
      <c r="D48" s="1"/>
      <c r="E48" s="1"/>
      <c r="F48" s="1"/>
      <c r="G48" s="1"/>
      <c r="H48" s="1"/>
      <c r="I48" s="1"/>
    </row>
    <row r="49" spans="1:9" ht="13.5" customHeight="1">
      <c r="A49" s="1"/>
      <c r="B49" s="1"/>
      <c r="C49" s="1"/>
      <c r="D49" s="1"/>
      <c r="E49" s="1"/>
      <c r="F49" s="1"/>
      <c r="G49" s="1"/>
      <c r="H49" s="1"/>
      <c r="I49" s="1"/>
    </row>
    <row r="50" spans="1:9" ht="13.5" customHeight="1">
      <c r="A50" s="1"/>
      <c r="B50" s="1"/>
      <c r="C50" s="1"/>
      <c r="D50" s="1"/>
      <c r="E50" s="1"/>
      <c r="F50" s="1"/>
      <c r="G50" s="1"/>
      <c r="H50" s="1"/>
      <c r="I50" s="1"/>
    </row>
    <row r="51" spans="1:9" ht="13.5" customHeight="1">
      <c r="A51" s="1"/>
      <c r="B51" s="1"/>
      <c r="C51" s="1"/>
      <c r="D51" s="1"/>
      <c r="E51" s="1"/>
      <c r="F51" s="1"/>
      <c r="G51" s="1"/>
      <c r="H51" s="1"/>
      <c r="I51" s="1"/>
    </row>
    <row r="52" spans="1:9" ht="13.5" customHeight="1">
      <c r="A52" s="1"/>
      <c r="B52" s="1"/>
      <c r="C52" s="1"/>
      <c r="D52" s="1"/>
      <c r="E52" s="1"/>
      <c r="F52" s="1"/>
      <c r="G52" s="1"/>
      <c r="H52" s="1"/>
      <c r="I52" s="1"/>
    </row>
    <row r="53" spans="1:9" ht="13.5" customHeight="1">
      <c r="A53" s="1"/>
      <c r="B53" s="1"/>
      <c r="C53" s="1"/>
      <c r="D53" s="1"/>
      <c r="E53" s="1"/>
      <c r="F53" s="1"/>
      <c r="G53" s="1"/>
      <c r="H53" s="1"/>
      <c r="I53" s="1"/>
    </row>
    <row r="54" spans="1:9" ht="13.5" customHeight="1">
      <c r="A54" s="1"/>
      <c r="B54" s="1"/>
      <c r="C54" s="1"/>
      <c r="D54" s="1"/>
      <c r="E54" s="1"/>
      <c r="F54" s="1"/>
      <c r="G54" s="1"/>
      <c r="H54" s="1"/>
      <c r="I54" s="1"/>
    </row>
    <row r="55" spans="1:9" ht="13.5" customHeight="1">
      <c r="A55" s="1"/>
      <c r="B55" s="1"/>
      <c r="C55" s="1"/>
      <c r="D55" s="1"/>
      <c r="E55" s="1"/>
      <c r="F55" s="1"/>
      <c r="G55" s="1"/>
      <c r="H55" s="1"/>
      <c r="I55" s="1"/>
    </row>
    <row r="56" spans="1:9" ht="13.5" customHeight="1">
      <c r="A56" s="1"/>
      <c r="B56" s="1"/>
      <c r="C56" s="1"/>
      <c r="D56" s="1"/>
      <c r="E56" s="1"/>
      <c r="F56" s="1"/>
      <c r="G56" s="1"/>
      <c r="H56" s="1"/>
      <c r="I56" s="1"/>
    </row>
    <row r="57" spans="1:9" ht="13.5" customHeight="1">
      <c r="A57" s="1"/>
      <c r="B57" s="1"/>
      <c r="C57" s="1"/>
      <c r="D57" s="1"/>
      <c r="E57" s="1"/>
      <c r="F57" s="1"/>
      <c r="G57" s="1"/>
      <c r="H57" s="1"/>
      <c r="I57" s="1"/>
    </row>
    <row r="58" spans="1:9" ht="13.5" customHeight="1">
      <c r="A58" s="1"/>
      <c r="B58" s="1"/>
      <c r="C58" s="1"/>
      <c r="D58" s="1"/>
      <c r="E58" s="1"/>
      <c r="F58" s="1"/>
      <c r="G58" s="1"/>
      <c r="H58" s="1"/>
      <c r="I58" s="1"/>
    </row>
    <row r="59" spans="1:9" ht="13.5" customHeight="1">
      <c r="A59" s="1"/>
      <c r="B59" s="1"/>
      <c r="C59" s="1"/>
      <c r="D59" s="1"/>
      <c r="E59" s="1"/>
      <c r="F59" s="1"/>
      <c r="G59" s="1"/>
      <c r="H59" s="1"/>
      <c r="I59" s="1"/>
    </row>
    <row r="60" spans="1:9" ht="13.5" customHeight="1">
      <c r="A60" s="1"/>
      <c r="B60" s="1"/>
      <c r="C60" s="1"/>
      <c r="D60" s="1"/>
      <c r="E60" s="1"/>
      <c r="F60" s="1"/>
      <c r="G60" s="1"/>
      <c r="H60" s="1"/>
      <c r="I60" s="1"/>
    </row>
    <row r="61" spans="1:9" ht="13.5" customHeight="1">
      <c r="A61" s="1"/>
      <c r="B61" s="1"/>
      <c r="C61" s="1"/>
      <c r="D61" s="1"/>
      <c r="E61" s="1"/>
      <c r="F61" s="1"/>
      <c r="G61" s="1"/>
      <c r="H61" s="1"/>
      <c r="I61" s="1"/>
    </row>
    <row r="62" spans="1:9" ht="13.5" customHeight="1">
      <c r="A62" s="1"/>
      <c r="B62" s="1"/>
      <c r="C62" s="1"/>
      <c r="D62" s="1"/>
      <c r="E62" s="1"/>
      <c r="F62" s="1"/>
      <c r="G62" s="1"/>
      <c r="H62" s="1"/>
      <c r="I62" s="1"/>
    </row>
    <row r="63" spans="1:9" ht="13.5" customHeight="1">
      <c r="A63" s="1"/>
      <c r="B63" s="1"/>
      <c r="C63" s="1"/>
      <c r="D63" s="1"/>
      <c r="E63" s="1"/>
      <c r="F63" s="1"/>
      <c r="G63" s="1"/>
      <c r="H63" s="1"/>
      <c r="I63" s="1"/>
    </row>
    <row r="64" spans="1:9" ht="13.5" customHeight="1">
      <c r="A64" s="1"/>
      <c r="B64" s="1"/>
      <c r="C64" s="1"/>
      <c r="D64" s="1"/>
      <c r="E64" s="1"/>
      <c r="F64" s="1"/>
      <c r="G64" s="1"/>
      <c r="H64" s="1"/>
      <c r="I64" s="1"/>
    </row>
    <row r="65" spans="1:9" ht="13.5" customHeight="1">
      <c r="A65" s="1"/>
      <c r="B65" s="1"/>
      <c r="C65" s="1"/>
      <c r="D65" s="1"/>
      <c r="E65" s="1"/>
      <c r="F65" s="1"/>
      <c r="G65" s="1"/>
      <c r="H65" s="1"/>
      <c r="I65" s="1"/>
    </row>
    <row r="66" spans="1:9" ht="13.5" customHeight="1">
      <c r="A66" s="1"/>
      <c r="B66" s="1"/>
      <c r="C66" s="1"/>
      <c r="D66" s="1"/>
      <c r="E66" s="1"/>
      <c r="F66" s="1"/>
      <c r="G66" s="1"/>
      <c r="H66" s="1"/>
      <c r="I66" s="1"/>
    </row>
    <row r="67" spans="1:9" ht="13.5" customHeight="1">
      <c r="A67" s="1"/>
      <c r="B67" s="1"/>
      <c r="C67" s="1"/>
      <c r="D67" s="1"/>
      <c r="E67" s="1"/>
      <c r="F67" s="1"/>
      <c r="G67" s="1"/>
      <c r="H67" s="1"/>
      <c r="I67" s="1"/>
    </row>
    <row r="68" spans="1:9" ht="13.5" customHeight="1">
      <c r="A68" s="1"/>
      <c r="B68" s="1"/>
      <c r="C68" s="1"/>
      <c r="D68" s="1"/>
      <c r="E68" s="1"/>
      <c r="F68" s="1"/>
      <c r="G68" s="1"/>
      <c r="H68" s="1"/>
      <c r="I68" s="1"/>
    </row>
    <row r="69" spans="1:9" ht="13.5" customHeight="1">
      <c r="A69" s="1"/>
      <c r="B69" s="1"/>
      <c r="C69" s="1"/>
      <c r="D69" s="1"/>
      <c r="E69" s="1"/>
      <c r="F69" s="1"/>
      <c r="G69" s="1"/>
      <c r="H69" s="1"/>
      <c r="I69" s="1"/>
    </row>
    <row r="70" spans="1:9" ht="13.5" customHeight="1">
      <c r="A70" s="1"/>
      <c r="B70" s="1"/>
      <c r="C70" s="1"/>
      <c r="D70" s="1"/>
      <c r="E70" s="1"/>
      <c r="F70" s="1"/>
      <c r="G70" s="1"/>
      <c r="H70" s="1"/>
      <c r="I70" s="1"/>
    </row>
    <row r="71" spans="1:9" ht="13.5" customHeight="1">
      <c r="A71" s="1"/>
      <c r="B71" s="1"/>
      <c r="C71" s="1"/>
      <c r="D71" s="1"/>
      <c r="E71" s="1"/>
      <c r="F71" s="1"/>
      <c r="G71" s="1"/>
      <c r="H71" s="1"/>
      <c r="I71" s="1"/>
    </row>
    <row r="72" spans="1:9" ht="13.5" customHeight="1">
      <c r="A72" s="1"/>
      <c r="B72" s="1"/>
      <c r="C72" s="1"/>
      <c r="D72" s="1"/>
      <c r="E72" s="1"/>
      <c r="F72" s="1"/>
      <c r="G72" s="1"/>
      <c r="H72" s="1"/>
      <c r="I72" s="1"/>
    </row>
    <row r="73" spans="1:9" ht="13.5" customHeight="1">
      <c r="A73" s="1"/>
      <c r="B73" s="1"/>
      <c r="C73" s="1"/>
      <c r="D73" s="1"/>
      <c r="E73" s="1"/>
      <c r="F73" s="1"/>
      <c r="G73" s="1"/>
      <c r="H73" s="1"/>
      <c r="I73" s="1"/>
    </row>
    <row r="74" spans="1:9" ht="13.5" customHeight="1">
      <c r="A74" s="1"/>
      <c r="B74" s="1"/>
      <c r="C74" s="1"/>
      <c r="D74" s="1"/>
      <c r="E74" s="1"/>
      <c r="F74" s="1"/>
      <c r="G74" s="1"/>
      <c r="H74" s="1"/>
      <c r="I74" s="1"/>
    </row>
    <row r="75" spans="1:9" ht="13.5" customHeight="1">
      <c r="A75" s="1"/>
      <c r="B75" s="1"/>
      <c r="C75" s="1"/>
      <c r="D75" s="1"/>
      <c r="E75" s="1"/>
      <c r="F75" s="1"/>
      <c r="G75" s="1"/>
      <c r="H75" s="1"/>
      <c r="I75" s="1"/>
    </row>
    <row r="76" spans="1:9" ht="13.5" customHeight="1">
      <c r="A76" s="1"/>
      <c r="B76" s="1"/>
      <c r="C76" s="1"/>
      <c r="D76" s="1"/>
      <c r="E76" s="1"/>
      <c r="F76" s="1"/>
      <c r="G76" s="1"/>
      <c r="H76" s="1"/>
      <c r="I76" s="1"/>
    </row>
    <row r="77" spans="1:9" ht="13.5" customHeight="1">
      <c r="A77" s="1"/>
      <c r="B77" s="1"/>
      <c r="C77" s="1"/>
      <c r="D77" s="1"/>
      <c r="E77" s="1"/>
      <c r="F77" s="1"/>
      <c r="G77" s="1"/>
      <c r="H77" s="1"/>
      <c r="I77" s="1"/>
    </row>
    <row r="78" spans="1:9" ht="13.5" customHeight="1">
      <c r="A78" s="1"/>
      <c r="B78" s="1"/>
      <c r="C78" s="1"/>
      <c r="D78" s="1"/>
      <c r="E78" s="1"/>
      <c r="F78" s="1"/>
      <c r="G78" s="1"/>
      <c r="H78" s="1"/>
      <c r="I78" s="1"/>
    </row>
    <row r="79" spans="1:9" ht="13.5" customHeight="1">
      <c r="A79" s="1"/>
      <c r="B79" s="1"/>
      <c r="C79" s="1"/>
      <c r="D79" s="1"/>
      <c r="E79" s="1"/>
      <c r="F79" s="1"/>
      <c r="G79" s="1"/>
      <c r="H79" s="1"/>
      <c r="I79" s="1"/>
    </row>
    <row r="80" spans="1:9" ht="13.5" customHeight="1">
      <c r="A80" s="1"/>
      <c r="B80" s="1"/>
      <c r="C80" s="1"/>
      <c r="D80" s="1"/>
      <c r="E80" s="1"/>
      <c r="F80" s="1"/>
      <c r="G80" s="1"/>
      <c r="H80" s="1"/>
      <c r="I80" s="1"/>
    </row>
    <row r="81" spans="1:9" ht="13.5" customHeight="1">
      <c r="A81" s="1"/>
      <c r="B81" s="1"/>
      <c r="C81" s="1"/>
      <c r="D81" s="1"/>
      <c r="E81" s="1"/>
      <c r="F81" s="1"/>
      <c r="G81" s="1"/>
      <c r="H81" s="1"/>
      <c r="I81" s="1"/>
    </row>
    <row r="82" spans="1:9" ht="13.5" customHeight="1">
      <c r="A82" s="1"/>
      <c r="B82" s="1"/>
      <c r="C82" s="1"/>
      <c r="D82" s="1"/>
      <c r="E82" s="1"/>
      <c r="F82" s="1"/>
      <c r="G82" s="1"/>
      <c r="H82" s="1"/>
      <c r="I82" s="1"/>
    </row>
    <row r="83" spans="1:9" ht="13.5" customHeight="1">
      <c r="A83" s="1"/>
      <c r="B83" s="1"/>
      <c r="C83" s="1"/>
      <c r="D83" s="1"/>
      <c r="E83" s="1"/>
      <c r="F83" s="1"/>
      <c r="G83" s="1"/>
      <c r="H83" s="1"/>
      <c r="I83" s="1"/>
    </row>
    <row r="84" spans="1:9" ht="13.5" customHeight="1">
      <c r="A84" s="1"/>
      <c r="B84" s="1"/>
      <c r="C84" s="1"/>
      <c r="D84" s="1"/>
      <c r="E84" s="1"/>
      <c r="F84" s="1"/>
      <c r="G84" s="1"/>
      <c r="H84" s="1"/>
      <c r="I84" s="1"/>
    </row>
    <row r="85" spans="1:9" ht="13.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9" ht="13.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9" ht="13.5" customHeight="1">
      <c r="A87" s="1"/>
      <c r="B87" s="1"/>
      <c r="C87" s="1"/>
      <c r="D87" s="1"/>
      <c r="E87" s="1"/>
      <c r="F87" s="1"/>
      <c r="G87" s="1"/>
      <c r="H87" s="1"/>
      <c r="I87" s="1"/>
    </row>
    <row r="88" spans="1:9" ht="13.5" customHeight="1">
      <c r="A88" s="1"/>
      <c r="B88" s="1"/>
      <c r="C88" s="1"/>
      <c r="D88" s="1"/>
      <c r="E88" s="1"/>
      <c r="F88" s="1"/>
      <c r="G88" s="1"/>
      <c r="H88" s="1"/>
      <c r="I88" s="1"/>
    </row>
    <row r="89" spans="1:9" ht="13.5" customHeight="1">
      <c r="A89" s="1"/>
      <c r="B89" s="1"/>
      <c r="C89" s="1"/>
      <c r="D89" s="1"/>
      <c r="E89" s="1"/>
      <c r="F89" s="1"/>
      <c r="G89" s="1"/>
      <c r="H89" s="1"/>
      <c r="I89" s="1"/>
    </row>
    <row r="90" spans="1:9" ht="13.5" customHeight="1">
      <c r="A90" s="1"/>
      <c r="B90" s="1"/>
      <c r="C90" s="1"/>
      <c r="D90" s="1"/>
      <c r="E90" s="1"/>
      <c r="F90" s="1"/>
      <c r="G90" s="1"/>
      <c r="H90" s="1"/>
      <c r="I90" s="1"/>
    </row>
    <row r="91" spans="1:9" ht="13.5" customHeight="1">
      <c r="A91" s="1"/>
      <c r="B91" s="1"/>
      <c r="C91" s="1"/>
      <c r="D91" s="1"/>
      <c r="E91" s="1"/>
      <c r="F91" s="1"/>
      <c r="G91" s="1"/>
      <c r="H91" s="1"/>
      <c r="I91" s="1"/>
    </row>
    <row r="92" spans="1:9" ht="13.5" customHeight="1">
      <c r="A92" s="1"/>
      <c r="B92" s="1"/>
      <c r="C92" s="1"/>
      <c r="D92" s="1"/>
      <c r="E92" s="1"/>
      <c r="F92" s="1"/>
      <c r="G92" s="1"/>
      <c r="H92" s="1"/>
      <c r="I92" s="1"/>
    </row>
    <row r="93" spans="1:9" ht="13.5" customHeight="1">
      <c r="A93" s="1"/>
      <c r="B93" s="1"/>
      <c r="C93" s="1"/>
      <c r="D93" s="1"/>
      <c r="E93" s="1"/>
      <c r="F93" s="1"/>
      <c r="G93" s="1"/>
      <c r="H93" s="1"/>
      <c r="I93" s="1"/>
    </row>
    <row r="94" spans="1:9" ht="13.5" customHeight="1">
      <c r="A94" s="1"/>
      <c r="B94" s="1"/>
      <c r="C94" s="1"/>
      <c r="D94" s="1"/>
      <c r="E94" s="1"/>
      <c r="F94" s="1"/>
      <c r="G94" s="1"/>
      <c r="H94" s="1"/>
      <c r="I94" s="1"/>
    </row>
    <row r="95" spans="1:9" ht="13.5" customHeight="1">
      <c r="A95" s="1"/>
      <c r="B95" s="1"/>
      <c r="C95" s="1"/>
      <c r="D95" s="1"/>
      <c r="E95" s="1"/>
      <c r="F95" s="1"/>
      <c r="G95" s="1"/>
      <c r="H95" s="1"/>
      <c r="I95" s="1"/>
    </row>
    <row r="96" spans="1:9" ht="13.5" customHeight="1">
      <c r="A96" s="1"/>
      <c r="B96" s="1"/>
      <c r="C96" s="1"/>
      <c r="D96" s="1"/>
      <c r="E96" s="1"/>
      <c r="F96" s="1"/>
      <c r="G96" s="1"/>
      <c r="H96" s="1"/>
      <c r="I96" s="1"/>
    </row>
    <row r="97" spans="1:9" ht="13.5" customHeight="1">
      <c r="A97" s="1"/>
      <c r="B97" s="1"/>
      <c r="C97" s="1"/>
      <c r="D97" s="1"/>
      <c r="E97" s="1"/>
      <c r="F97" s="1"/>
      <c r="G97" s="1"/>
      <c r="H97" s="1"/>
      <c r="I97" s="1"/>
    </row>
    <row r="98" spans="1:9" ht="13.5" customHeight="1">
      <c r="A98" s="1"/>
      <c r="B98" s="1"/>
      <c r="C98" s="1"/>
      <c r="D98" s="1"/>
      <c r="E98" s="1"/>
      <c r="F98" s="1"/>
      <c r="G98" s="1"/>
      <c r="H98" s="1"/>
      <c r="I98" s="1"/>
    </row>
    <row r="99" spans="1:9" ht="13.5" customHeight="1">
      <c r="A99" s="1"/>
      <c r="B99" s="1"/>
      <c r="C99" s="1"/>
      <c r="D99" s="1"/>
      <c r="E99" s="1"/>
      <c r="F99" s="1"/>
      <c r="G99" s="1"/>
      <c r="H99" s="1"/>
      <c r="I99" s="1"/>
    </row>
    <row r="100" spans="1:9" ht="13.5" customHeight="1">
      <c r="A100" s="1"/>
      <c r="B100" s="1"/>
      <c r="C100" s="1"/>
      <c r="D100" s="1"/>
      <c r="E100" s="1"/>
      <c r="F100" s="1"/>
      <c r="G100" s="1"/>
      <c r="H100" s="1"/>
      <c r="I100" s="1"/>
    </row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0"/>
  <sheetViews>
    <sheetView showGridLines="0" view="pageBreakPreview" zoomScale="116" zoomScaleNormal="100" zoomScaleSheetLayoutView="116" workbookViewId="0">
      <selection activeCell="B5" sqref="B5:F5"/>
    </sheetView>
  </sheetViews>
  <sheetFormatPr defaultColWidth="14.453125" defaultRowHeight="15" customHeight="1"/>
  <cols>
    <col min="1" max="1" width="22.6328125" bestFit="1" customWidth="1"/>
    <col min="2" max="3" width="9.90625" bestFit="1" customWidth="1"/>
    <col min="4" max="5" width="10.81640625" bestFit="1" customWidth="1"/>
    <col min="6" max="6" width="12.1796875" bestFit="1" customWidth="1"/>
    <col min="7" max="10" width="8.81640625" customWidth="1"/>
  </cols>
  <sheetData>
    <row r="1" spans="1:10" ht="13.5" customHeight="1">
      <c r="A1" s="20" t="s">
        <v>101</v>
      </c>
      <c r="B1" s="1"/>
      <c r="C1" s="1"/>
      <c r="D1" s="1"/>
      <c r="E1" s="1"/>
      <c r="F1" s="1"/>
      <c r="G1" s="1"/>
      <c r="H1" s="1"/>
      <c r="I1" s="1"/>
      <c r="J1" s="1"/>
    </row>
    <row r="2" spans="1:10" ht="13.5" customHeight="1">
      <c r="A2" s="21" t="s">
        <v>2</v>
      </c>
      <c r="B2" s="5" t="s">
        <v>115</v>
      </c>
      <c r="C2" s="5" t="s">
        <v>116</v>
      </c>
      <c r="D2" s="5" t="s">
        <v>117</v>
      </c>
      <c r="E2" s="5" t="s">
        <v>118</v>
      </c>
      <c r="F2" s="6" t="s">
        <v>119</v>
      </c>
      <c r="G2" s="1"/>
      <c r="H2" s="1"/>
      <c r="I2" s="1"/>
      <c r="J2" s="1"/>
    </row>
    <row r="3" spans="1:10" ht="13.5" customHeight="1">
      <c r="A3" s="60" t="s">
        <v>102</v>
      </c>
      <c r="B3" s="1"/>
      <c r="C3" s="1"/>
      <c r="D3" s="1"/>
      <c r="E3" s="1"/>
      <c r="F3" s="78"/>
      <c r="G3" s="1"/>
      <c r="H3" s="1"/>
      <c r="I3" s="1"/>
      <c r="J3" s="1"/>
    </row>
    <row r="4" spans="1:10" ht="13.5" customHeight="1">
      <c r="A4" s="28" t="s">
        <v>103</v>
      </c>
      <c r="B4" s="59">
        <v>0.28000000000000003</v>
      </c>
      <c r="C4" s="59">
        <v>0.28000000000000003</v>
      </c>
      <c r="D4" s="59">
        <v>0.28000000000000003</v>
      </c>
      <c r="E4" s="59">
        <v>0.28000000000000003</v>
      </c>
      <c r="F4" s="59">
        <v>0.28000000000000003</v>
      </c>
      <c r="G4" s="1"/>
      <c r="H4" s="1"/>
      <c r="I4" s="1"/>
      <c r="J4" s="1"/>
    </row>
    <row r="5" spans="1:10" ht="13.5" customHeight="1">
      <c r="A5" s="28" t="s">
        <v>104</v>
      </c>
      <c r="B5" s="59">
        <v>0.35</v>
      </c>
      <c r="C5" s="59">
        <v>0.35</v>
      </c>
      <c r="D5" s="59">
        <v>0.35</v>
      </c>
      <c r="E5" s="59">
        <v>0.35</v>
      </c>
      <c r="F5" s="59">
        <v>0.35</v>
      </c>
      <c r="G5" s="1"/>
      <c r="H5" s="1"/>
      <c r="I5" s="1"/>
      <c r="J5" s="1"/>
    </row>
    <row r="6" spans="1:10" ht="13.5" customHeight="1">
      <c r="A6" s="28"/>
      <c r="B6" s="59"/>
      <c r="C6" s="59"/>
      <c r="D6" s="59"/>
      <c r="E6" s="59"/>
      <c r="F6" s="79"/>
      <c r="G6" s="1"/>
      <c r="H6" s="1"/>
      <c r="I6" s="1"/>
      <c r="J6" s="1"/>
    </row>
    <row r="7" spans="1:10" ht="13.5" customHeight="1">
      <c r="A7" s="60" t="s">
        <v>105</v>
      </c>
      <c r="B7" s="59"/>
      <c r="C7" s="59"/>
      <c r="D7" s="59"/>
      <c r="E7" s="59"/>
      <c r="F7" s="79"/>
      <c r="G7" s="1"/>
      <c r="H7" s="1"/>
      <c r="I7" s="1"/>
      <c r="J7" s="1"/>
    </row>
    <row r="8" spans="1:10" ht="13.5" customHeight="1">
      <c r="A8" s="29" t="s">
        <v>157</v>
      </c>
      <c r="B8" s="25">
        <v>3</v>
      </c>
      <c r="C8" s="25">
        <v>5</v>
      </c>
      <c r="D8" s="25">
        <v>5</v>
      </c>
      <c r="E8" s="25">
        <v>5</v>
      </c>
      <c r="F8" s="26">
        <v>5</v>
      </c>
      <c r="G8" s="1"/>
      <c r="H8" s="1"/>
      <c r="I8" s="1"/>
      <c r="J8" s="1"/>
    </row>
    <row r="9" spans="1:10" ht="13.5" customHeight="1">
      <c r="A9" s="29" t="s">
        <v>158</v>
      </c>
      <c r="B9" s="25">
        <v>2</v>
      </c>
      <c r="C9" s="25">
        <v>11</v>
      </c>
      <c r="D9" s="25">
        <v>15</v>
      </c>
      <c r="E9" s="25">
        <v>17</v>
      </c>
      <c r="F9" s="26">
        <v>21</v>
      </c>
      <c r="G9" s="1"/>
      <c r="H9" s="1"/>
      <c r="I9" s="1"/>
      <c r="J9" s="1"/>
    </row>
    <row r="10" spans="1:10" ht="13.5" customHeight="1">
      <c r="A10" s="29" t="s">
        <v>159</v>
      </c>
      <c r="B10" s="25">
        <v>10</v>
      </c>
      <c r="C10" s="25">
        <v>28</v>
      </c>
      <c r="D10" s="25">
        <v>48</v>
      </c>
      <c r="E10" s="25">
        <v>68</v>
      </c>
      <c r="F10" s="26">
        <v>84</v>
      </c>
      <c r="G10" s="1"/>
      <c r="H10" s="1"/>
      <c r="I10" s="1"/>
      <c r="J10" s="1"/>
    </row>
    <row r="11" spans="1:10" ht="13.5" customHeight="1">
      <c r="A11" s="28" t="s">
        <v>160</v>
      </c>
      <c r="B11" s="25">
        <v>7</v>
      </c>
      <c r="C11" s="25">
        <v>31</v>
      </c>
      <c r="D11" s="25">
        <v>52</v>
      </c>
      <c r="E11" s="25">
        <v>70</v>
      </c>
      <c r="F11" s="26">
        <v>93</v>
      </c>
      <c r="G11" s="1"/>
      <c r="H11" s="1"/>
      <c r="I11" s="1"/>
      <c r="J11" s="1"/>
    </row>
    <row r="12" spans="1:10" ht="13.5" customHeight="1">
      <c r="A12" s="28" t="s">
        <v>161</v>
      </c>
      <c r="B12" s="25">
        <v>10</v>
      </c>
      <c r="C12" s="25">
        <v>60</v>
      </c>
      <c r="D12" s="25">
        <v>80</v>
      </c>
      <c r="E12" s="25">
        <v>114</v>
      </c>
      <c r="F12" s="26">
        <v>126</v>
      </c>
      <c r="G12" s="1"/>
      <c r="H12" s="1"/>
      <c r="I12" s="1"/>
      <c r="J12" s="1"/>
    </row>
    <row r="13" spans="1:10" ht="13.5" customHeight="1">
      <c r="A13" s="28" t="s">
        <v>162</v>
      </c>
      <c r="B13" s="25">
        <v>3</v>
      </c>
      <c r="C13" s="25">
        <v>7</v>
      </c>
      <c r="D13" s="25">
        <v>13</v>
      </c>
      <c r="E13" s="25">
        <v>16</v>
      </c>
      <c r="F13" s="26">
        <v>19</v>
      </c>
      <c r="G13" s="1"/>
      <c r="H13" s="1"/>
      <c r="I13" s="1"/>
      <c r="J13" s="1"/>
    </row>
    <row r="14" spans="1:10" ht="13.5" customHeight="1">
      <c r="A14" s="28" t="s">
        <v>163</v>
      </c>
      <c r="B14" s="25">
        <v>3</v>
      </c>
      <c r="C14" s="25">
        <v>11</v>
      </c>
      <c r="D14" s="25">
        <v>22</v>
      </c>
      <c r="E14" s="25">
        <v>26</v>
      </c>
      <c r="F14" s="26">
        <v>31</v>
      </c>
      <c r="G14" s="1"/>
      <c r="H14" s="1"/>
      <c r="I14" s="1"/>
      <c r="J14" s="1"/>
    </row>
    <row r="15" spans="1:10" ht="13.5" customHeight="1">
      <c r="A15" s="131" t="s">
        <v>30</v>
      </c>
      <c r="B15" s="132">
        <f>SUM(B8:B14)</f>
        <v>38</v>
      </c>
      <c r="C15" s="132">
        <f t="shared" ref="C15:F15" si="0">SUM(C8:C14)</f>
        <v>153</v>
      </c>
      <c r="D15" s="132">
        <f t="shared" si="0"/>
        <v>235</v>
      </c>
      <c r="E15" s="132">
        <f t="shared" si="0"/>
        <v>316</v>
      </c>
      <c r="F15" s="132">
        <f t="shared" si="0"/>
        <v>379</v>
      </c>
      <c r="G15" s="1"/>
      <c r="H15" s="1"/>
      <c r="I15" s="1"/>
      <c r="J15" s="1"/>
    </row>
    <row r="16" spans="1:10" ht="13.5" customHeight="1">
      <c r="A16" s="133" t="s">
        <v>174</v>
      </c>
      <c r="B16" s="25"/>
      <c r="C16" s="25">
        <f>C15-B15</f>
        <v>115</v>
      </c>
      <c r="D16" s="25">
        <f t="shared" ref="D16:F16" si="1">D15-C15</f>
        <v>82</v>
      </c>
      <c r="E16" s="25">
        <f t="shared" si="1"/>
        <v>81</v>
      </c>
      <c r="F16" s="25">
        <f t="shared" si="1"/>
        <v>63</v>
      </c>
      <c r="G16" s="1"/>
      <c r="H16" s="1"/>
      <c r="I16" s="1"/>
      <c r="J16" s="1"/>
    </row>
    <row r="17" spans="1:10" ht="13.5" customHeight="1">
      <c r="A17" s="133"/>
      <c r="B17" s="25"/>
      <c r="C17" s="25"/>
      <c r="D17" s="25"/>
      <c r="E17" s="25"/>
      <c r="F17" s="25"/>
      <c r="G17" s="1"/>
      <c r="H17" s="1"/>
      <c r="I17" s="1"/>
      <c r="J17" s="1"/>
    </row>
    <row r="18" spans="1:10" ht="13.5" customHeight="1">
      <c r="A18" s="60" t="s">
        <v>106</v>
      </c>
      <c r="B18" s="1"/>
      <c r="C18" s="1"/>
      <c r="D18" s="1"/>
      <c r="E18" s="1"/>
      <c r="F18" s="78"/>
      <c r="G18" s="1"/>
      <c r="H18" s="1"/>
      <c r="I18" s="1"/>
      <c r="J18" s="1"/>
    </row>
    <row r="19" spans="1:10" ht="13.5" customHeight="1">
      <c r="A19" s="80" t="s">
        <v>107</v>
      </c>
      <c r="B19" s="25">
        <v>7508123</v>
      </c>
      <c r="C19" s="25">
        <f t="shared" ref="C19:F19" si="2">B23</f>
        <v>5868279.9500000002</v>
      </c>
      <c r="D19" s="25">
        <f t="shared" si="2"/>
        <v>7129381.9674999993</v>
      </c>
      <c r="E19" s="25">
        <f t="shared" si="2"/>
        <v>6766098.2788749998</v>
      </c>
      <c r="F19" s="26">
        <f t="shared" si="2"/>
        <v>6503963.8812687509</v>
      </c>
      <c r="G19" s="1"/>
      <c r="H19" s="1"/>
      <c r="I19" s="1"/>
      <c r="J19" s="1"/>
    </row>
    <row r="20" spans="1:10" ht="13.5" customHeight="1">
      <c r="A20" s="80" t="s">
        <v>108</v>
      </c>
      <c r="B20" s="25">
        <f>Expense!C56</f>
        <v>1520000</v>
      </c>
      <c r="C20" s="25">
        <f>Expense!D56</f>
        <v>5100000</v>
      </c>
      <c r="D20" s="25">
        <f>Expense!E56</f>
        <v>3280000</v>
      </c>
      <c r="E20" s="25">
        <f>Expense!F56</f>
        <v>3240000</v>
      </c>
      <c r="F20" s="26">
        <f>Expense!G56</f>
        <v>2520000</v>
      </c>
      <c r="G20" s="1"/>
      <c r="H20" s="1"/>
      <c r="I20" s="1"/>
      <c r="J20" s="1"/>
    </row>
    <row r="21" spans="1:10" ht="13.5" customHeight="1">
      <c r="A21" s="81" t="s">
        <v>109</v>
      </c>
      <c r="B21" s="37">
        <f t="shared" ref="B21:F21" si="3">B19+B20</f>
        <v>9028123</v>
      </c>
      <c r="C21" s="37">
        <f t="shared" si="3"/>
        <v>10968279.949999999</v>
      </c>
      <c r="D21" s="37">
        <f t="shared" si="3"/>
        <v>10409381.967499999</v>
      </c>
      <c r="E21" s="37">
        <f t="shared" si="3"/>
        <v>10006098.278875001</v>
      </c>
      <c r="F21" s="38">
        <f t="shared" si="3"/>
        <v>9023963.8812687509</v>
      </c>
      <c r="G21" s="1"/>
      <c r="H21" s="1"/>
      <c r="I21" s="1"/>
      <c r="J21" s="1"/>
    </row>
    <row r="22" spans="1:10" ht="13.5" customHeight="1">
      <c r="A22" s="80" t="s">
        <v>110</v>
      </c>
      <c r="B22" s="25">
        <f>B21*B5</f>
        <v>3159843.05</v>
      </c>
      <c r="C22" s="25">
        <f>C21*C5</f>
        <v>3838897.9824999995</v>
      </c>
      <c r="D22" s="25">
        <f>D21*D5</f>
        <v>3643283.6886249995</v>
      </c>
      <c r="E22" s="25">
        <f>E21*E5</f>
        <v>3502134.3976062499</v>
      </c>
      <c r="F22" s="26">
        <f>F21*F5</f>
        <v>3158387.3584440625</v>
      </c>
      <c r="G22" s="1"/>
      <c r="H22" s="1"/>
      <c r="I22" s="1"/>
      <c r="J22" s="1"/>
    </row>
    <row r="23" spans="1:10" ht="13.5" customHeight="1">
      <c r="A23" s="82" t="s">
        <v>111</v>
      </c>
      <c r="B23" s="83">
        <f t="shared" ref="B23:F23" si="4">B21-B22</f>
        <v>5868279.9500000002</v>
      </c>
      <c r="C23" s="83">
        <f t="shared" si="4"/>
        <v>7129381.9674999993</v>
      </c>
      <c r="D23" s="83">
        <f t="shared" si="4"/>
        <v>6766098.2788749998</v>
      </c>
      <c r="E23" s="83">
        <f t="shared" si="4"/>
        <v>6503963.8812687509</v>
      </c>
      <c r="F23" s="84">
        <f t="shared" si="4"/>
        <v>5865576.5228246879</v>
      </c>
      <c r="G23" s="1"/>
      <c r="H23" s="1"/>
      <c r="I23" s="1"/>
      <c r="J23" s="1"/>
    </row>
    <row r="24" spans="1:10" ht="13.5" customHeight="1">
      <c r="A24" s="85"/>
      <c r="B24" s="1"/>
      <c r="C24" s="1"/>
      <c r="D24" s="1"/>
      <c r="E24" s="1"/>
      <c r="F24" s="78"/>
      <c r="G24" s="1"/>
      <c r="H24" s="1"/>
      <c r="I24" s="1"/>
      <c r="J24" s="1"/>
    </row>
    <row r="25" spans="1:10" ht="13.5" customHeight="1">
      <c r="A25" s="28" t="s">
        <v>112</v>
      </c>
      <c r="B25" s="59">
        <v>0.1</v>
      </c>
      <c r="C25" s="59">
        <v>0.1</v>
      </c>
      <c r="D25" s="59">
        <v>0.1</v>
      </c>
      <c r="E25" s="59">
        <v>0.1</v>
      </c>
      <c r="F25" s="59">
        <v>0.1</v>
      </c>
      <c r="G25" s="1"/>
      <c r="H25" s="1"/>
      <c r="I25" s="1"/>
      <c r="J25" s="1"/>
    </row>
    <row r="26" spans="1:10" ht="13.5" customHeight="1">
      <c r="A26" s="28" t="s">
        <v>113</v>
      </c>
      <c r="B26" s="25">
        <f>Expense!C13*B25</f>
        <v>5193806</v>
      </c>
      <c r="C26" s="25">
        <f>C25*Expense!D13</f>
        <v>17487146.666666668</v>
      </c>
      <c r="D26" s="25">
        <f>D25*Expense!E13</f>
        <v>22162160</v>
      </c>
      <c r="E26" s="25">
        <f>E25*Expense!F13</f>
        <v>30853635.333333332</v>
      </c>
      <c r="F26" s="26">
        <f>F25*Expense!G13</f>
        <v>37551558</v>
      </c>
      <c r="G26" s="1"/>
      <c r="H26" s="1"/>
      <c r="I26" s="1"/>
      <c r="J26" s="1"/>
    </row>
    <row r="27" spans="1:10" ht="13.5" customHeight="1">
      <c r="A27" s="28" t="s">
        <v>114</v>
      </c>
      <c r="B27" s="25">
        <f>B26</f>
        <v>5193806</v>
      </c>
      <c r="C27" s="25">
        <f t="shared" ref="C27:F27" si="5">C26-B26</f>
        <v>12293340.666666668</v>
      </c>
      <c r="D27" s="25">
        <f t="shared" si="5"/>
        <v>4675013.3333333321</v>
      </c>
      <c r="E27" s="25">
        <f t="shared" si="5"/>
        <v>8691475.3333333321</v>
      </c>
      <c r="F27" s="26">
        <f t="shared" si="5"/>
        <v>6697922.6666666679</v>
      </c>
      <c r="G27" s="1"/>
      <c r="H27" s="1"/>
      <c r="I27" s="1"/>
      <c r="J27" s="1"/>
    </row>
    <row r="28" spans="1:10" ht="13.5" customHeight="1">
      <c r="A28" s="28"/>
      <c r="B28" s="1"/>
      <c r="C28" s="1"/>
      <c r="D28" s="1"/>
      <c r="E28" s="1"/>
      <c r="F28" s="78"/>
      <c r="G28" s="1"/>
      <c r="H28" s="1"/>
      <c r="I28" s="1"/>
      <c r="J28" s="1"/>
    </row>
    <row r="29" spans="1:10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</sheetData>
  <pageMargins left="0.7" right="0.7" top="0.75" bottom="0.75" header="0" footer="0"/>
  <pageSetup scale="9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B072-F51C-4FC6-8BE7-1E908AB9472C}">
  <dimension ref="B3:H25"/>
  <sheetViews>
    <sheetView workbookViewId="0">
      <selection activeCell="K7" sqref="K7"/>
    </sheetView>
  </sheetViews>
  <sheetFormatPr defaultRowHeight="12.5"/>
  <cols>
    <col min="2" max="2" width="38.6328125" bestFit="1" customWidth="1"/>
    <col min="3" max="3" width="10.453125" bestFit="1" customWidth="1"/>
    <col min="7" max="7" width="33.08984375" bestFit="1" customWidth="1"/>
    <col min="8" max="8" width="6.81640625" bestFit="1" customWidth="1"/>
  </cols>
  <sheetData>
    <row r="3" spans="2:8" ht="23.5">
      <c r="B3" s="86" t="s">
        <v>120</v>
      </c>
      <c r="C3" s="87"/>
      <c r="D3" s="87"/>
    </row>
    <row r="4" spans="2:8" ht="23.5">
      <c r="B4" s="88"/>
      <c r="C4" s="261" t="s">
        <v>121</v>
      </c>
      <c r="D4" s="262"/>
      <c r="G4" s="86" t="s">
        <v>129</v>
      </c>
      <c r="H4" s="100"/>
    </row>
    <row r="5" spans="2:8" ht="15.5">
      <c r="B5" s="89" t="s">
        <v>2</v>
      </c>
      <c r="C5" s="90" t="s">
        <v>122</v>
      </c>
      <c r="D5" s="90" t="s">
        <v>123</v>
      </c>
      <c r="G5" s="101" t="s">
        <v>130</v>
      </c>
      <c r="H5" s="102"/>
    </row>
    <row r="6" spans="2:8" ht="14.5">
      <c r="B6" s="91" t="s">
        <v>124</v>
      </c>
      <c r="C6" s="92">
        <v>28946</v>
      </c>
      <c r="D6" s="93">
        <v>100</v>
      </c>
      <c r="G6" s="103" t="s">
        <v>131</v>
      </c>
      <c r="H6" s="104">
        <v>0.06</v>
      </c>
    </row>
    <row r="7" spans="2:8" ht="14.5">
      <c r="B7" s="91" t="s">
        <v>125</v>
      </c>
      <c r="C7" s="94">
        <v>44571</v>
      </c>
      <c r="D7" s="95">
        <v>61200</v>
      </c>
      <c r="G7" s="103" t="s">
        <v>132</v>
      </c>
      <c r="H7" s="104">
        <v>1</v>
      </c>
    </row>
    <row r="8" spans="2:8" ht="14.5">
      <c r="B8" s="91" t="s">
        <v>126</v>
      </c>
      <c r="C8" s="91"/>
      <c r="D8" s="93">
        <v>43</v>
      </c>
      <c r="G8" s="103" t="s">
        <v>128</v>
      </c>
      <c r="H8" s="105">
        <f>D10</f>
        <v>0.16093571655456373</v>
      </c>
    </row>
    <row r="9" spans="2:8" ht="14.5">
      <c r="B9" s="91" t="s">
        <v>127</v>
      </c>
      <c r="C9" s="91"/>
      <c r="D9" s="96">
        <f>D7/D6</f>
        <v>612</v>
      </c>
      <c r="G9" s="103" t="s">
        <v>133</v>
      </c>
      <c r="H9" s="105">
        <f>H8-H6</f>
        <v>0.10093571655456374</v>
      </c>
    </row>
    <row r="10" spans="2:8" ht="14.5">
      <c r="B10" s="97" t="s">
        <v>128</v>
      </c>
      <c r="C10" s="98"/>
      <c r="D10" s="99">
        <f>(D9)^(1/D8)-1</f>
        <v>0.16093571655456373</v>
      </c>
      <c r="G10" s="103" t="s">
        <v>134</v>
      </c>
      <c r="H10" s="105">
        <f>H6+H7*H9</f>
        <v>0.16093571655456373</v>
      </c>
    </row>
    <row r="11" spans="2:8" ht="14.5">
      <c r="G11" s="103" t="s">
        <v>135</v>
      </c>
      <c r="H11" s="105">
        <f>H10+H23</f>
        <v>0.20093571655456374</v>
      </c>
    </row>
    <row r="12" spans="2:8" ht="14.5">
      <c r="G12" s="103"/>
      <c r="H12" s="106"/>
    </row>
    <row r="13" spans="2:8" ht="14.5">
      <c r="G13" s="107" t="s">
        <v>136</v>
      </c>
      <c r="H13" s="106"/>
    </row>
    <row r="14" spans="2:8" ht="14.5">
      <c r="G14" s="103" t="s">
        <v>137</v>
      </c>
      <c r="H14" s="104">
        <v>0.1</v>
      </c>
    </row>
    <row r="15" spans="2:8" ht="14.5">
      <c r="G15" s="103" t="s">
        <v>138</v>
      </c>
      <c r="H15" s="104">
        <f>Assumptions!B4</f>
        <v>0.28000000000000003</v>
      </c>
    </row>
    <row r="16" spans="2:8" ht="14.5">
      <c r="G16" s="103" t="s">
        <v>139</v>
      </c>
      <c r="H16" s="108">
        <f>H14*(1-H15)</f>
        <v>7.1999999999999995E-2</v>
      </c>
    </row>
    <row r="17" spans="7:8" ht="14.5">
      <c r="G17" s="103"/>
      <c r="H17" s="106"/>
    </row>
    <row r="18" spans="7:8" ht="14.5">
      <c r="G18" s="103" t="s">
        <v>140</v>
      </c>
      <c r="H18" s="106"/>
    </row>
    <row r="19" spans="7:8" ht="14.5">
      <c r="G19" s="103" t="s">
        <v>141</v>
      </c>
      <c r="H19" s="104">
        <v>0</v>
      </c>
    </row>
    <row r="20" spans="7:8" ht="14.5">
      <c r="G20" s="103" t="s">
        <v>142</v>
      </c>
      <c r="H20" s="104">
        <v>1</v>
      </c>
    </row>
    <row r="21" spans="7:8" ht="14.5">
      <c r="G21" s="103"/>
      <c r="H21" s="106"/>
    </row>
    <row r="22" spans="7:8" ht="14.5">
      <c r="G22" s="109" t="s">
        <v>143</v>
      </c>
      <c r="H22" s="110">
        <f>(H19*H16)+(H20*H10)</f>
        <v>0.16093571655456373</v>
      </c>
    </row>
    <row r="23" spans="7:8" ht="14.5">
      <c r="G23" s="103" t="s">
        <v>144</v>
      </c>
      <c r="H23" s="104">
        <v>0.04</v>
      </c>
    </row>
    <row r="24" spans="7:8" ht="14.5">
      <c r="G24" s="107" t="s">
        <v>145</v>
      </c>
      <c r="H24" s="111">
        <f>H22+H23</f>
        <v>0.20093571655456374</v>
      </c>
    </row>
    <row r="25" spans="7:8" ht="14.5">
      <c r="G25" s="112"/>
      <c r="H25" s="113"/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NPV</vt:lpstr>
      <vt:lpstr>Revenue</vt:lpstr>
      <vt:lpstr>Expense</vt:lpstr>
      <vt:lpstr>P&amp;L</vt:lpstr>
      <vt:lpstr>Balance Sheet</vt:lpstr>
      <vt:lpstr>Cash Flow</vt:lpstr>
      <vt:lpstr>Assumptions</vt:lpstr>
      <vt:lpstr>Value 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Drish Bajaj</dc:creator>
  <cp:lastModifiedBy>NITISH GARG</cp:lastModifiedBy>
  <dcterms:created xsi:type="dcterms:W3CDTF">2021-09-02T07:41:09Z</dcterms:created>
  <dcterms:modified xsi:type="dcterms:W3CDTF">2022-02-09T08:34:44Z</dcterms:modified>
</cp:coreProperties>
</file>