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ásCortésMartínez\Downloads\electrolyzer\"/>
    </mc:Choice>
  </mc:AlternateContent>
  <xr:revisionPtr revIDLastSave="0" documentId="13_ncr:1_{7423A62C-9BBA-42EF-B02D-F865271BC785}" xr6:coauthVersionLast="47" xr6:coauthVersionMax="47" xr10:uidLastSave="{00000000-0000-0000-0000-000000000000}"/>
  <bookViews>
    <workbookView xWindow="24165" yWindow="0" windowWidth="27420" windowHeight="21000" xr2:uid="{212E0B05-7268-4216-AEF1-666FBD4EC368}"/>
  </bookViews>
  <sheets>
    <sheet name="Mattia" sheetId="1" r:id="rId1"/>
  </sheets>
  <definedNames>
    <definedName name="_xlnm._FilterDatabase" localSheetId="0" hidden="1">Mattia!$A$3:$AZ$285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5" i="1" l="1"/>
  <c r="U215" i="1"/>
  <c r="Z215" i="1"/>
  <c r="J215" i="1"/>
  <c r="I215" i="1"/>
  <c r="W214" i="1"/>
  <c r="U214" i="1"/>
  <c r="Z214" i="1"/>
  <c r="AO192" i="1"/>
  <c r="AP192" i="1" s="1"/>
  <c r="Y192" i="1"/>
  <c r="I192" i="1"/>
  <c r="J192" i="1"/>
  <c r="Y191" i="1"/>
  <c r="AO190" i="1"/>
  <c r="Y190" i="1"/>
  <c r="I39" i="1"/>
  <c r="I40" i="1"/>
  <c r="I41" i="1"/>
  <c r="I42" i="1"/>
  <c r="I43" i="1"/>
  <c r="I44" i="1"/>
  <c r="I45" i="1"/>
  <c r="I46" i="1"/>
  <c r="I47" i="1"/>
  <c r="I48" i="1"/>
  <c r="I49" i="1"/>
  <c r="J39" i="1"/>
  <c r="J40" i="1"/>
  <c r="J41" i="1"/>
  <c r="J42" i="1"/>
  <c r="J43" i="1"/>
  <c r="J44" i="1"/>
  <c r="J45" i="1"/>
  <c r="J46" i="1"/>
  <c r="J47" i="1"/>
  <c r="J48" i="1"/>
  <c r="J49" i="1"/>
  <c r="J38" i="1"/>
  <c r="I38" i="1"/>
  <c r="Y302" i="1"/>
  <c r="I302" i="1"/>
  <c r="J302" i="1"/>
  <c r="X300" i="1"/>
  <c r="X299" i="1"/>
  <c r="X298" i="1"/>
  <c r="X297" i="1"/>
  <c r="X296" i="1"/>
  <c r="X295" i="1"/>
  <c r="X292" i="1"/>
  <c r="X294" i="1"/>
  <c r="X293" i="1"/>
  <c r="X291" i="1"/>
  <c r="X290" i="1"/>
  <c r="X289" i="1"/>
  <c r="X288" i="1"/>
  <c r="X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I288" i="1"/>
  <c r="Y288" i="1" s="1"/>
  <c r="I289" i="1"/>
  <c r="Y289" i="1" s="1"/>
  <c r="I290" i="1"/>
  <c r="Y290" i="1" s="1"/>
  <c r="I291" i="1"/>
  <c r="Y291" i="1" s="1"/>
  <c r="I292" i="1"/>
  <c r="Y292" i="1" s="1"/>
  <c r="I293" i="1"/>
  <c r="Y293" i="1" s="1"/>
  <c r="I294" i="1"/>
  <c r="Y294" i="1" s="1"/>
  <c r="I295" i="1"/>
  <c r="Y295" i="1" s="1"/>
  <c r="I296" i="1"/>
  <c r="Y296" i="1" s="1"/>
  <c r="I297" i="1"/>
  <c r="Y297" i="1" s="1"/>
  <c r="I298" i="1"/>
  <c r="Y298" i="1" s="1"/>
  <c r="I299" i="1"/>
  <c r="Y299" i="1" s="1"/>
  <c r="I300" i="1"/>
  <c r="Y300" i="1" s="1"/>
  <c r="J287" i="1"/>
  <c r="I287" i="1"/>
  <c r="Y287" i="1" s="1"/>
  <c r="K284" i="1"/>
  <c r="V284" i="1" s="1"/>
  <c r="K285" i="1"/>
  <c r="X285" i="1" s="1"/>
  <c r="J280" i="1"/>
  <c r="I280" i="1"/>
  <c r="K280" i="1" s="1"/>
  <c r="U280" i="1" s="1"/>
  <c r="J279" i="1"/>
  <c r="I279" i="1"/>
  <c r="K279" i="1" s="1"/>
  <c r="U279" i="1" s="1"/>
  <c r="W277" i="1"/>
  <c r="H277" i="1"/>
  <c r="G277" i="1"/>
  <c r="X276" i="1"/>
  <c r="T276" i="1"/>
  <c r="H276" i="1"/>
  <c r="G276" i="1"/>
  <c r="AO276" i="1" s="1"/>
  <c r="AP276" i="1" s="1"/>
  <c r="AO275" i="1"/>
  <c r="J275" i="1"/>
  <c r="I275" i="1"/>
  <c r="K275" i="1" s="1"/>
  <c r="AO274" i="1"/>
  <c r="J274" i="1"/>
  <c r="I274" i="1"/>
  <c r="K274" i="1" s="1"/>
  <c r="J273" i="1"/>
  <c r="H273" i="1" s="1"/>
  <c r="I273" i="1"/>
  <c r="G273" i="1" s="1"/>
  <c r="J272" i="1"/>
  <c r="H272" i="1" s="1"/>
  <c r="I272" i="1"/>
  <c r="G272" i="1" s="1"/>
  <c r="J271" i="1"/>
  <c r="H271" i="1" s="1"/>
  <c r="I271" i="1"/>
  <c r="G271" i="1" s="1"/>
  <c r="AO270" i="1"/>
  <c r="T270" i="1"/>
  <c r="K270" i="1"/>
  <c r="K269" i="1"/>
  <c r="AP269" i="1" s="1"/>
  <c r="AO268" i="1"/>
  <c r="K268" i="1"/>
  <c r="AO267" i="1"/>
  <c r="T267" i="1"/>
  <c r="K267" i="1"/>
  <c r="T266" i="1"/>
  <c r="K266" i="1"/>
  <c r="AP266" i="1" s="1"/>
  <c r="T265" i="1"/>
  <c r="K265" i="1"/>
  <c r="AP265" i="1" s="1"/>
  <c r="AO264" i="1"/>
  <c r="T264" i="1"/>
  <c r="K264" i="1"/>
  <c r="AO263" i="1"/>
  <c r="AP263" i="1" s="1"/>
  <c r="X263" i="1"/>
  <c r="J263" i="1"/>
  <c r="I263" i="1"/>
  <c r="AO262" i="1"/>
  <c r="AP262" i="1" s="1"/>
  <c r="X262" i="1"/>
  <c r="J262" i="1"/>
  <c r="I262" i="1"/>
  <c r="AO261" i="1"/>
  <c r="AP261" i="1" s="1"/>
  <c r="X261" i="1"/>
  <c r="J261" i="1"/>
  <c r="I261" i="1"/>
  <c r="AO260" i="1"/>
  <c r="AP260" i="1" s="1"/>
  <c r="X260" i="1"/>
  <c r="J260" i="1"/>
  <c r="I260" i="1"/>
  <c r="AO259" i="1"/>
  <c r="AP259" i="1" s="1"/>
  <c r="X259" i="1"/>
  <c r="J259" i="1"/>
  <c r="I259" i="1"/>
  <c r="J258" i="1"/>
  <c r="I258" i="1"/>
  <c r="K258" i="1" s="1"/>
  <c r="J257" i="1"/>
  <c r="I257" i="1"/>
  <c r="K257" i="1" s="1"/>
  <c r="Y256" i="1"/>
  <c r="J256" i="1"/>
  <c r="I256" i="1"/>
  <c r="Y255" i="1"/>
  <c r="J255" i="1"/>
  <c r="I255" i="1"/>
  <c r="Y254" i="1"/>
  <c r="J254" i="1"/>
  <c r="I254" i="1"/>
  <c r="Y253" i="1"/>
  <c r="J253" i="1"/>
  <c r="I253" i="1"/>
  <c r="Y252" i="1"/>
  <c r="J252" i="1"/>
  <c r="I252" i="1"/>
  <c r="Y251" i="1"/>
  <c r="J251" i="1"/>
  <c r="I251" i="1"/>
  <c r="K250" i="1"/>
  <c r="AO250" i="1" s="1"/>
  <c r="K249" i="1"/>
  <c r="X249" i="1" s="1"/>
  <c r="K248" i="1"/>
  <c r="AO248" i="1" s="1"/>
  <c r="K247" i="1"/>
  <c r="AO247" i="1" s="1"/>
  <c r="K246" i="1"/>
  <c r="AO246" i="1" s="1"/>
  <c r="K245" i="1"/>
  <c r="X245" i="1" s="1"/>
  <c r="AO241" i="1"/>
  <c r="AP241" i="1" s="1"/>
  <c r="Y241" i="1"/>
  <c r="J241" i="1"/>
  <c r="I241" i="1"/>
  <c r="AP240" i="1"/>
  <c r="Y240" i="1"/>
  <c r="J240" i="1"/>
  <c r="I240" i="1"/>
  <c r="AP239" i="1"/>
  <c r="Y239" i="1"/>
  <c r="J239" i="1"/>
  <c r="I239" i="1"/>
  <c r="AP238" i="1"/>
  <c r="Y238" i="1"/>
  <c r="J238" i="1"/>
  <c r="I238" i="1"/>
  <c r="AO237" i="1"/>
  <c r="AP237" i="1" s="1"/>
  <c r="Y237" i="1"/>
  <c r="J237" i="1"/>
  <c r="I237" i="1"/>
  <c r="I235" i="1"/>
  <c r="H235" i="1"/>
  <c r="V235" i="1" s="1"/>
  <c r="W235" i="1" s="1"/>
  <c r="V234" i="1"/>
  <c r="W234" i="1" s="1"/>
  <c r="J234" i="1"/>
  <c r="I234" i="1"/>
  <c r="V233" i="1"/>
  <c r="W233" i="1" s="1"/>
  <c r="J233" i="1"/>
  <c r="I233" i="1"/>
  <c r="X232" i="1"/>
  <c r="H232" i="1"/>
  <c r="G232" i="1"/>
  <c r="X231" i="1"/>
  <c r="H231" i="1"/>
  <c r="G231" i="1"/>
  <c r="X230" i="1"/>
  <c r="H230" i="1"/>
  <c r="G230" i="1"/>
  <c r="W229" i="1"/>
  <c r="U229" i="1"/>
  <c r="J229" i="1"/>
  <c r="I229" i="1"/>
  <c r="AP228" i="1"/>
  <c r="W228" i="1"/>
  <c r="U228" i="1"/>
  <c r="J228" i="1"/>
  <c r="I228" i="1"/>
  <c r="H227" i="1"/>
  <c r="X227" i="1" s="1"/>
  <c r="Y227" i="1" s="1"/>
  <c r="G227" i="1"/>
  <c r="Y226" i="1"/>
  <c r="J226" i="1"/>
  <c r="I226" i="1"/>
  <c r="Y225" i="1"/>
  <c r="J225" i="1"/>
  <c r="I225" i="1"/>
  <c r="V224" i="1"/>
  <c r="W224" i="1" s="1"/>
  <c r="T224" i="1"/>
  <c r="U224" i="1" s="1"/>
  <c r="J224" i="1"/>
  <c r="I224" i="1"/>
  <c r="V223" i="1"/>
  <c r="W223" i="1" s="1"/>
  <c r="T223" i="1"/>
  <c r="U223" i="1" s="1"/>
  <c r="J223" i="1"/>
  <c r="I223" i="1"/>
  <c r="V222" i="1"/>
  <c r="W222" i="1" s="1"/>
  <c r="T222" i="1"/>
  <c r="U222" i="1" s="1"/>
  <c r="J222" i="1"/>
  <c r="I222" i="1"/>
  <c r="V221" i="1"/>
  <c r="W221" i="1" s="1"/>
  <c r="T221" i="1"/>
  <c r="U221" i="1" s="1"/>
  <c r="J221" i="1"/>
  <c r="I221" i="1"/>
  <c r="Y220" i="1"/>
  <c r="J220" i="1"/>
  <c r="I220" i="1"/>
  <c r="Y219" i="1"/>
  <c r="J219" i="1"/>
  <c r="I219" i="1"/>
  <c r="Y218" i="1"/>
  <c r="J218" i="1"/>
  <c r="I218" i="1"/>
  <c r="Y217" i="1"/>
  <c r="J217" i="1"/>
  <c r="I217" i="1"/>
  <c r="Y216" i="1"/>
  <c r="J216" i="1"/>
  <c r="I216" i="1"/>
  <c r="J214" i="1"/>
  <c r="I214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60" i="1"/>
  <c r="Z61" i="1"/>
  <c r="Z62" i="1"/>
  <c r="Z63" i="1"/>
  <c r="Z64" i="1"/>
  <c r="Z65" i="1"/>
  <c r="Z73" i="1"/>
  <c r="Z74" i="1"/>
  <c r="Z78" i="1"/>
  <c r="Z79" i="1"/>
  <c r="Z80" i="1"/>
  <c r="Z81" i="1"/>
  <c r="Z82" i="1"/>
  <c r="Z83" i="1"/>
  <c r="Z88" i="1"/>
  <c r="Z89" i="1"/>
  <c r="Z90" i="1"/>
  <c r="Z91" i="1"/>
  <c r="Z92" i="1"/>
  <c r="Z93" i="1"/>
  <c r="Z94" i="1"/>
  <c r="Z95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3" i="1"/>
  <c r="Z134" i="1"/>
  <c r="Z135" i="1"/>
  <c r="Z136" i="1"/>
  <c r="Z137" i="1"/>
  <c r="Z138" i="1"/>
  <c r="Z139" i="1"/>
  <c r="Z140" i="1"/>
  <c r="Z141" i="1"/>
  <c r="Z142" i="1"/>
  <c r="Z143" i="1"/>
  <c r="Z11" i="1"/>
  <c r="AP213" i="1"/>
  <c r="W213" i="1"/>
  <c r="U213" i="1"/>
  <c r="J213" i="1"/>
  <c r="I213" i="1"/>
  <c r="AP212" i="1"/>
  <c r="W212" i="1"/>
  <c r="U212" i="1"/>
  <c r="J212" i="1"/>
  <c r="I212" i="1"/>
  <c r="AP211" i="1"/>
  <c r="W211" i="1"/>
  <c r="U211" i="1"/>
  <c r="J211" i="1"/>
  <c r="I211" i="1"/>
  <c r="AP210" i="1"/>
  <c r="W210" i="1"/>
  <c r="U210" i="1"/>
  <c r="J210" i="1"/>
  <c r="I210" i="1"/>
  <c r="AP209" i="1"/>
  <c r="W209" i="1"/>
  <c r="U209" i="1"/>
  <c r="J209" i="1"/>
  <c r="I209" i="1"/>
  <c r="AP208" i="1"/>
  <c r="W208" i="1"/>
  <c r="U208" i="1"/>
  <c r="J208" i="1"/>
  <c r="I208" i="1"/>
  <c r="AP207" i="1"/>
  <c r="W207" i="1"/>
  <c r="U207" i="1"/>
  <c r="J207" i="1"/>
  <c r="I207" i="1"/>
  <c r="AP206" i="1"/>
  <c r="W206" i="1"/>
  <c r="U206" i="1"/>
  <c r="J206" i="1"/>
  <c r="I206" i="1"/>
  <c r="AP205" i="1"/>
  <c r="W205" i="1"/>
  <c r="U205" i="1"/>
  <c r="J205" i="1"/>
  <c r="I205" i="1"/>
  <c r="AP204" i="1"/>
  <c r="W204" i="1"/>
  <c r="U204" i="1"/>
  <c r="J204" i="1"/>
  <c r="I204" i="1"/>
  <c r="Y203" i="1"/>
  <c r="J203" i="1"/>
  <c r="I203" i="1"/>
  <c r="Y202" i="1"/>
  <c r="J202" i="1"/>
  <c r="I202" i="1"/>
  <c r="Y201" i="1"/>
  <c r="J201" i="1"/>
  <c r="I201" i="1"/>
  <c r="Y200" i="1"/>
  <c r="J200" i="1"/>
  <c r="I200" i="1"/>
  <c r="Y199" i="1"/>
  <c r="J199" i="1"/>
  <c r="I199" i="1"/>
  <c r="Y198" i="1"/>
  <c r="J198" i="1"/>
  <c r="I198" i="1"/>
  <c r="Y197" i="1"/>
  <c r="J197" i="1"/>
  <c r="I197" i="1"/>
  <c r="W196" i="1"/>
  <c r="U196" i="1"/>
  <c r="J196" i="1"/>
  <c r="I196" i="1"/>
  <c r="W195" i="1"/>
  <c r="U195" i="1"/>
  <c r="J195" i="1"/>
  <c r="I195" i="1"/>
  <c r="W194" i="1"/>
  <c r="U194" i="1"/>
  <c r="J194" i="1"/>
  <c r="I194" i="1"/>
  <c r="W193" i="1"/>
  <c r="U193" i="1"/>
  <c r="J193" i="1"/>
  <c r="I193" i="1"/>
  <c r="AO191" i="1"/>
  <c r="AP191" i="1" s="1"/>
  <c r="J191" i="1"/>
  <c r="I191" i="1"/>
  <c r="AP190" i="1"/>
  <c r="J190" i="1"/>
  <c r="I190" i="1"/>
  <c r="W189" i="1"/>
  <c r="U189" i="1"/>
  <c r="J189" i="1"/>
  <c r="I189" i="1"/>
  <c r="AO188" i="1"/>
  <c r="W188" i="1"/>
  <c r="U188" i="1"/>
  <c r="J188" i="1"/>
  <c r="I188" i="1"/>
  <c r="AO187" i="1"/>
  <c r="W187" i="1"/>
  <c r="U187" i="1"/>
  <c r="J187" i="1"/>
  <c r="I187" i="1"/>
  <c r="AO186" i="1"/>
  <c r="W186" i="1"/>
  <c r="U186" i="1"/>
  <c r="J186" i="1"/>
  <c r="I186" i="1"/>
  <c r="AO185" i="1"/>
  <c r="J185" i="1"/>
  <c r="I185" i="1"/>
  <c r="K185" i="1" s="1"/>
  <c r="Y185" i="1" s="1"/>
  <c r="AO184" i="1"/>
  <c r="J184" i="1"/>
  <c r="I184" i="1"/>
  <c r="K184" i="1" s="1"/>
  <c r="Y184" i="1" s="1"/>
  <c r="AO183" i="1"/>
  <c r="J183" i="1"/>
  <c r="I183" i="1"/>
  <c r="K183" i="1" s="1"/>
  <c r="Y183" i="1" s="1"/>
  <c r="K182" i="1"/>
  <c r="J182" i="1" s="1"/>
  <c r="K181" i="1"/>
  <c r="W181" i="1" s="1"/>
  <c r="K180" i="1"/>
  <c r="U180" i="1" s="1"/>
  <c r="K179" i="1"/>
  <c r="I179" i="1" s="1"/>
  <c r="K178" i="1"/>
  <c r="J178" i="1" s="1"/>
  <c r="K177" i="1"/>
  <c r="W177" i="1" s="1"/>
  <c r="K176" i="1"/>
  <c r="W176" i="1" s="1"/>
  <c r="K175" i="1"/>
  <c r="W175" i="1" s="1"/>
  <c r="K174" i="1"/>
  <c r="U174" i="1" s="1"/>
  <c r="K173" i="1"/>
  <c r="W173" i="1" s="1"/>
  <c r="K172" i="1"/>
  <c r="J172" i="1" s="1"/>
  <c r="K171" i="1"/>
  <c r="J171" i="1" s="1"/>
  <c r="K170" i="1"/>
  <c r="W170" i="1" s="1"/>
  <c r="K169" i="1"/>
  <c r="I169" i="1" s="1"/>
  <c r="K168" i="1"/>
  <c r="U168" i="1" s="1"/>
  <c r="K167" i="1"/>
  <c r="J167" i="1" s="1"/>
  <c r="K166" i="1"/>
  <c r="J166" i="1" s="1"/>
  <c r="K165" i="1"/>
  <c r="J165" i="1" s="1"/>
  <c r="K164" i="1"/>
  <c r="I164" i="1" s="1"/>
  <c r="K163" i="1"/>
  <c r="J163" i="1" s="1"/>
  <c r="K162" i="1"/>
  <c r="J162" i="1" s="1"/>
  <c r="K161" i="1"/>
  <c r="I161" i="1" s="1"/>
  <c r="K160" i="1"/>
  <c r="J160" i="1" s="1"/>
  <c r="K159" i="1"/>
  <c r="J159" i="1" s="1"/>
  <c r="K158" i="1"/>
  <c r="J158" i="1" s="1"/>
  <c r="K157" i="1"/>
  <c r="I157" i="1" s="1"/>
  <c r="K156" i="1"/>
  <c r="J156" i="1" s="1"/>
  <c r="K155" i="1"/>
  <c r="J155" i="1" s="1"/>
  <c r="AO154" i="1"/>
  <c r="K154" i="1"/>
  <c r="W154" i="1" s="1"/>
  <c r="K153" i="1"/>
  <c r="U153" i="1" s="1"/>
  <c r="K152" i="1"/>
  <c r="J152" i="1" s="1"/>
  <c r="K151" i="1"/>
  <c r="J151" i="1" s="1"/>
  <c r="AO150" i="1"/>
  <c r="K150" i="1"/>
  <c r="K148" i="1"/>
  <c r="J148" i="1" s="1"/>
  <c r="K147" i="1"/>
  <c r="J147" i="1" s="1"/>
  <c r="AO146" i="1"/>
  <c r="K146" i="1"/>
  <c r="J146" i="1" s="1"/>
  <c r="K145" i="1"/>
  <c r="H145" i="1" s="1"/>
  <c r="K144" i="1"/>
  <c r="G144" i="1" s="1"/>
  <c r="J144" i="1"/>
  <c r="K143" i="1"/>
  <c r="J143" i="1"/>
  <c r="I143" i="1"/>
  <c r="AO142" i="1"/>
  <c r="K142" i="1"/>
  <c r="AO141" i="1"/>
  <c r="K141" i="1"/>
  <c r="AO140" i="1"/>
  <c r="K140" i="1"/>
  <c r="K139" i="1"/>
  <c r="AP139" i="1" s="1"/>
  <c r="AO138" i="1"/>
  <c r="K138" i="1"/>
  <c r="W138" i="1" s="1"/>
  <c r="AO137" i="1"/>
  <c r="K137" i="1"/>
  <c r="AO136" i="1"/>
  <c r="K136" i="1"/>
  <c r="Y136" i="1" s="1"/>
  <c r="K135" i="1"/>
  <c r="K134" i="1"/>
  <c r="K133" i="1"/>
  <c r="V132" i="1"/>
  <c r="T132" i="1"/>
  <c r="Z132" i="1" s="1"/>
  <c r="AO131" i="1"/>
  <c r="J131" i="1"/>
  <c r="K131" i="1" s="1"/>
  <c r="I131" i="1"/>
  <c r="AO130" i="1"/>
  <c r="J130" i="1"/>
  <c r="K130" i="1" s="1"/>
  <c r="I130" i="1"/>
  <c r="AO129" i="1"/>
  <c r="J129" i="1"/>
  <c r="K129" i="1" s="1"/>
  <c r="I129" i="1"/>
  <c r="AO128" i="1"/>
  <c r="J128" i="1"/>
  <c r="K128" i="1" s="1"/>
  <c r="I128" i="1"/>
  <c r="K127" i="1"/>
  <c r="Y127" i="1" s="1"/>
  <c r="K126" i="1"/>
  <c r="U126" i="1" s="1"/>
  <c r="K125" i="1"/>
  <c r="U125" i="1" s="1"/>
  <c r="K124" i="1"/>
  <c r="Y124" i="1" s="1"/>
  <c r="K123" i="1"/>
  <c r="Y123" i="1" s="1"/>
  <c r="K122" i="1"/>
  <c r="U122" i="1" s="1"/>
  <c r="K121" i="1"/>
  <c r="U121" i="1" s="1"/>
  <c r="K120" i="1"/>
  <c r="Y120" i="1" s="1"/>
  <c r="K119" i="1"/>
  <c r="U119" i="1" s="1"/>
  <c r="K118" i="1"/>
  <c r="U118" i="1" s="1"/>
  <c r="K117" i="1"/>
  <c r="U117" i="1" s="1"/>
  <c r="K116" i="1"/>
  <c r="Y116" i="1" s="1"/>
  <c r="K115" i="1"/>
  <c r="J115" i="1" s="1"/>
  <c r="K114" i="1"/>
  <c r="J114" i="1" s="1"/>
  <c r="K113" i="1"/>
  <c r="Y113" i="1" s="1"/>
  <c r="K112" i="1"/>
  <c r="J112" i="1" s="1"/>
  <c r="W111" i="1"/>
  <c r="U111" i="1"/>
  <c r="J111" i="1"/>
  <c r="I111" i="1"/>
  <c r="W110" i="1"/>
  <c r="U110" i="1"/>
  <c r="J110" i="1"/>
  <c r="I110" i="1"/>
  <c r="W109" i="1"/>
  <c r="U109" i="1"/>
  <c r="J109" i="1"/>
  <c r="I109" i="1"/>
  <c r="W108" i="1"/>
  <c r="U108" i="1"/>
  <c r="J108" i="1"/>
  <c r="I108" i="1"/>
  <c r="W107" i="1"/>
  <c r="J107" i="1"/>
  <c r="I107" i="1"/>
  <c r="K106" i="1"/>
  <c r="J106" i="1" s="1"/>
  <c r="K105" i="1"/>
  <c r="J105" i="1" s="1"/>
  <c r="K104" i="1"/>
  <c r="W104" i="1" s="1"/>
  <c r="K103" i="1"/>
  <c r="I103" i="1" s="1"/>
  <c r="K102" i="1"/>
  <c r="AP102" i="1" s="1"/>
  <c r="K101" i="1"/>
  <c r="J101" i="1" s="1"/>
  <c r="K100" i="1"/>
  <c r="AP100" i="1" s="1"/>
  <c r="K99" i="1"/>
  <c r="Y99" i="1" s="1"/>
  <c r="K98" i="1"/>
  <c r="K97" i="1"/>
  <c r="T97" i="1" s="1"/>
  <c r="Z97" i="1" s="1"/>
  <c r="K96" i="1"/>
  <c r="T96" i="1" s="1"/>
  <c r="Z96" i="1" s="1"/>
  <c r="K95" i="1"/>
  <c r="J95" i="1" s="1"/>
  <c r="K94" i="1"/>
  <c r="Y94" i="1" s="1"/>
  <c r="K93" i="1"/>
  <c r="V93" i="1" s="1"/>
  <c r="AO92" i="1"/>
  <c r="J92" i="1"/>
  <c r="I92" i="1"/>
  <c r="K92" i="1" s="1"/>
  <c r="AO91" i="1"/>
  <c r="J91" i="1"/>
  <c r="I91" i="1"/>
  <c r="K91" i="1" s="1"/>
  <c r="AO90" i="1"/>
  <c r="J90" i="1"/>
  <c r="I90" i="1"/>
  <c r="K90" i="1" s="1"/>
  <c r="AO89" i="1"/>
  <c r="J89" i="1"/>
  <c r="I89" i="1"/>
  <c r="K89" i="1" s="1"/>
  <c r="AO88" i="1"/>
  <c r="J88" i="1"/>
  <c r="I88" i="1"/>
  <c r="K88" i="1" s="1"/>
  <c r="K87" i="1"/>
  <c r="AO87" i="1" s="1"/>
  <c r="K86" i="1"/>
  <c r="AO86" i="1" s="1"/>
  <c r="K85" i="1"/>
  <c r="AO85" i="1" s="1"/>
  <c r="K84" i="1"/>
  <c r="AO84" i="1" s="1"/>
  <c r="K83" i="1"/>
  <c r="J83" i="1" s="1"/>
  <c r="AO82" i="1"/>
  <c r="K82" i="1"/>
  <c r="U82" i="1" s="1"/>
  <c r="K81" i="1"/>
  <c r="J81" i="1" s="1"/>
  <c r="AO80" i="1"/>
  <c r="K80" i="1"/>
  <c r="J80" i="1" s="1"/>
  <c r="K79" i="1"/>
  <c r="AP79" i="1" s="1"/>
  <c r="K78" i="1"/>
  <c r="J78" i="1" s="1"/>
  <c r="K77" i="1"/>
  <c r="T77" i="1" s="1"/>
  <c r="K76" i="1"/>
  <c r="AO76" i="1" s="1"/>
  <c r="K75" i="1"/>
  <c r="AO75" i="1" s="1"/>
  <c r="K74" i="1"/>
  <c r="AP74" i="1" s="1"/>
  <c r="K73" i="1"/>
  <c r="AP73" i="1" s="1"/>
  <c r="J72" i="1"/>
  <c r="I72" i="1"/>
  <c r="K72" i="1" s="1"/>
  <c r="T72" i="1" s="1"/>
  <c r="Z72" i="1" s="1"/>
  <c r="J71" i="1"/>
  <c r="I71" i="1"/>
  <c r="K71" i="1" s="1"/>
  <c r="J70" i="1"/>
  <c r="I70" i="1"/>
  <c r="K70" i="1" s="1"/>
  <c r="V70" i="1" s="1"/>
  <c r="K69" i="1"/>
  <c r="T69" i="1" s="1"/>
  <c r="Z69" i="1" s="1"/>
  <c r="J69" i="1"/>
  <c r="I69" i="1"/>
  <c r="K68" i="1"/>
  <c r="V68" i="1" s="1"/>
  <c r="J68" i="1"/>
  <c r="I68" i="1"/>
  <c r="J67" i="1"/>
  <c r="I67" i="1"/>
  <c r="K67" i="1" s="1"/>
  <c r="V67" i="1" s="1"/>
  <c r="J66" i="1"/>
  <c r="I66" i="1"/>
  <c r="K66" i="1" s="1"/>
  <c r="V66" i="1" s="1"/>
  <c r="K65" i="1"/>
  <c r="AP65" i="1" s="1"/>
  <c r="K64" i="1"/>
  <c r="W64" i="1" s="1"/>
  <c r="K63" i="1"/>
  <c r="AP63" i="1" s="1"/>
  <c r="K62" i="1"/>
  <c r="AP62" i="1" s="1"/>
  <c r="K61" i="1"/>
  <c r="U61" i="1" s="1"/>
  <c r="K60" i="1"/>
  <c r="AO60" i="1" s="1"/>
  <c r="J59" i="1"/>
  <c r="I59" i="1"/>
  <c r="K59" i="1" s="1"/>
  <c r="J58" i="1"/>
  <c r="I58" i="1"/>
  <c r="K58" i="1" s="1"/>
  <c r="J57" i="1"/>
  <c r="I57" i="1"/>
  <c r="K57" i="1" s="1"/>
  <c r="H52" i="1"/>
  <c r="AO51" i="1"/>
  <c r="H50" i="1"/>
  <c r="AP49" i="1"/>
  <c r="AP48" i="1"/>
  <c r="AP47" i="1"/>
  <c r="AP46" i="1"/>
  <c r="Y45" i="1"/>
  <c r="AP44" i="1"/>
  <c r="AP43" i="1"/>
  <c r="Y42" i="1"/>
  <c r="AP41" i="1"/>
  <c r="AP40" i="1"/>
  <c r="Y39" i="1"/>
  <c r="Y38" i="1"/>
  <c r="X37" i="1"/>
  <c r="Z37" i="1" s="1"/>
  <c r="J37" i="1"/>
  <c r="I37" i="1"/>
  <c r="K37" i="1" s="1"/>
  <c r="AP37" i="1" s="1"/>
  <c r="X36" i="1"/>
  <c r="Z36" i="1" s="1"/>
  <c r="J36" i="1"/>
  <c r="I36" i="1"/>
  <c r="K36" i="1" s="1"/>
  <c r="AP36" i="1" s="1"/>
  <c r="X35" i="1"/>
  <c r="Z35" i="1" s="1"/>
  <c r="J35" i="1"/>
  <c r="I35" i="1"/>
  <c r="K35" i="1" s="1"/>
  <c r="AP35" i="1" s="1"/>
  <c r="X34" i="1"/>
  <c r="Z34" i="1" s="1"/>
  <c r="J34" i="1"/>
  <c r="I34" i="1"/>
  <c r="K34" i="1" s="1"/>
  <c r="AP34" i="1" s="1"/>
  <c r="X33" i="1"/>
  <c r="Z33" i="1" s="1"/>
  <c r="J33" i="1"/>
  <c r="I33" i="1"/>
  <c r="K33" i="1" s="1"/>
  <c r="AP33" i="1" s="1"/>
  <c r="X32" i="1"/>
  <c r="Z32" i="1" s="1"/>
  <c r="J32" i="1"/>
  <c r="I32" i="1"/>
  <c r="K32" i="1" s="1"/>
  <c r="AP32" i="1" s="1"/>
  <c r="J31" i="1"/>
  <c r="I31" i="1"/>
  <c r="K31" i="1" s="1"/>
  <c r="AP31" i="1" s="1"/>
  <c r="J30" i="1"/>
  <c r="I30" i="1"/>
  <c r="K30" i="1" s="1"/>
  <c r="J29" i="1"/>
  <c r="I29" i="1"/>
  <c r="K29" i="1" s="1"/>
  <c r="J28" i="1"/>
  <c r="I28" i="1"/>
  <c r="K28" i="1" s="1"/>
  <c r="AP28" i="1" s="1"/>
  <c r="K27" i="1"/>
  <c r="U27" i="1" s="1"/>
  <c r="J27" i="1"/>
  <c r="I27" i="1"/>
  <c r="K26" i="1"/>
  <c r="AP26" i="1" s="1"/>
  <c r="J26" i="1"/>
  <c r="I26" i="1"/>
  <c r="U25" i="1"/>
  <c r="J25" i="1"/>
  <c r="I25" i="1"/>
  <c r="K25" i="1" s="1"/>
  <c r="J24" i="1"/>
  <c r="I24" i="1"/>
  <c r="K24" i="1" s="1"/>
  <c r="K23" i="1"/>
  <c r="AP23" i="1" s="1"/>
  <c r="J23" i="1"/>
  <c r="I23" i="1"/>
  <c r="K22" i="1"/>
  <c r="AP22" i="1" s="1"/>
  <c r="J22" i="1"/>
  <c r="I22" i="1"/>
  <c r="K21" i="1"/>
  <c r="AP21" i="1" s="1"/>
  <c r="J21" i="1"/>
  <c r="I21" i="1"/>
  <c r="K20" i="1"/>
  <c r="AP20" i="1" s="1"/>
  <c r="J20" i="1"/>
  <c r="I20" i="1"/>
  <c r="J19" i="1"/>
  <c r="I19" i="1"/>
  <c r="AS19" i="1" s="1"/>
  <c r="J18" i="1"/>
  <c r="I18" i="1"/>
  <c r="AS18" i="1" s="1"/>
  <c r="J17" i="1"/>
  <c r="I17" i="1"/>
  <c r="AS17" i="1" s="1"/>
  <c r="J16" i="1"/>
  <c r="I16" i="1"/>
  <c r="AS16" i="1" s="1"/>
  <c r="J15" i="1"/>
  <c r="I15" i="1"/>
  <c r="AS15" i="1" s="1"/>
  <c r="J14" i="1"/>
  <c r="I14" i="1"/>
  <c r="AS14" i="1" s="1"/>
  <c r="J13" i="1"/>
  <c r="I13" i="1"/>
  <c r="AS13" i="1" s="1"/>
  <c r="J12" i="1"/>
  <c r="I12" i="1"/>
  <c r="AS12" i="1" s="1"/>
  <c r="J11" i="1"/>
  <c r="I11" i="1"/>
  <c r="AS11" i="1" s="1"/>
  <c r="G285" i="1" l="1"/>
  <c r="G284" i="1"/>
  <c r="H285" i="1"/>
  <c r="H284" i="1"/>
  <c r="T284" i="1"/>
  <c r="T285" i="1"/>
  <c r="V285" i="1"/>
  <c r="X284" i="1"/>
  <c r="AP61" i="1"/>
  <c r="W136" i="1"/>
  <c r="Y47" i="1"/>
  <c r="AP270" i="1"/>
  <c r="U265" i="1"/>
  <c r="U167" i="1"/>
  <c r="I102" i="1"/>
  <c r="Y12" i="1"/>
  <c r="W172" i="1"/>
  <c r="AP268" i="1"/>
  <c r="I159" i="1"/>
  <c r="Y138" i="1"/>
  <c r="H144" i="1"/>
  <c r="AO144" i="1" s="1"/>
  <c r="AP144" i="1" s="1"/>
  <c r="W99" i="1"/>
  <c r="AP38" i="1"/>
  <c r="J102" i="1"/>
  <c r="U23" i="1"/>
  <c r="U154" i="1"/>
  <c r="AO97" i="1"/>
  <c r="Y115" i="1"/>
  <c r="Y126" i="1"/>
  <c r="G143" i="1"/>
  <c r="U179" i="1"/>
  <c r="Y18" i="1"/>
  <c r="AP267" i="1"/>
  <c r="Y43" i="1"/>
  <c r="U80" i="1"/>
  <c r="W179" i="1"/>
  <c r="W80" i="1"/>
  <c r="U173" i="1"/>
  <c r="AP138" i="1"/>
  <c r="W153" i="1"/>
  <c r="G97" i="1"/>
  <c r="I136" i="1"/>
  <c r="W62" i="1"/>
  <c r="H97" i="1"/>
  <c r="J136" i="1"/>
  <c r="V97" i="1"/>
  <c r="U136" i="1"/>
  <c r="I155" i="1"/>
  <c r="J170" i="1"/>
  <c r="U267" i="1"/>
  <c r="AP185" i="1"/>
  <c r="U264" i="1"/>
  <c r="AP264" i="1"/>
  <c r="U270" i="1"/>
  <c r="U266" i="1"/>
  <c r="AP131" i="1"/>
  <c r="X76" i="1"/>
  <c r="X75" i="1"/>
  <c r="Y119" i="1"/>
  <c r="AP275" i="1"/>
  <c r="X85" i="1"/>
  <c r="Z85" i="1" s="1"/>
  <c r="Y122" i="1"/>
  <c r="U123" i="1"/>
  <c r="Y117" i="1"/>
  <c r="T275" i="1"/>
  <c r="X275" i="1"/>
  <c r="AP274" i="1"/>
  <c r="X274" i="1"/>
  <c r="T274" i="1"/>
  <c r="AO245" i="1"/>
  <c r="AO249" i="1"/>
  <c r="U268" i="1"/>
  <c r="X246" i="1"/>
  <c r="X250" i="1"/>
  <c r="U269" i="1"/>
  <c r="X247" i="1"/>
  <c r="X248" i="1"/>
  <c r="U30" i="1"/>
  <c r="AP30" i="1"/>
  <c r="H51" i="1"/>
  <c r="W61" i="1"/>
  <c r="V76" i="1"/>
  <c r="AP129" i="1"/>
  <c r="I147" i="1"/>
  <c r="U26" i="1"/>
  <c r="AP99" i="1"/>
  <c r="I151" i="1"/>
  <c r="J154" i="1"/>
  <c r="I166" i="1"/>
  <c r="I173" i="1"/>
  <c r="Y44" i="1"/>
  <c r="U63" i="1"/>
  <c r="T68" i="1"/>
  <c r="Z68" i="1" s="1"/>
  <c r="AO96" i="1"/>
  <c r="W101" i="1"/>
  <c r="T144" i="1"/>
  <c r="Z144" i="1" s="1"/>
  <c r="AP154" i="1"/>
  <c r="I180" i="1"/>
  <c r="V144" i="1"/>
  <c r="AP27" i="1"/>
  <c r="X87" i="1"/>
  <c r="Z87" i="1" s="1"/>
  <c r="I176" i="1"/>
  <c r="U31" i="1"/>
  <c r="W65" i="1"/>
  <c r="AP136" i="1"/>
  <c r="I146" i="1"/>
  <c r="J176" i="1"/>
  <c r="U181" i="1"/>
  <c r="V69" i="1"/>
  <c r="I163" i="1"/>
  <c r="U176" i="1"/>
  <c r="T76" i="1"/>
  <c r="G93" i="1"/>
  <c r="I115" i="1"/>
  <c r="J138" i="1"/>
  <c r="AP146" i="1"/>
  <c r="I153" i="1"/>
  <c r="AP183" i="1"/>
  <c r="AP39" i="1"/>
  <c r="AP45" i="1"/>
  <c r="U73" i="1"/>
  <c r="V77" i="1"/>
  <c r="I80" i="1"/>
  <c r="X84" i="1"/>
  <c r="Z84" i="1" s="1"/>
  <c r="W106" i="1"/>
  <c r="J113" i="1"/>
  <c r="Y125" i="1"/>
  <c r="U138" i="1"/>
  <c r="W174" i="1"/>
  <c r="W73" i="1"/>
  <c r="X77" i="1"/>
  <c r="Z77" i="1" s="1"/>
  <c r="H143" i="1"/>
  <c r="I167" i="1"/>
  <c r="U172" i="1"/>
  <c r="I175" i="1"/>
  <c r="AP188" i="1"/>
  <c r="I78" i="1"/>
  <c r="J175" i="1"/>
  <c r="U20" i="1"/>
  <c r="AP187" i="1"/>
  <c r="Y16" i="1"/>
  <c r="Y46" i="1"/>
  <c r="Y49" i="1"/>
  <c r="W63" i="1"/>
  <c r="T67" i="1"/>
  <c r="Z67" i="1" s="1"/>
  <c r="U78" i="1"/>
  <c r="Y80" i="1"/>
  <c r="Y95" i="1"/>
  <c r="I99" i="1"/>
  <c r="Y121" i="1"/>
  <c r="U127" i="1"/>
  <c r="I139" i="1"/>
  <c r="W167" i="1"/>
  <c r="J173" i="1"/>
  <c r="U175" i="1"/>
  <c r="G50" i="1"/>
  <c r="T75" i="1"/>
  <c r="W78" i="1"/>
  <c r="AP80" i="1"/>
  <c r="G96" i="1"/>
  <c r="J99" i="1"/>
  <c r="J164" i="1"/>
  <c r="I168" i="1"/>
  <c r="AP78" i="1"/>
  <c r="I104" i="1"/>
  <c r="W180" i="1"/>
  <c r="AO50" i="1"/>
  <c r="AP64" i="1"/>
  <c r="I79" i="1"/>
  <c r="W81" i="1"/>
  <c r="V96" i="1"/>
  <c r="U99" i="1"/>
  <c r="J104" i="1"/>
  <c r="AP140" i="1"/>
  <c r="AP150" i="1"/>
  <c r="I165" i="1"/>
  <c r="W168" i="1"/>
  <c r="I181" i="1"/>
  <c r="G51" i="1"/>
  <c r="J79" i="1"/>
  <c r="I112" i="1"/>
  <c r="AP137" i="1"/>
  <c r="AP141" i="1"/>
  <c r="I174" i="1"/>
  <c r="J181" i="1"/>
  <c r="J174" i="1"/>
  <c r="U22" i="1"/>
  <c r="AP42" i="1"/>
  <c r="V72" i="1"/>
  <c r="U79" i="1"/>
  <c r="W105" i="1"/>
  <c r="Y112" i="1"/>
  <c r="Y118" i="1"/>
  <c r="X145" i="1"/>
  <c r="Z145" i="1" s="1"/>
  <c r="Y14" i="1"/>
  <c r="W79" i="1"/>
  <c r="U100" i="1"/>
  <c r="I113" i="1"/>
  <c r="AP142" i="1"/>
  <c r="U178" i="1"/>
  <c r="AO57" i="1"/>
  <c r="T57" i="1"/>
  <c r="Z57" i="1" s="1"/>
  <c r="AP90" i="1"/>
  <c r="U90" i="1"/>
  <c r="AO58" i="1"/>
  <c r="T58" i="1"/>
  <c r="Z58" i="1" s="1"/>
  <c r="AP130" i="1"/>
  <c r="T59" i="1"/>
  <c r="Z59" i="1" s="1"/>
  <c r="AO59" i="1"/>
  <c r="V71" i="1"/>
  <c r="T71" i="1"/>
  <c r="Z71" i="1" s="1"/>
  <c r="AP91" i="1"/>
  <c r="U91" i="1"/>
  <c r="AP128" i="1"/>
  <c r="Y128" i="1"/>
  <c r="AP88" i="1"/>
  <c r="U88" i="1"/>
  <c r="J94" i="1"/>
  <c r="I94" i="1"/>
  <c r="U92" i="1"/>
  <c r="AP92" i="1"/>
  <c r="AP29" i="1"/>
  <c r="U29" i="1"/>
  <c r="AP89" i="1"/>
  <c r="U89" i="1"/>
  <c r="K12" i="1"/>
  <c r="AP12" i="1" s="1"/>
  <c r="K14" i="1"/>
  <c r="AP14" i="1" s="1"/>
  <c r="K16" i="1"/>
  <c r="AP16" i="1" s="1"/>
  <c r="K18" i="1"/>
  <c r="AP18" i="1" s="1"/>
  <c r="U62" i="1"/>
  <c r="U65" i="1"/>
  <c r="V75" i="1"/>
  <c r="AO77" i="1"/>
  <c r="U81" i="1"/>
  <c r="U101" i="1"/>
  <c r="J103" i="1"/>
  <c r="U105" i="1"/>
  <c r="Y114" i="1"/>
  <c r="AO145" i="1"/>
  <c r="J157" i="1"/>
  <c r="J161" i="1"/>
  <c r="J169" i="1"/>
  <c r="U171" i="1"/>
  <c r="W178" i="1"/>
  <c r="W171" i="1"/>
  <c r="U28" i="1"/>
  <c r="Y40" i="1"/>
  <c r="T70" i="1"/>
  <c r="Z70" i="1" s="1"/>
  <c r="Y81" i="1"/>
  <c r="I95" i="1"/>
  <c r="I100" i="1"/>
  <c r="Y101" i="1"/>
  <c r="U103" i="1"/>
  <c r="I106" i="1"/>
  <c r="I158" i="1"/>
  <c r="I162" i="1"/>
  <c r="U169" i="1"/>
  <c r="I172" i="1"/>
  <c r="J179" i="1"/>
  <c r="G60" i="1"/>
  <c r="I82" i="1"/>
  <c r="AP82" i="1" s="1"/>
  <c r="J100" i="1"/>
  <c r="AP101" i="1"/>
  <c r="W103" i="1"/>
  <c r="I137" i="1"/>
  <c r="I152" i="1"/>
  <c r="W169" i="1"/>
  <c r="I177" i="1"/>
  <c r="H60" i="1"/>
  <c r="J82" i="1"/>
  <c r="J137" i="1"/>
  <c r="I170" i="1"/>
  <c r="J177" i="1"/>
  <c r="I182" i="1"/>
  <c r="K11" i="1"/>
  <c r="AP11" i="1" s="1"/>
  <c r="K13" i="1"/>
  <c r="AP13" i="1" s="1"/>
  <c r="K15" i="1"/>
  <c r="AP15" i="1" s="1"/>
  <c r="K17" i="1"/>
  <c r="AP17" i="1" s="1"/>
  <c r="K19" i="1"/>
  <c r="AP19" i="1" s="1"/>
  <c r="U21" i="1"/>
  <c r="Y48" i="1"/>
  <c r="T66" i="1"/>
  <c r="Z66" i="1" s="1"/>
  <c r="W100" i="1"/>
  <c r="U116" i="1"/>
  <c r="U120" i="1"/>
  <c r="U124" i="1"/>
  <c r="U137" i="1"/>
  <c r="U177" i="1"/>
  <c r="Y11" i="1"/>
  <c r="Y13" i="1"/>
  <c r="Y15" i="1"/>
  <c r="Y17" i="1"/>
  <c r="Y19" i="1"/>
  <c r="Y41" i="1"/>
  <c r="U74" i="1"/>
  <c r="X86" i="1"/>
  <c r="Z86" i="1" s="1"/>
  <c r="H93" i="1"/>
  <c r="H96" i="1"/>
  <c r="Y100" i="1"/>
  <c r="U102" i="1"/>
  <c r="U104" i="1"/>
  <c r="W137" i="1"/>
  <c r="J139" i="1"/>
  <c r="J153" i="1"/>
  <c r="J168" i="1"/>
  <c r="U170" i="1"/>
  <c r="J180" i="1"/>
  <c r="U182" i="1"/>
  <c r="U64" i="1"/>
  <c r="W74" i="1"/>
  <c r="W102" i="1"/>
  <c r="Y137" i="1"/>
  <c r="G145" i="1"/>
  <c r="I156" i="1"/>
  <c r="I160" i="1"/>
  <c r="I178" i="1"/>
  <c r="W182" i="1"/>
  <c r="AP184" i="1"/>
  <c r="AP186" i="1"/>
  <c r="G52" i="1"/>
  <c r="I81" i="1"/>
  <c r="I83" i="1"/>
  <c r="I101" i="1"/>
  <c r="Y102" i="1"/>
  <c r="I105" i="1"/>
  <c r="I114" i="1"/>
  <c r="I148" i="1"/>
  <c r="I171" i="1"/>
  <c r="Z75" i="1" l="1"/>
  <c r="Z76" i="1"/>
</calcChain>
</file>

<file path=xl/sharedStrings.xml><?xml version="1.0" encoding="utf-8"?>
<sst xmlns="http://schemas.openxmlformats.org/spreadsheetml/2006/main" count="1969" uniqueCount="524">
  <si>
    <t>density</t>
  </si>
  <si>
    <t>kg/m³</t>
  </si>
  <si>
    <t xml:space="preserve"> @ 273 K</t>
  </si>
  <si>
    <t xml:space="preserve"> @ 1 atm</t>
  </si>
  <si>
    <t>H₂ gas</t>
  </si>
  <si>
    <t>link</t>
  </si>
  <si>
    <t>input</t>
  </si>
  <si>
    <t>Q/A</t>
  </si>
  <si>
    <t>DEW point to ppm unclear, is it ppm_v or ppm_m? - see https://www.lindedirect.com/resources/technical-information/dew-point or https://afcintl.com/pdfs/Dew.pdf</t>
  </si>
  <si>
    <t>GHS indicates that the power supply accounts for 8% of the losses, and the rest of the BoP for 5% further</t>
  </si>
  <si>
    <t>COMMERCIAL</t>
  </si>
  <si>
    <t>H₂ PRODUCTION</t>
  </si>
  <si>
    <t>H₂ PURITY</t>
  </si>
  <si>
    <t>WATER</t>
  </si>
  <si>
    <t>COOLING</t>
  </si>
  <si>
    <t>ELECTRICAL</t>
  </si>
  <si>
    <t>LIFE</t>
  </si>
  <si>
    <t>technology</t>
  </si>
  <si>
    <t>manufacturer</t>
  </si>
  <si>
    <t>model</t>
  </si>
  <si>
    <t>reference</t>
  </si>
  <si>
    <t>net/nominal production rate min</t>
  </si>
  <si>
    <t>net/nominal production rate max</t>
  </si>
  <si>
    <t>production capacity dynamic range min</t>
  </si>
  <si>
    <t>production capacity dynamic range max</t>
  </si>
  <si>
    <t>start-up time (from off)</t>
  </si>
  <si>
    <t>ramp-up time (min to max load)</t>
  </si>
  <si>
    <t>ramp rate (% of full-scale)</t>
  </si>
  <si>
    <t>efficiency (HHV) - stack 50% BOL</t>
  </si>
  <si>
    <t>efficiency (HHV) - stack 100% BOL</t>
  </si>
  <si>
    <t>efficiency (HHV) - system</t>
  </si>
  <si>
    <t>average power consumption by stack min</t>
  </si>
  <si>
    <t>average power consumption by stack max</t>
  </si>
  <si>
    <t>average power consumption by system</t>
  </si>
  <si>
    <t>purity min</t>
  </si>
  <si>
    <t>purity max</t>
  </si>
  <si>
    <t>O₂-content</t>
  </si>
  <si>
    <t>H₂O-content</t>
  </si>
  <si>
    <t>dew point</t>
  </si>
  <si>
    <t>N2-content</t>
  </si>
  <si>
    <t>delivery pressure min</t>
  </si>
  <si>
    <t>delivery pressure max</t>
  </si>
  <si>
    <t>temperature min</t>
  </si>
  <si>
    <t>temperature max</t>
  </si>
  <si>
    <t>pressure min</t>
  </si>
  <si>
    <t>pressure max</t>
  </si>
  <si>
    <t>purity (required)</t>
  </si>
  <si>
    <t>purity (preferred)</t>
  </si>
  <si>
    <t>feed water consumption rate max</t>
  </si>
  <si>
    <t>coolant fluid</t>
  </si>
  <si>
    <t>max heat load</t>
  </si>
  <si>
    <t>max power required</t>
  </si>
  <si>
    <t>electrical requirement</t>
  </si>
  <si>
    <t>stack life</t>
  </si>
  <si>
    <t>system life</t>
  </si>
  <si>
    <t>Nm³/h</t>
  </si>
  <si>
    <t>kg/h</t>
  </si>
  <si>
    <t>min</t>
  </si>
  <si>
    <t>s</t>
  </si>
  <si>
    <t>%/s</t>
  </si>
  <si>
    <t>%</t>
  </si>
  <si>
    <t xml:space="preserve">kWh/Nm³ </t>
  </si>
  <si>
    <t>kWh/kg</t>
  </si>
  <si>
    <t>kWh/Nm³</t>
  </si>
  <si>
    <t>ppm v</t>
  </si>
  <si>
    <t>deg C</t>
  </si>
  <si>
    <t>bar(g)</t>
  </si>
  <si>
    <t>L/Nm³</t>
  </si>
  <si>
    <t>L/kg</t>
  </si>
  <si>
    <t>kW</t>
  </si>
  <si>
    <t>kVA</t>
  </si>
  <si>
    <t>VAC</t>
  </si>
  <si>
    <t>phases</t>
  </si>
  <si>
    <t>year</t>
  </si>
  <si>
    <t>0 C, 1 bar</t>
  </si>
  <si>
    <t>PEM</t>
  </si>
  <si>
    <t>NEL</t>
  </si>
  <si>
    <t>S10</t>
  </si>
  <si>
    <t>&lt; 1</t>
  </si>
  <si>
    <t>&lt; 5</t>
  </si>
  <si>
    <t>&lt; 2</t>
  </si>
  <si>
    <t>ASTM T-II</t>
  </si>
  <si>
    <t>ASTM T-I</t>
  </si>
  <si>
    <t>air</t>
  </si>
  <si>
    <t>S20</t>
  </si>
  <si>
    <t>S40</t>
  </si>
  <si>
    <t>H2</t>
  </si>
  <si>
    <t>liquid</t>
  </si>
  <si>
    <t>H4</t>
  </si>
  <si>
    <t>H6</t>
  </si>
  <si>
    <t>C10</t>
  </si>
  <si>
    <t>C20</t>
  </si>
  <si>
    <t>C30</t>
  </si>
  <si>
    <t>MC100</t>
  </si>
  <si>
    <t>M100</t>
  </si>
  <si>
    <t>MC200</t>
  </si>
  <si>
    <t>M200</t>
  </si>
  <si>
    <t>MC250</t>
  </si>
  <si>
    <t>&lt;8</t>
  </si>
  <si>
    <t>&lt;0.15</t>
  </si>
  <si>
    <t>MC500</t>
  </si>
  <si>
    <t>MC400</t>
  </si>
  <si>
    <t>M400</t>
  </si>
  <si>
    <t>M2000</t>
  </si>
  <si>
    <t>M3000</t>
  </si>
  <si>
    <t>M4000</t>
  </si>
  <si>
    <t>M5000</t>
  </si>
  <si>
    <t>Cummins</t>
  </si>
  <si>
    <t>HyLYZER - 200</t>
  </si>
  <si>
    <t>&lt; 12</t>
  </si>
  <si>
    <t xml:space="preserve">1.2 to 1.5 L/Nm3 [13 to 17 L/kg of H2] of DIW for reverse osmosis </t>
  </si>
  <si>
    <t>HyLYZER - 250</t>
  </si>
  <si>
    <t>HyLYZER - 400</t>
  </si>
  <si>
    <t>HyLYZER - 500</t>
  </si>
  <si>
    <t>HyLYZER - 1000</t>
  </si>
  <si>
    <t>&lt; 100</t>
  </si>
  <si>
    <t>ASTM D1193 Type</t>
  </si>
  <si>
    <t>HyLYZER - 4000</t>
  </si>
  <si>
    <t>Erredue</t>
  </si>
  <si>
    <t>Sirio 50</t>
  </si>
  <si>
    <t>Sirio 75</t>
  </si>
  <si>
    <t>Sirio 100</t>
  </si>
  <si>
    <t>Sirio 125</t>
  </si>
  <si>
    <t>Sirio 150</t>
  </si>
  <si>
    <t>Sirio 175</t>
  </si>
  <si>
    <t>Sirio 200</t>
  </si>
  <si>
    <t>ITM Power</t>
  </si>
  <si>
    <t>HGAS1SP</t>
  </si>
  <si>
    <t>HGAS3SP</t>
  </si>
  <si>
    <t>3MEP CUBE</t>
  </si>
  <si>
    <t>Plug Power</t>
  </si>
  <si>
    <t>EX-425D</t>
  </si>
  <si>
    <t>EX-2125D</t>
  </si>
  <si>
    <t xml:space="preserve">4250D </t>
  </si>
  <si>
    <t>Siemens</t>
  </si>
  <si>
    <t>Silyzer 300</t>
  </si>
  <si>
    <t>AE</t>
  </si>
  <si>
    <t>A300</t>
  </si>
  <si>
    <t>A485</t>
  </si>
  <si>
    <t>A1000</t>
  </si>
  <si>
    <t>A3880</t>
  </si>
  <si>
    <t>HySTAT-10</t>
  </si>
  <si>
    <t>HySTAT-15</t>
  </si>
  <si>
    <t>HySTAT-30</t>
  </si>
  <si>
    <t>HySTAT-45</t>
  </si>
  <si>
    <t>tap water</t>
  </si>
  <si>
    <t>HySTAT-60</t>
  </si>
  <si>
    <t>HySTAT-70</t>
  </si>
  <si>
    <t>HySTAT-100</t>
  </si>
  <si>
    <t>A30</t>
  </si>
  <si>
    <t>5 μS/cm</t>
  </si>
  <si>
    <t>A60</t>
  </si>
  <si>
    <t>A90</t>
  </si>
  <si>
    <t>&lt;5</t>
  </si>
  <si>
    <t>A180</t>
  </si>
  <si>
    <t>X1200</t>
  </si>
  <si>
    <t>&lt;500</t>
  </si>
  <si>
    <t>&lt;5 μS/cm</t>
  </si>
  <si>
    <t>ThyssenKrupp Nucera</t>
  </si>
  <si>
    <t>10 MW</t>
  </si>
  <si>
    <t>20 MW</t>
  </si>
  <si>
    <t>Sunfire</t>
  </si>
  <si>
    <t>Hylink Alkaline</t>
  </si>
  <si>
    <t>SOEC</t>
  </si>
  <si>
    <t>Hylink SOEC</t>
  </si>
  <si>
    <t>Topsoe</t>
  </si>
  <si>
    <t>plan</t>
  </si>
  <si>
    <t>DMW is requested, and not DIW</t>
  </si>
  <si>
    <t>demonstrated</t>
  </si>
  <si>
    <t>BloomEnergy</t>
  </si>
  <si>
    <t>1.2MW</t>
  </si>
  <si>
    <t>800 VDC</t>
  </si>
  <si>
    <t>https://www.bloomenergy.com/wp-content/uploads/bloom-energy-electrolyzer-datasheet-december-2023.pdf</t>
  </si>
  <si>
    <t>x</t>
  </si>
  <si>
    <t>2.4MW</t>
  </si>
  <si>
    <t>STARGATE</t>
  </si>
  <si>
    <t>Gateway 200</t>
  </si>
  <si>
    <t>https://stargatehydrogen.com/wp-content/uploads/2023/12/Spec_sheet_Electrolyser_stargate_hydrogen-2024.pdf</t>
  </si>
  <si>
    <t>Gateway 400</t>
  </si>
  <si>
    <t>Gateway 800</t>
  </si>
  <si>
    <t>Gateway 1600</t>
  </si>
  <si>
    <t>Gateway 2000</t>
  </si>
  <si>
    <t>BOSCH</t>
  </si>
  <si>
    <t>https://www.bosch-hydrogen-energy.com/media/electrolyser_technology/electrolysis-twopager-en.pdf</t>
  </si>
  <si>
    <t>Aqualyzer</t>
  </si>
  <si>
    <t>Aqualyzer 10</t>
  </si>
  <si>
    <t>https://ak-green-solution.com/assets/pdf/brochure.pdf</t>
  </si>
  <si>
    <t>Aqualyzer 100</t>
  </si>
  <si>
    <t>Electric Hydrogen</t>
  </si>
  <si>
    <t>100MW Plant</t>
  </si>
  <si>
    <t>&lt;2</t>
  </si>
  <si>
    <t>Hydrogen optimized</t>
  </si>
  <si>
    <t>RUGGEDCELL</t>
  </si>
  <si>
    <t>&lt;1</t>
  </si>
  <si>
    <t>&lt;10</t>
  </si>
  <si>
    <t>https://www.hydrogenoptimized.com/wp-content/uploads/2024/01/RuggedCell-Spec-Sheet-1000-kg-per-hr-module-compressed.pdf</t>
  </si>
  <si>
    <t>Hydrogen pro</t>
  </si>
  <si>
    <t>https://hydrogen-pro.com/products/</t>
  </si>
  <si>
    <t>MCPHY</t>
  </si>
  <si>
    <t>MCLYZER 200</t>
  </si>
  <si>
    <t>&lt;30</t>
  </si>
  <si>
    <t>&gt;5</t>
  </si>
  <si>
    <t>https://cellar-c2.services.clever-cloud.com/com-mcphy/uploads/2023/06/2023_McLyzer-Product-Line-EN.pdf</t>
  </si>
  <si>
    <t>MCLYZER 400</t>
  </si>
  <si>
    <t>MCLYZER 800</t>
  </si>
  <si>
    <t>MCLYZER 3200</t>
  </si>
  <si>
    <t>LONGI</t>
  </si>
  <si>
    <t>LHy-A800</t>
  </si>
  <si>
    <t>https://www.longi.com/en/products/hydrogen/lhy-a1000/</t>
  </si>
  <si>
    <t>LHy-A1000</t>
  </si>
  <si>
    <t>LHy-A1500</t>
  </si>
  <si>
    <t>PERIC</t>
  </si>
  <si>
    <t>http://www.peric718.com/PEM-Type-Hydrogen-Genera/r-89.html</t>
  </si>
  <si>
    <t>lots of doubts</t>
  </si>
  <si>
    <t>CDQ</t>
  </si>
  <si>
    <t>http://www.peric718.com/Alkaline-Type-Hydrogen-G/r-85.html</t>
  </si>
  <si>
    <t>CNDQ</t>
  </si>
  <si>
    <t>http://www.peric718.com/Alkaline-Type-Hydrogen-G/r-86.html</t>
  </si>
  <si>
    <t>KCDQ</t>
  </si>
  <si>
    <t>http://www.peric718.com/Alkaline-Type-Hydrogen-G/r-87.html</t>
  </si>
  <si>
    <t>METACON</t>
  </si>
  <si>
    <t>SDQ - 50</t>
  </si>
  <si>
    <t>https://metacon.se/pem-electrolyzer/</t>
  </si>
  <si>
    <t>1 or 3</t>
  </si>
  <si>
    <t>CDQ - 200</t>
  </si>
  <si>
    <t>ASTM T-IV</t>
  </si>
  <si>
    <t>CDQ - 1000</t>
  </si>
  <si>
    <t>CDQ - 2000</t>
  </si>
  <si>
    <t>KCDQ - 20</t>
  </si>
  <si>
    <t>https://metacon.se/containerized-type-h2-generator/</t>
  </si>
  <si>
    <t>KCDQ - 100</t>
  </si>
  <si>
    <t>KCDQ - 1000</t>
  </si>
  <si>
    <t>CNDQ - 5</t>
  </si>
  <si>
    <t>https://metacon.se/integrated-type-h2-generator/</t>
  </si>
  <si>
    <t>CNDQ - 10</t>
  </si>
  <si>
    <t>CNDQ - 15</t>
  </si>
  <si>
    <t>AEM</t>
  </si>
  <si>
    <t>Enapter</t>
  </si>
  <si>
    <t>EL 4.1</t>
  </si>
  <si>
    <t>https://handbook.enapter.com/electrolyser/el41/downloads/Enapter_Datasheet_EL41_EN.pdf</t>
  </si>
  <si>
    <t>Flex 120</t>
  </si>
  <si>
    <t>https://handbook.enapter.com/electrolyser/aem-flex120/downloads/Enapter_Datasheet_AEM-Flex-120_EN.pdf</t>
  </si>
  <si>
    <t>Nexus 500</t>
  </si>
  <si>
    <t>Nexus 1000</t>
  </si>
  <si>
    <t>Hydrolite</t>
  </si>
  <si>
    <t>eHG</t>
  </si>
  <si>
    <t>https://www.hydrolite-h2.com/hydrolite-electrolyzer-hydrogen-generator/</t>
  </si>
  <si>
    <t>x not much information</t>
  </si>
  <si>
    <t>Hystar</t>
  </si>
  <si>
    <t>Vega 1200</t>
  </si>
  <si>
    <t>https://25478672.fs1.hubspotusercontent-eu1.net/hubfs/25478672/Hystar_main-brochure_DIGITAL_2024-02-13.pdf</t>
  </si>
  <si>
    <t>Mira 600</t>
  </si>
  <si>
    <t>Elogen</t>
  </si>
  <si>
    <t>E500</t>
  </si>
  <si>
    <t>https://elogenh2.com/wp-content/uploads/2024/01/Product-Overview-Elogen-January-2024.pdf</t>
  </si>
  <si>
    <t>E1000</t>
  </si>
  <si>
    <t>n x E1000</t>
  </si>
  <si>
    <t>H2Greem</t>
  </si>
  <si>
    <t>LabGreem</t>
  </si>
  <si>
    <t>LPGreem</t>
  </si>
  <si>
    <t>https://h2greem.com/fichas/lpgreem.pdf</t>
  </si>
  <si>
    <t>HPGreem</t>
  </si>
  <si>
    <t>https://h2greem.com/fichas/hpgreem.pdf</t>
  </si>
  <si>
    <t>https://h2greem.com/fichas/vhpgreem.pdf</t>
  </si>
  <si>
    <t>Membrane free</t>
  </si>
  <si>
    <t>CPH2</t>
  </si>
  <si>
    <t>MFE220</t>
  </si>
  <si>
    <t>https://www.cph2.com/our-technology/hydrogen-as-energy/</t>
  </si>
  <si>
    <t>Fuel Cell Energy</t>
  </si>
  <si>
    <t>https://go.fuelcellenergy.com/hubfs/solid-oxide-electrolyzer-spec-sheet.pdf</t>
  </si>
  <si>
    <t>Convion</t>
  </si>
  <si>
    <t>C250e</t>
  </si>
  <si>
    <t>Elcogen</t>
  </si>
  <si>
    <t>E3000</t>
  </si>
  <si>
    <t>https://elcogen.com/products/solid-oxide-stacks-for-electrolyser-systems/</t>
  </si>
  <si>
    <t>E350</t>
  </si>
  <si>
    <t>&gt;600</t>
  </si>
  <si>
    <t>Kerionics</t>
  </si>
  <si>
    <t>SOEL2020</t>
  </si>
  <si>
    <t>https://kerionics.com/</t>
  </si>
  <si>
    <t>Hymeth</t>
  </si>
  <si>
    <t>HYAEON25</t>
  </si>
  <si>
    <t>&lt;7.4</t>
  </si>
  <si>
    <t>A150</t>
  </si>
  <si>
    <t>RO/EDI</t>
  </si>
  <si>
    <t>Sirio 500</t>
  </si>
  <si>
    <t>Sirio1000</t>
  </si>
  <si>
    <t>Sirio1500</t>
  </si>
  <si>
    <t>Sirio2000</t>
  </si>
  <si>
    <t>Sirio750</t>
  </si>
  <si>
    <t>Trident</t>
  </si>
  <si>
    <t>Neptune II</t>
  </si>
  <si>
    <t>Neptune V</t>
  </si>
  <si>
    <t>Poseidon</t>
  </si>
  <si>
    <t>kV</t>
  </si>
  <si>
    <t>11 to 33</t>
  </si>
  <si>
    <t>1,2 to 2</t>
  </si>
  <si>
    <t>13 to 17</t>
  </si>
  <si>
    <t>&lt;45</t>
  </si>
  <si>
    <t>&lt;9</t>
  </si>
  <si>
    <t>&lt;20</t>
  </si>
  <si>
    <t>&lt;40</t>
  </si>
  <si>
    <t>50MW(Plan)</t>
  </si>
  <si>
    <t>1000MW(Plan)</t>
  </si>
  <si>
    <t>30 to 35</t>
  </si>
  <si>
    <t>Hi1 1000</t>
  </si>
  <si>
    <t>Hi1Plus 1000</t>
  </si>
  <si>
    <t>G1200</t>
  </si>
  <si>
    <t>G1500</t>
  </si>
  <si>
    <t>G3000</t>
  </si>
  <si>
    <t>G2000</t>
  </si>
  <si>
    <t>&lt;4</t>
  </si>
  <si>
    <t xml:space="preserve"> </t>
  </si>
  <si>
    <t>&lt;12</t>
  </si>
  <si>
    <t>VHPGreem</t>
  </si>
  <si>
    <t>Sungrow</t>
  </si>
  <si>
    <t>SHT200P</t>
  </si>
  <si>
    <t>SHT500P</t>
  </si>
  <si>
    <t>Cockerill Jingli Hydrogen</t>
  </si>
  <si>
    <t>Auyan</t>
  </si>
  <si>
    <t>AOQING_1000A</t>
  </si>
  <si>
    <t>DQ2-3.2</t>
  </si>
  <si>
    <t>SinoHy</t>
  </si>
  <si>
    <t>HG5-3.2</t>
  </si>
  <si>
    <t>HG10-3.2</t>
  </si>
  <si>
    <t>HG20-3.2</t>
  </si>
  <si>
    <t>HG60-1.6</t>
  </si>
  <si>
    <t>HG100-1.6</t>
  </si>
  <si>
    <t>HG200-1.6</t>
  </si>
  <si>
    <t>HG250-1.6</t>
  </si>
  <si>
    <t>HG300-1.6</t>
  </si>
  <si>
    <t>HG500-1.6</t>
  </si>
  <si>
    <t>HG800-1.6</t>
  </si>
  <si>
    <t>HGPS-50</t>
  </si>
  <si>
    <t>HGPS-200</t>
  </si>
  <si>
    <t>Kylin-tech</t>
  </si>
  <si>
    <t>KAS-3</t>
  </si>
  <si>
    <t>KAS-6</t>
  </si>
  <si>
    <t>KAS-10</t>
  </si>
  <si>
    <t>KASS-0.5</t>
  </si>
  <si>
    <t>KASS-1</t>
  </si>
  <si>
    <t>KAM-20</t>
  </si>
  <si>
    <t>KAM-50</t>
  </si>
  <si>
    <t>KAM-100</t>
  </si>
  <si>
    <t>KAL-200</t>
  </si>
  <si>
    <t>KAL-500</t>
  </si>
  <si>
    <t>KAL-1000</t>
  </si>
  <si>
    <t>10k</t>
  </si>
  <si>
    <t>KARE-50</t>
  </si>
  <si>
    <t>KARE-100</t>
  </si>
  <si>
    <t>KARE-500</t>
  </si>
  <si>
    <t>KARE-1000</t>
  </si>
  <si>
    <t>PEM100-1000</t>
  </si>
  <si>
    <t>K2</t>
  </si>
  <si>
    <t>K4</t>
  </si>
  <si>
    <t>K6</t>
  </si>
  <si>
    <t>GUOFUHEE</t>
  </si>
  <si>
    <t>GFEL-200</t>
  </si>
  <si>
    <t>GFEL-500</t>
  </si>
  <si>
    <t>GFEL-1000</t>
  </si>
  <si>
    <t>Kohodo</t>
  </si>
  <si>
    <t>&gt;10</t>
  </si>
  <si>
    <t>Wenshi Hydrogen</t>
  </si>
  <si>
    <t>WS-600L</t>
  </si>
  <si>
    <t>WS-2000L</t>
  </si>
  <si>
    <t>Shuanliang</t>
  </si>
  <si>
    <t>SLZQ-2000</t>
  </si>
  <si>
    <t>&gt;18,3</t>
  </si>
  <si>
    <t>&gt;18,4</t>
  </si>
  <si>
    <t>&gt;18,5</t>
  </si>
  <si>
    <t>&gt;18,6</t>
  </si>
  <si>
    <t>SLZQ-1500</t>
  </si>
  <si>
    <t>SLZQ-1000</t>
  </si>
  <si>
    <t>SLZQ-800</t>
  </si>
  <si>
    <t>CNTHE</t>
  </si>
  <si>
    <t>FDQ5</t>
  </si>
  <si>
    <t>FDQ10</t>
  </si>
  <si>
    <t>FDQ20</t>
  </si>
  <si>
    <t>FDQ60</t>
  </si>
  <si>
    <t>FDQ100</t>
  </si>
  <si>
    <t>FDQ400</t>
  </si>
  <si>
    <t>FDQ800</t>
  </si>
  <si>
    <t>GREENH2</t>
  </si>
  <si>
    <t>GHM-50-16</t>
  </si>
  <si>
    <t>GHM-100-16</t>
  </si>
  <si>
    <t>GHM-150-16</t>
  </si>
  <si>
    <t>GHM-200-16</t>
  </si>
  <si>
    <t>GH-10-16</t>
  </si>
  <si>
    <t>GHS-15-16</t>
  </si>
  <si>
    <t>GHS-20-16</t>
  </si>
  <si>
    <t>GHS-30-16</t>
  </si>
  <si>
    <t>GHS-40-16</t>
  </si>
  <si>
    <t>GHS-5-16</t>
  </si>
  <si>
    <t>PERFORMANCE</t>
  </si>
  <si>
    <t>available</t>
  </si>
  <si>
    <t>BoP factor</t>
  </si>
  <si>
    <t>Amoy Island Hydrogen</t>
  </si>
  <si>
    <t>LD-HP-200</t>
  </si>
  <si>
    <t>BAHE energy</t>
  </si>
  <si>
    <t>S series</t>
  </si>
  <si>
    <t>H series</t>
  </si>
  <si>
    <t>C series</t>
  </si>
  <si>
    <t>M series</t>
  </si>
  <si>
    <t>BriHyNergy</t>
  </si>
  <si>
    <t>BriLyzer-R200</t>
  </si>
  <si>
    <t>BriLyzer-S50</t>
  </si>
  <si>
    <t>Stiesdal Hydrogen</t>
  </si>
  <si>
    <t>HydroGen</t>
  </si>
  <si>
    <t>AHES</t>
  </si>
  <si>
    <t>1MW module</t>
  </si>
  <si>
    <t>5MW module</t>
  </si>
  <si>
    <t>Millenium Reign Energy</t>
  </si>
  <si>
    <t>SFHA 100</t>
  </si>
  <si>
    <t>SFHA 200</t>
  </si>
  <si>
    <t>SFHA 300</t>
  </si>
  <si>
    <t>AutoArk114</t>
  </si>
  <si>
    <t>63%(LHV)</t>
  </si>
  <si>
    <t>AutoArk55</t>
  </si>
  <si>
    <t>AutoArk11 or 27</t>
  </si>
  <si>
    <t>Evoloh</t>
  </si>
  <si>
    <t>Hygreen Energy</t>
  </si>
  <si>
    <t>HELA 1000</t>
  </si>
  <si>
    <t>HELA 2000</t>
  </si>
  <si>
    <t xml:space="preserve">HGPS 50 </t>
  </si>
  <si>
    <t>HGPS 300</t>
  </si>
  <si>
    <t xml:space="preserve">AEM 2 </t>
  </si>
  <si>
    <t>Nordex  SE</t>
  </si>
  <si>
    <t>prototype</t>
  </si>
  <si>
    <t>HydrogenPro</t>
  </si>
  <si>
    <t>Oort Energy</t>
  </si>
  <si>
    <t>ENDUA</t>
  </si>
  <si>
    <t>EZ-25</t>
  </si>
  <si>
    <t>potable source</t>
  </si>
  <si>
    <t>EZ-50</t>
  </si>
  <si>
    <t>EZ-100</t>
  </si>
  <si>
    <t>EZ-150</t>
  </si>
  <si>
    <t>EZ-200</t>
  </si>
  <si>
    <t>EZ-250</t>
  </si>
  <si>
    <t>iGas energy</t>
  </si>
  <si>
    <t>gEI 10-300</t>
  </si>
  <si>
    <t>gEI 30-300</t>
  </si>
  <si>
    <t>gEI 60-300</t>
  </si>
  <si>
    <t>gEI 100-1250</t>
  </si>
  <si>
    <t>gEI 160-1250</t>
  </si>
  <si>
    <t>gEI 320-1250</t>
  </si>
  <si>
    <t>QUEST ONE</t>
  </si>
  <si>
    <t>MHP</t>
  </si>
  <si>
    <t xml:space="preserve">DI water </t>
  </si>
  <si>
    <t>ME450</t>
  </si>
  <si>
    <t>IMI VIVO</t>
  </si>
  <si>
    <t xml:space="preserve">1MW </t>
  </si>
  <si>
    <t>2MW</t>
  </si>
  <si>
    <t>3MW</t>
  </si>
  <si>
    <t>4MW</t>
  </si>
  <si>
    <t xml:space="preserve">5MW </t>
  </si>
  <si>
    <t>Kyros Hydrogen Solutions</t>
  </si>
  <si>
    <t>TrinkwV 2020</t>
  </si>
  <si>
    <t>TrinkwV 2021</t>
  </si>
  <si>
    <t>TrinkwV 2022</t>
  </si>
  <si>
    <t>TrinkwV 2023</t>
  </si>
  <si>
    <t>TrinkwV 2024</t>
  </si>
  <si>
    <t>TrinkwV 2025</t>
  </si>
  <si>
    <t>TrinkwV 2026</t>
  </si>
  <si>
    <t>Fortescue</t>
  </si>
  <si>
    <t>FHS P1</t>
  </si>
  <si>
    <t>FHS P5</t>
  </si>
  <si>
    <t>FHS P50</t>
  </si>
  <si>
    <t>SungreenH2</t>
  </si>
  <si>
    <t>200-500</t>
  </si>
  <si>
    <t>10 to 20</t>
  </si>
  <si>
    <t>SGH2-EL 1.3</t>
  </si>
  <si>
    <t>Cipher Neutron</t>
  </si>
  <si>
    <t xml:space="preserve">AEM </t>
  </si>
  <si>
    <t>ASTM type 1</t>
  </si>
  <si>
    <t>Yaai Green Energy</t>
  </si>
  <si>
    <t>Not enough info</t>
  </si>
  <si>
    <t xml:space="preserve">Arco Technologies </t>
  </si>
  <si>
    <t xml:space="preserve">4 to 30 </t>
  </si>
  <si>
    <t xml:space="preserve">10 to 30 </t>
  </si>
  <si>
    <t xml:space="preserve">Hyter </t>
  </si>
  <si>
    <t>H2 Next</t>
  </si>
  <si>
    <t>Mitsubishi Heavy Industries</t>
  </si>
  <si>
    <t>SolydEra</t>
  </si>
  <si>
    <t>ECA-1</t>
  </si>
  <si>
    <t>ECA-2</t>
  </si>
  <si>
    <t>&lt;60</t>
  </si>
  <si>
    <t xml:space="preserve">Ceres </t>
  </si>
  <si>
    <t>Cawolo</t>
  </si>
  <si>
    <t>2,4KW</t>
  </si>
  <si>
    <t>5KW</t>
  </si>
  <si>
    <t>10KW</t>
  </si>
  <si>
    <t>11,2KW</t>
  </si>
  <si>
    <t>20KW</t>
  </si>
  <si>
    <t>30KW</t>
  </si>
  <si>
    <t>39KW</t>
  </si>
  <si>
    <t>55KW</t>
  </si>
  <si>
    <t>102KW</t>
  </si>
  <si>
    <t>150KW</t>
  </si>
  <si>
    <t>250KW</t>
  </si>
  <si>
    <t>520KW</t>
  </si>
  <si>
    <t>1040KW</t>
  </si>
  <si>
    <t>2400KW</t>
  </si>
  <si>
    <t xml:space="preserve">CNFC Energy </t>
  </si>
  <si>
    <t>SINAP</t>
  </si>
  <si>
    <t>200-kW</t>
  </si>
  <si>
    <t>linFk</t>
  </si>
  <si>
    <t xml:space="preserve">SDQ </t>
  </si>
  <si>
    <t xml:space="preserve">pure water </t>
  </si>
  <si>
    <t>&gt;5,7</t>
  </si>
  <si>
    <t>&gt;3,4</t>
  </si>
  <si>
    <t>WS-50M</t>
  </si>
  <si>
    <t>&gt;6,8</t>
  </si>
  <si>
    <t>LD-HP-20</t>
  </si>
  <si>
    <t>&lt;100</t>
  </si>
  <si>
    <t>Location</t>
  </si>
  <si>
    <t>Europe</t>
  </si>
  <si>
    <t>USA</t>
  </si>
  <si>
    <t>GHS (Green Hydrogen Systems)</t>
  </si>
  <si>
    <t>Canada</t>
  </si>
  <si>
    <t>China</t>
  </si>
  <si>
    <t>Israel</t>
  </si>
  <si>
    <t>Korea</t>
  </si>
  <si>
    <t>Australia</t>
  </si>
  <si>
    <t>Singapore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</si>
</sst>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"/>
    <numFmt numFmtId="165" formatCode="0.0000"/>
    <numFmt numFmtId="166" formatCode="0.0000%"/>
    <numFmt numFmtId="167" formatCode="0.0"/>
    <numFmt numFmtId="168" formatCode="0.000%"/>
    <numFmt numFmtId="169" formatCode="0.0%"/>
    <numFmt numFmtId="170" formatCode="0.000"/>
    <numFmt numFmtId="171" formatCode="0.00000"/>
  </numFmts>
  <fonts count="2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sz val="10"/>
      <color theme="8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color theme="1"/>
      <name val="Calibri"/>
      <family val="2"/>
    </font>
    <font>
      <sz val="10"/>
      <color rgb="FF242021"/>
      <name val="BentonSans-Light"/>
    </font>
    <font>
      <sz val="10"/>
      <name val="Aptos Narrow"/>
      <family val="2"/>
      <scheme val="minor"/>
    </font>
    <font>
      <sz val="11"/>
      <color theme="1"/>
      <name val="Arial"/>
      <family val="2"/>
    </font>
    <font>
      <sz val="10"/>
      <color rgb="FF000000"/>
      <name val="Aptos Narrow"/>
      <family val="2"/>
      <scheme val="minor"/>
    </font>
    <font>
      <u/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color theme="5" tint="-0.249977111117893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u/>
      <sz val="11"/>
      <color theme="5" tint="-0.249977111117893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0070C0"/>
      <name val="Aptos Narrow"/>
      <family val="2"/>
      <scheme val="minor"/>
    </font>
    <font>
      <sz val="10"/>
      <color theme="4" tint="-0.249977111117893"/>
      <name val="Aptos Narrow"/>
      <family val="2"/>
      <scheme val="minor"/>
    </font>
    <font>
      <sz val="10"/>
      <name val="BentonSans-Light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9E7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26" fillId="0" borderId="0" applyFont="0" applyFill="0" applyBorder="0" applyAlignment="0" applyProtection="0"/>
  </cellStyleXfs>
  <cellXfs count="150">
    <xf numFmtId="0" fontId="0" fillId="0" borderId="0" xfId="0"/>
    <xf numFmtId="0" fontId="4" fillId="0" borderId="0" xfId="0" applyFont="1"/>
    <xf numFmtId="164" fontId="5" fillId="0" borderId="0" xfId="0" applyNumberFormat="1" applyFont="1"/>
    <xf numFmtId="0" fontId="5" fillId="0" borderId="0" xfId="0" applyFont="1"/>
    <xf numFmtId="0" fontId="3" fillId="0" borderId="0" xfId="1"/>
    <xf numFmtId="0" fontId="6" fillId="2" borderId="0" xfId="0" applyFont="1" applyFill="1"/>
    <xf numFmtId="0" fontId="7" fillId="2" borderId="0" xfId="0" applyFont="1" applyFill="1" applyAlignment="1">
      <alignment horizontal="left"/>
    </xf>
    <xf numFmtId="0" fontId="2" fillId="2" borderId="0" xfId="0" applyFont="1" applyFill="1"/>
    <xf numFmtId="0" fontId="8" fillId="0" borderId="0" xfId="1" applyFont="1"/>
    <xf numFmtId="0" fontId="9" fillId="0" borderId="0" xfId="0" applyFont="1"/>
    <xf numFmtId="0" fontId="7" fillId="2" borderId="0" xfId="0" applyFont="1" applyFill="1"/>
    <xf numFmtId="0" fontId="1" fillId="5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3" borderId="2" xfId="0" applyFont="1" applyFill="1" applyBorder="1" applyAlignment="1">
      <alignment horizontal="center" vertical="top" wrapText="1"/>
    </xf>
    <xf numFmtId="0" fontId="10" fillId="4" borderId="2" xfId="0" applyFont="1" applyFill="1" applyBorder="1" applyAlignment="1">
      <alignment horizontal="center" vertical="top" wrapText="1"/>
    </xf>
    <xf numFmtId="0" fontId="10" fillId="5" borderId="2" xfId="0" applyFont="1" applyFill="1" applyBorder="1" applyAlignment="1">
      <alignment horizontal="center" vertical="top" wrapText="1"/>
    </xf>
    <xf numFmtId="0" fontId="10" fillId="6" borderId="2" xfId="0" applyFont="1" applyFill="1" applyBorder="1" applyAlignment="1">
      <alignment horizontal="center" vertical="top" wrapText="1"/>
    </xf>
    <xf numFmtId="0" fontId="10" fillId="7" borderId="2" xfId="0" applyFont="1" applyFill="1" applyBorder="1" applyAlignment="1">
      <alignment horizontal="center" vertical="top" wrapText="1"/>
    </xf>
    <xf numFmtId="0" fontId="10" fillId="8" borderId="2" xfId="0" applyFont="1" applyFill="1" applyBorder="1" applyAlignment="1">
      <alignment horizontal="center" vertical="top" wrapText="1"/>
    </xf>
    <xf numFmtId="0" fontId="10" fillId="9" borderId="2" xfId="0" applyFont="1" applyFill="1" applyBorder="1" applyAlignment="1">
      <alignment horizontal="center" vertical="top" wrapText="1"/>
    </xf>
    <xf numFmtId="0" fontId="10" fillId="10" borderId="2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0" fillId="3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49" fontId="4" fillId="0" borderId="0" xfId="0" applyNumberFormat="1" applyFont="1"/>
    <xf numFmtId="0" fontId="8" fillId="0" borderId="0" xfId="1" applyFont="1" applyBorder="1"/>
    <xf numFmtId="165" fontId="9" fillId="0" borderId="0" xfId="0" applyNumberFormat="1" applyFont="1"/>
    <xf numFmtId="9" fontId="5" fillId="0" borderId="0" xfId="0" applyNumberFormat="1" applyFont="1"/>
    <xf numFmtId="2" fontId="5" fillId="0" borderId="0" xfId="0" applyNumberFormat="1" applyFont="1"/>
    <xf numFmtId="166" fontId="5" fillId="0" borderId="0" xfId="0" applyNumberFormat="1" applyFont="1"/>
    <xf numFmtId="0" fontId="11" fillId="0" borderId="0" xfId="0" applyFont="1"/>
    <xf numFmtId="1" fontId="5" fillId="0" borderId="0" xfId="0" applyNumberFormat="1" applyFont="1"/>
    <xf numFmtId="0" fontId="12" fillId="0" borderId="0" xfId="0" applyFont="1" applyAlignment="1">
      <alignment vertical="center" wrapText="1"/>
    </xf>
    <xf numFmtId="167" fontId="9" fillId="0" borderId="0" xfId="0" applyNumberFormat="1" applyFont="1"/>
    <xf numFmtId="2" fontId="9" fillId="0" borderId="0" xfId="0" applyNumberFormat="1" applyFont="1"/>
    <xf numFmtId="165" fontId="13" fillId="0" borderId="0" xfId="0" applyNumberFormat="1" applyFont="1"/>
    <xf numFmtId="17" fontId="5" fillId="0" borderId="0" xfId="0" applyNumberFormat="1" applyFont="1"/>
    <xf numFmtId="0" fontId="5" fillId="0" borderId="0" xfId="0" applyFont="1" applyAlignment="1">
      <alignment wrapText="1"/>
    </xf>
    <xf numFmtId="0" fontId="3" fillId="0" borderId="0" xfId="1" applyBorder="1"/>
    <xf numFmtId="2" fontId="13" fillId="0" borderId="0" xfId="0" applyNumberFormat="1" applyFont="1"/>
    <xf numFmtId="168" fontId="5" fillId="0" borderId="0" xfId="0" applyNumberFormat="1" applyFont="1"/>
    <xf numFmtId="10" fontId="5" fillId="0" borderId="0" xfId="0" applyNumberFormat="1" applyFont="1"/>
    <xf numFmtId="0" fontId="14" fillId="0" borderId="0" xfId="0" applyFont="1" applyAlignment="1">
      <alignment wrapText="1"/>
    </xf>
    <xf numFmtId="0" fontId="3" fillId="0" borderId="0" xfId="1" applyFill="1" applyBorder="1"/>
    <xf numFmtId="1" fontId="9" fillId="0" borderId="0" xfId="0" applyNumberFormat="1" applyFont="1"/>
    <xf numFmtId="0" fontId="13" fillId="0" borderId="0" xfId="0" applyFont="1"/>
    <xf numFmtId="167" fontId="13" fillId="0" borderId="0" xfId="0" applyNumberFormat="1" applyFont="1"/>
    <xf numFmtId="1" fontId="0" fillId="0" borderId="0" xfId="0" applyNumberFormat="1"/>
    <xf numFmtId="1" fontId="13" fillId="0" borderId="0" xfId="0" applyNumberFormat="1" applyFont="1"/>
    <xf numFmtId="169" fontId="5" fillId="0" borderId="0" xfId="0" applyNumberFormat="1" applyFont="1"/>
    <xf numFmtId="167" fontId="5" fillId="0" borderId="0" xfId="0" applyNumberFormat="1" applyFont="1"/>
    <xf numFmtId="10" fontId="0" fillId="0" borderId="0" xfId="0" applyNumberFormat="1"/>
    <xf numFmtId="49" fontId="1" fillId="0" borderId="0" xfId="0" applyNumberFormat="1" applyFont="1"/>
    <xf numFmtId="9" fontId="0" fillId="0" borderId="0" xfId="0" applyNumberFormat="1"/>
    <xf numFmtId="168" fontId="0" fillId="0" borderId="0" xfId="0" applyNumberFormat="1"/>
    <xf numFmtId="0" fontId="5" fillId="0" borderId="0" xfId="0" applyFont="1" applyAlignment="1">
      <alignment horizontal="left" wrapText="1"/>
    </xf>
    <xf numFmtId="49" fontId="10" fillId="0" borderId="0" xfId="0" applyNumberFormat="1" applyFont="1"/>
    <xf numFmtId="1" fontId="15" fillId="0" borderId="0" xfId="0" applyNumberFormat="1" applyFont="1"/>
    <xf numFmtId="0" fontId="16" fillId="0" borderId="0" xfId="1" applyFont="1" applyBorder="1"/>
    <xf numFmtId="169" fontId="13" fillId="0" borderId="0" xfId="0" applyNumberFormat="1" applyFont="1"/>
    <xf numFmtId="0" fontId="17" fillId="0" borderId="0" xfId="0" applyFont="1"/>
    <xf numFmtId="9" fontId="13" fillId="0" borderId="0" xfId="0" applyNumberFormat="1" applyFont="1"/>
    <xf numFmtId="170" fontId="13" fillId="0" borderId="0" xfId="0" applyNumberFormat="1" applyFont="1"/>
    <xf numFmtId="0" fontId="18" fillId="0" borderId="0" xfId="0" applyFont="1"/>
    <xf numFmtId="168" fontId="13" fillId="0" borderId="0" xfId="0" applyNumberFormat="1" applyFont="1"/>
    <xf numFmtId="0" fontId="19" fillId="0" borderId="0" xfId="0" applyFont="1"/>
    <xf numFmtId="0" fontId="20" fillId="0" borderId="0" xfId="1" applyFont="1" applyBorder="1"/>
    <xf numFmtId="165" fontId="18" fillId="0" borderId="0" xfId="0" applyNumberFormat="1" applyFont="1"/>
    <xf numFmtId="1" fontId="22" fillId="0" borderId="0" xfId="0" applyNumberFormat="1" applyFont="1"/>
    <xf numFmtId="10" fontId="13" fillId="0" borderId="0" xfId="0" applyNumberFormat="1" applyFont="1"/>
    <xf numFmtId="2" fontId="22" fillId="0" borderId="0" xfId="0" applyNumberFormat="1" applyFont="1"/>
    <xf numFmtId="165" fontId="22" fillId="0" borderId="0" xfId="0" applyNumberFormat="1" applyFont="1"/>
    <xf numFmtId="0" fontId="22" fillId="0" borderId="0" xfId="0" applyFont="1"/>
    <xf numFmtId="167" fontId="22" fillId="0" borderId="0" xfId="0" applyNumberFormat="1" applyFont="1"/>
    <xf numFmtId="0" fontId="24" fillId="0" borderId="0" xfId="0" applyFont="1" applyAlignment="1">
      <alignment vertical="center" wrapText="1"/>
    </xf>
    <xf numFmtId="0" fontId="10" fillId="0" borderId="0" xfId="0" applyFont="1"/>
    <xf numFmtId="171" fontId="22" fillId="0" borderId="0" xfId="0" applyNumberFormat="1" applyFont="1"/>
    <xf numFmtId="166" fontId="13" fillId="0" borderId="0" xfId="0" applyNumberFormat="1" applyFont="1"/>
    <xf numFmtId="17" fontId="13" fillId="0" borderId="0" xfId="0" applyNumberFormat="1" applyFont="1"/>
    <xf numFmtId="2" fontId="21" fillId="0" borderId="0" xfId="0" applyNumberFormat="1" applyFont="1"/>
    <xf numFmtId="1" fontId="21" fillId="0" borderId="0" xfId="0" applyNumberFormat="1" applyFont="1"/>
    <xf numFmtId="2" fontId="18" fillId="0" borderId="0" xfId="0" applyNumberFormat="1" applyFont="1"/>
    <xf numFmtId="20" fontId="13" fillId="0" borderId="0" xfId="0" applyNumberFormat="1" applyFont="1"/>
    <xf numFmtId="0" fontId="8" fillId="0" borderId="0" xfId="1" applyFont="1" applyFill="1" applyBorder="1"/>
    <xf numFmtId="166" fontId="5" fillId="0" borderId="0" xfId="0" applyNumberFormat="1" applyFont="1" applyAlignment="1">
      <alignment horizontal="left" indent="1"/>
    </xf>
    <xf numFmtId="164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2" fontId="13" fillId="0" borderId="0" xfId="0" applyNumberFormat="1" applyFont="1" applyAlignment="1">
      <alignment horizontal="center"/>
    </xf>
    <xf numFmtId="1" fontId="9" fillId="0" borderId="0" xfId="0" applyNumberFormat="1" applyFont="1" applyAlignment="1">
      <alignment wrapText="1"/>
    </xf>
    <xf numFmtId="9" fontId="5" fillId="0" borderId="0" xfId="2" applyFont="1"/>
    <xf numFmtId="0" fontId="1" fillId="3" borderId="1" xfId="0" applyFont="1" applyFill="1" applyBorder="1" applyAlignment="1">
      <alignment horizontal="center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3" fillId="0" borderId="0" xfId="1" applyProtection="1">
      <protection locked="0"/>
    </xf>
    <xf numFmtId="2" fontId="5" fillId="0" borderId="0" xfId="0" applyNumberFormat="1" applyFont="1" applyProtection="1">
      <protection locked="0"/>
    </xf>
    <xf numFmtId="0" fontId="5" fillId="0" borderId="0" xfId="0" applyFont="1" applyProtection="1">
      <protection locked="0"/>
    </xf>
    <xf numFmtId="165" fontId="13" fillId="0" borderId="0" xfId="0" applyNumberFormat="1" applyFont="1" applyProtection="1">
      <protection locked="0"/>
    </xf>
    <xf numFmtId="9" fontId="5" fillId="0" borderId="0" xfId="0" applyNumberFormat="1" applyFont="1" applyProtection="1">
      <protection locked="0"/>
    </xf>
    <xf numFmtId="169" fontId="5" fillId="0" borderId="0" xfId="0" applyNumberFormat="1" applyFont="1" applyProtection="1">
      <protection locked="0"/>
    </xf>
    <xf numFmtId="166" fontId="5" fillId="0" borderId="0" xfId="0" applyNumberFormat="1" applyFont="1" applyProtection="1">
      <protection locked="0"/>
    </xf>
    <xf numFmtId="1" fontId="5" fillId="0" borderId="0" xfId="0" applyNumberFormat="1" applyFont="1" applyProtection="1">
      <protection locked="0"/>
    </xf>
    <xf numFmtId="168" fontId="5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65" fontId="5" fillId="0" borderId="0" xfId="0" applyNumberFormat="1" applyFont="1" applyProtection="1">
      <protection locked="0"/>
    </xf>
    <xf numFmtId="0" fontId="4" fillId="0" borderId="0" xfId="0" applyFont="1" applyAlignment="1">
      <alignment horizontal="left"/>
    </xf>
    <xf numFmtId="2" fontId="4" fillId="0" borderId="0" xfId="0" applyNumberFormat="1" applyFont="1"/>
    <xf numFmtId="165" fontId="5" fillId="0" borderId="0" xfId="0" applyNumberFormat="1" applyFont="1"/>
    <xf numFmtId="2" fontId="0" fillId="0" borderId="0" xfId="0" applyNumberFormat="1"/>
    <xf numFmtId="2" fontId="2" fillId="2" borderId="0" xfId="0" applyNumberFormat="1" applyFont="1" applyFill="1"/>
    <xf numFmtId="2" fontId="10" fillId="5" borderId="2" xfId="0" applyNumberFormat="1" applyFont="1" applyFill="1" applyBorder="1" applyAlignment="1">
      <alignment horizontal="center" vertical="top" wrapText="1"/>
    </xf>
    <xf numFmtId="2" fontId="10" fillId="5" borderId="0" xfId="0" applyNumberFormat="1" applyFont="1" applyFill="1" applyAlignment="1">
      <alignment horizontal="center"/>
    </xf>
    <xf numFmtId="2" fontId="10" fillId="5" borderId="1" xfId="0" applyNumberFormat="1" applyFont="1" applyFill="1" applyBorder="1" applyAlignment="1">
      <alignment horizontal="center"/>
    </xf>
    <xf numFmtId="2" fontId="19" fillId="0" borderId="0" xfId="0" applyNumberFormat="1" applyFont="1"/>
    <xf numFmtId="2" fontId="23" fillId="0" borderId="0" xfId="0" applyNumberFormat="1" applyFont="1"/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0" xfId="0" applyFont="1"/>
    <xf numFmtId="0" fontId="4" fillId="3" borderId="2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0" xfId="1" applyFont="1" applyBorder="1"/>
    <xf numFmtId="0" fontId="0" fillId="0" borderId="0" xfId="1" applyFont="1" applyBorder="1"/>
    <xf numFmtId="0" fontId="0" fillId="0" borderId="0" xfId="1" applyFont="1" applyFill="1" applyBorder="1"/>
    <xf numFmtId="0" fontId="0" fillId="0" borderId="0" xfId="1" applyFont="1"/>
    <xf numFmtId="0" fontId="0" fillId="0" borderId="0" xfId="1" applyFont="1" applyProtection="1">
      <protection locked="0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o.fuelcellenergy.com/hubfs/solid-oxide-electrolyzer-spec-sheet.pdf" TargetMode="External"/><Relationship Id="rId21" Type="http://schemas.openxmlformats.org/officeDocument/2006/relationships/hyperlink" Target="https://mart.cummins.com/imagelibrary/data/assetfiles/0070333.pdf" TargetMode="External"/><Relationship Id="rId42" Type="http://schemas.openxmlformats.org/officeDocument/2006/relationships/hyperlink" Target="https://www.greenhydrogensystems.com/hubfs/Consolidated_Tech_Specs_14_04_23.pdf" TargetMode="External"/><Relationship Id="rId63" Type="http://schemas.openxmlformats.org/officeDocument/2006/relationships/hyperlink" Target="https://metacon.se/integrated-type-h2-generator/" TargetMode="External"/><Relationship Id="rId84" Type="http://schemas.openxmlformats.org/officeDocument/2006/relationships/hyperlink" Target="https://display.nelhydrogen.com/product/atmospheric-alkaline-electrolyser-a-series/" TargetMode="External"/><Relationship Id="rId138" Type="http://schemas.openxmlformats.org/officeDocument/2006/relationships/hyperlink" Target="https://en.kylin-tech.com/products_detail1/8.html" TargetMode="External"/><Relationship Id="rId159" Type="http://schemas.openxmlformats.org/officeDocument/2006/relationships/hyperlink" Target="http://en-lvmeng.tw.ldyjz.com/GHM-Series-H2-Generator-pd535223168.html" TargetMode="External"/><Relationship Id="rId170" Type="http://schemas.openxmlformats.org/officeDocument/2006/relationships/hyperlink" Target="http://www.ahes.kr/eng/product/tech.html" TargetMode="External"/><Relationship Id="rId191" Type="http://schemas.openxmlformats.org/officeDocument/2006/relationships/hyperlink" Target="https://www.questone.com/en/products/detail/mhp-series/mhp-electrolyser/" TargetMode="External"/><Relationship Id="rId205" Type="http://schemas.openxmlformats.org/officeDocument/2006/relationships/hyperlink" Target="https://www.arco.tech/_files/ugd/21acde_cd72a7e7377b43c4932ab5d208fd9633.pdf" TargetMode="External"/><Relationship Id="rId107" Type="http://schemas.openxmlformats.org/officeDocument/2006/relationships/hyperlink" Target="https://www.hydrolite-h2.com/electrolyzer-hydrogen-generator-hydrolite/" TargetMode="External"/><Relationship Id="rId11" Type="http://schemas.openxmlformats.org/officeDocument/2006/relationships/hyperlink" Target="https://nelhydrogen.com/resources/m-series-containerized-pem-electrolysers/" TargetMode="External"/><Relationship Id="rId32" Type="http://schemas.openxmlformats.org/officeDocument/2006/relationships/hyperlink" Target="https://itm-power.com/products/hgas1sp" TargetMode="External"/><Relationship Id="rId53" Type="http://schemas.openxmlformats.org/officeDocument/2006/relationships/hyperlink" Target="https://cellar-c2.services.clever-cloud.com/com-mcphy/uploads/2023/06/2023_McLyzer-Product-Line-EN.pdf" TargetMode="External"/><Relationship Id="rId74" Type="http://schemas.openxmlformats.org/officeDocument/2006/relationships/hyperlink" Target="https://h2greem.com/fichas/lpgreem.pdf" TargetMode="External"/><Relationship Id="rId128" Type="http://schemas.openxmlformats.org/officeDocument/2006/relationships/hyperlink" Target="https://www.sinohyenergy.com/alkaline-water-electrolysis/" TargetMode="External"/><Relationship Id="rId149" Type="http://schemas.openxmlformats.org/officeDocument/2006/relationships/hyperlink" Target="https://www.shuangliangglobal.com/product/Alkaline-Water-Electrolyzer" TargetMode="External"/><Relationship Id="rId5" Type="http://schemas.openxmlformats.org/officeDocument/2006/relationships/hyperlink" Target="https://nelhydrogen.com/resources/h-series-proton-pem-electrolysers/" TargetMode="External"/><Relationship Id="rId95" Type="http://schemas.openxmlformats.org/officeDocument/2006/relationships/hyperlink" Target="https://static.longi.com/LON_Gi_Hydrogen_Brochure_EN_22_06_08_34787fd622.pdf" TargetMode="External"/><Relationship Id="rId160" Type="http://schemas.openxmlformats.org/officeDocument/2006/relationships/hyperlink" Target="http://en-lvmeng.tw.ldyjz.com/GHS-Series-H2-Generator-pd545223168.html" TargetMode="External"/><Relationship Id="rId181" Type="http://schemas.openxmlformats.org/officeDocument/2006/relationships/hyperlink" Target="https://www.hygreenenergy.com/electrolyzers/pem-electrolyzers/" TargetMode="External"/><Relationship Id="rId216" Type="http://schemas.openxmlformats.org/officeDocument/2006/relationships/hyperlink" Target="http://english.sinap.cas.cn/Highlights/202303/t20230328_328814.html" TargetMode="External"/><Relationship Id="rId22" Type="http://schemas.openxmlformats.org/officeDocument/2006/relationships/hyperlink" Target="https://mart.cummins.com/imagelibrary/data/assetfiles/0070333.pdf" TargetMode="External"/><Relationship Id="rId43" Type="http://schemas.openxmlformats.org/officeDocument/2006/relationships/hyperlink" Target="https://www.bloomenergy.com/wp-content/uploads/bloom-energy-electrolyzer-datasheet-december-2023.pdf" TargetMode="External"/><Relationship Id="rId64" Type="http://schemas.openxmlformats.org/officeDocument/2006/relationships/hyperlink" Target="https://handbook.enapter.com/electrolyser/el41/downloads/Enapter_Datasheet_EL41_EN.pdf" TargetMode="External"/><Relationship Id="rId118" Type="http://schemas.openxmlformats.org/officeDocument/2006/relationships/hyperlink" Target="https://convion.fi/wp/wp-content/uploads/2023/09/Convion-C250e-datasheet.pdf" TargetMode="External"/><Relationship Id="rId139" Type="http://schemas.openxmlformats.org/officeDocument/2006/relationships/hyperlink" Target="https://en.kylin-tech.com/products_detail1/9.html" TargetMode="External"/><Relationship Id="rId85" Type="http://schemas.openxmlformats.org/officeDocument/2006/relationships/hyperlink" Target="https://display.nelhydrogen.com/product/atmospheric-alkaline-electrolyser-a-series/" TargetMode="External"/><Relationship Id="rId150" Type="http://schemas.openxmlformats.org/officeDocument/2006/relationships/hyperlink" Target="https://www.shuangliangglobal.com/product/Alkaline-Water-Electrolyzer" TargetMode="External"/><Relationship Id="rId171" Type="http://schemas.openxmlformats.org/officeDocument/2006/relationships/hyperlink" Target="http://www.ahes.kr/eng/product/tech.html" TargetMode="External"/><Relationship Id="rId192" Type="http://schemas.openxmlformats.org/officeDocument/2006/relationships/hyperlink" Target="https://www.questone.com/en/products/detail/quest-one-pem-electrolyzer-me450/me450/" TargetMode="External"/><Relationship Id="rId206" Type="http://schemas.openxmlformats.org/officeDocument/2006/relationships/hyperlink" Target="https://www.arco.tech/_files/ugd/21acde_cd72a7e7377b43c4932ab5d208fd9633.pdf" TargetMode="External"/><Relationship Id="rId12" Type="http://schemas.openxmlformats.org/officeDocument/2006/relationships/hyperlink" Target="https://www.cummins.com/sites/default/files/2021-08/cummins-hylyzer-250-specsheet.pdf" TargetMode="External"/><Relationship Id="rId33" Type="http://schemas.openxmlformats.org/officeDocument/2006/relationships/hyperlink" Target="https://itm-power.com/products/3-mep-cube" TargetMode="External"/><Relationship Id="rId108" Type="http://schemas.openxmlformats.org/officeDocument/2006/relationships/hyperlink" Target="..\Hystar%20-%20Main%20brochure%20A5%20August%202024.pdf" TargetMode="External"/><Relationship Id="rId129" Type="http://schemas.openxmlformats.org/officeDocument/2006/relationships/hyperlink" Target="https://www.sinohyenergy.com/pem-electrolysis/" TargetMode="External"/><Relationship Id="rId54" Type="http://schemas.openxmlformats.org/officeDocument/2006/relationships/hyperlink" Target="https://www.longi.com/en/products/hydrogen/lhy-a1000/" TargetMode="External"/><Relationship Id="rId75" Type="http://schemas.openxmlformats.org/officeDocument/2006/relationships/hyperlink" Target="https://h2greem.com/fichas/vhpgreem.pdf" TargetMode="External"/><Relationship Id="rId96" Type="http://schemas.openxmlformats.org/officeDocument/2006/relationships/hyperlink" Target="https://static.longi.com/LON_Gi_Hydrogen_Brochure_EN_22_06_08_34787fd622.pdf" TargetMode="External"/><Relationship Id="rId140" Type="http://schemas.openxmlformats.org/officeDocument/2006/relationships/hyperlink" Target="https://en.kylin-tech.com/products_detail1/9.html" TargetMode="External"/><Relationship Id="rId161" Type="http://schemas.openxmlformats.org/officeDocument/2006/relationships/hyperlink" Target="http://en-lvmeng.tw.ldyjz.com/GHS-Series-H2-Generator-pd545223168.html" TargetMode="External"/><Relationship Id="rId182" Type="http://schemas.openxmlformats.org/officeDocument/2006/relationships/hyperlink" Target="https://www.hygreenenergy.com/electrolyzers/aem-electrolyzers/" TargetMode="External"/><Relationship Id="rId217" Type="http://schemas.openxmlformats.org/officeDocument/2006/relationships/hyperlink" Target="https://www.erreduegas.it/wp-content/uploads/Brochure_Sirio_REV1.pdf" TargetMode="External"/><Relationship Id="rId6" Type="http://schemas.openxmlformats.org/officeDocument/2006/relationships/hyperlink" Target="https://nelhydrogen.com/resources/h-series-proton-pem-electrolysers/" TargetMode="External"/><Relationship Id="rId23" Type="http://schemas.openxmlformats.org/officeDocument/2006/relationships/hyperlink" Target="https://mart.cummins.com/imagelibrary/data/assetfiles/0070333.pdf" TargetMode="External"/><Relationship Id="rId119" Type="http://schemas.openxmlformats.org/officeDocument/2006/relationships/hyperlink" Target="https://elcogen.com/products/solid-oxide-stacks-for-electrolyser-systems/" TargetMode="External"/><Relationship Id="rId44" Type="http://schemas.openxmlformats.org/officeDocument/2006/relationships/hyperlink" Target="https://stargatehydrogen.com/wp-content/uploads/2023/12/Spec_sheet_Electrolyser_stargate_hydrogen-2024.pdf" TargetMode="External"/><Relationship Id="rId65" Type="http://schemas.openxmlformats.org/officeDocument/2006/relationships/hyperlink" Target="https://handbook.enapter.com/electrolyser/aem-flex120/downloads/Enapter_Datasheet_AEM-Flex-120_EN.pdf" TargetMode="External"/><Relationship Id="rId86" Type="http://schemas.openxmlformats.org/officeDocument/2006/relationships/hyperlink" Target="https://www.bloomenergy.com/wp-content/uploads/bloom-energy-electrolyzer-datasheet-december-2023.pdf" TargetMode="External"/><Relationship Id="rId130" Type="http://schemas.openxmlformats.org/officeDocument/2006/relationships/hyperlink" Target="https://www.sinohyenergy.com/pem-electrolysis/" TargetMode="External"/><Relationship Id="rId151" Type="http://schemas.openxmlformats.org/officeDocument/2006/relationships/hyperlink" Target="http://www.cnthe.cn/en/product_detail-35-43-24.html" TargetMode="External"/><Relationship Id="rId172" Type="http://schemas.openxmlformats.org/officeDocument/2006/relationships/hyperlink" Target="https://residentialhydrogenpower.com/product/model-100-and-200-shfa/" TargetMode="External"/><Relationship Id="rId193" Type="http://schemas.openxmlformats.org/officeDocument/2006/relationships/hyperlink" Target="https://vivo.imi-critical.com/pem-electrolyser/" TargetMode="External"/><Relationship Id="rId207" Type="http://schemas.openxmlformats.org/officeDocument/2006/relationships/hyperlink" Target="https://hyter.it/en/our-solutions/" TargetMode="External"/><Relationship Id="rId13" Type="http://schemas.openxmlformats.org/officeDocument/2006/relationships/hyperlink" Target="https://www.cummins.com/sites/default/files/2021-08/cummins-hylyzer-250-specsheet.pdf" TargetMode="External"/><Relationship Id="rId109" Type="http://schemas.openxmlformats.org/officeDocument/2006/relationships/hyperlink" Target="../Hystar%20-%20Main%20brochure%20A5%20August%202024.pdf" TargetMode="External"/><Relationship Id="rId34" Type="http://schemas.openxmlformats.org/officeDocument/2006/relationships/hyperlink" Target="https://content.cdntwrk.com/files/aT0xNDY1MjUxJnY9MiZpc3N1ZU5hbWU9cGx1Zy1leC00MjVkLWVsZWN0cm9seXplci1lbmdsaXNoJmNtZD1kJnNpZz0wMzliODlkZGQwNjdmZjJhOTNlZWRlZTY1NDdmMTY0OQ%253D%253D" TargetMode="External"/><Relationship Id="rId55" Type="http://schemas.openxmlformats.org/officeDocument/2006/relationships/hyperlink" Target="https://www.longi.com/en/products/hydrogen/lhy-a1000/" TargetMode="External"/><Relationship Id="rId76" Type="http://schemas.openxmlformats.org/officeDocument/2006/relationships/hyperlink" Target="https://www.cph2.com/our-technology/hydrogen-as-energy/" TargetMode="External"/><Relationship Id="rId97" Type="http://schemas.openxmlformats.org/officeDocument/2006/relationships/hyperlink" Target="https://static.longi.com/LON_Gi_Hydrogen_Products_and_Solution_Brochure_EN_4544d65a2e.pdf" TargetMode="External"/><Relationship Id="rId120" Type="http://schemas.openxmlformats.org/officeDocument/2006/relationships/hyperlink" Target="https://elcogen.com/products/solid-oxide-stacks-for-electrolyser-systems/" TargetMode="External"/><Relationship Id="rId141" Type="http://schemas.openxmlformats.org/officeDocument/2006/relationships/hyperlink" Target="https://en.kylin-tech.com/products_detail1/16.html" TargetMode="External"/><Relationship Id="rId7" Type="http://schemas.openxmlformats.org/officeDocument/2006/relationships/hyperlink" Target="https://nelhydrogen.com/resources/c-series-spec-sheet/" TargetMode="External"/><Relationship Id="rId162" Type="http://schemas.openxmlformats.org/officeDocument/2006/relationships/hyperlink" Target="https://en.aihytech.com/products_details/11.html" TargetMode="External"/><Relationship Id="rId183" Type="http://schemas.openxmlformats.org/officeDocument/2006/relationships/hyperlink" Target="https://www.nordex-online.com/nordex-electrolyzers/products/" TargetMode="External"/><Relationship Id="rId218" Type="http://schemas.openxmlformats.org/officeDocument/2006/relationships/hyperlink" Target="https://www.erreduegas.it/wp-content/uploads/Brochure_Sirio_REV1.pdf" TargetMode="External"/><Relationship Id="rId24" Type="http://schemas.openxmlformats.org/officeDocument/2006/relationships/hyperlink" Target="https://www.topsoe.com/hubfs/DOWNLOADS/DOWNLOADS%20-%20Brochures/SOEC%20high-temperature%20electrolysis%20factsheet.pdf?hsCtaTracking=dc9b7bfd-4709-4e7e-acb5-39e76e956078%7C20d976e0-d884-4c00-9fcf-3af3d0850476" TargetMode="External"/><Relationship Id="rId45" Type="http://schemas.openxmlformats.org/officeDocument/2006/relationships/hyperlink" Target="https://www.bosch-hydrogen-energy.com/media/electrolyser_technology/electrolysis-twopager-en.pdf" TargetMode="External"/><Relationship Id="rId66" Type="http://schemas.openxmlformats.org/officeDocument/2006/relationships/hyperlink" Target="https://handbook.enapter.com/electrolyser/aem-flex120/downloads/Enapter_Datasheet_AEM-Flex-120_EN.pdf" TargetMode="External"/><Relationship Id="rId87" Type="http://schemas.openxmlformats.org/officeDocument/2006/relationships/hyperlink" Target="https://www.bloomenergy.com/wp-content/uploads/bloom-energy-electrolyzer-datasheet-december-2023.pdf" TargetMode="External"/><Relationship Id="rId110" Type="http://schemas.openxmlformats.org/officeDocument/2006/relationships/hyperlink" Target="https://elogenh2.com/wp-content/uploads/2024/01/Product-Overview-Elogen-January-2024.pdf" TargetMode="External"/><Relationship Id="rId131" Type="http://schemas.openxmlformats.org/officeDocument/2006/relationships/hyperlink" Target="https://en.kylin-tech.com/products_detail_3/12.html" TargetMode="External"/><Relationship Id="rId152" Type="http://schemas.openxmlformats.org/officeDocument/2006/relationships/hyperlink" Target="http://www.cnthe.cn/en/product_detail-35-43-25.html" TargetMode="External"/><Relationship Id="rId173" Type="http://schemas.openxmlformats.org/officeDocument/2006/relationships/hyperlink" Target="https://residentialhydrogenpower.com/product/model-100-and-200-shfa/" TargetMode="External"/><Relationship Id="rId194" Type="http://schemas.openxmlformats.org/officeDocument/2006/relationships/hyperlink" Target="https://vivo.imi-critical.com/pem-electrolyser/" TargetMode="External"/><Relationship Id="rId208" Type="http://schemas.openxmlformats.org/officeDocument/2006/relationships/hyperlink" Target="https://h2next.in/products/" TargetMode="External"/><Relationship Id="rId14" Type="http://schemas.openxmlformats.org/officeDocument/2006/relationships/hyperlink" Target="https://mart.cummins.com/imagelibrary/data/assetfiles/0070330.pdf" TargetMode="External"/><Relationship Id="rId35" Type="http://schemas.openxmlformats.org/officeDocument/2006/relationships/hyperlink" Target="https://content.cdntwrk.com/files/aT0xNDY1MjUyJnY9MSZpc3N1ZU5hbWU9cGx1Zy1leC0yMTI1ZC1lbGVjdHJvbHl6ZXItZW5nbGlzaCZjbWQ9ZCZzaWc9ZDA3NmE4MWZmNzliMzc4YjM2YmY5NWNkM2JiZTBiZTM%253D" TargetMode="External"/><Relationship Id="rId56" Type="http://schemas.openxmlformats.org/officeDocument/2006/relationships/hyperlink" Target="https://www.longi.com/en/products/hydrogen/lhy-a1000/" TargetMode="External"/><Relationship Id="rId77" Type="http://schemas.openxmlformats.org/officeDocument/2006/relationships/hyperlink" Target="https://go.fuelcellenergy.com/hubfs/solid-oxide-electrolyzer-spec-sheet.pdf" TargetMode="External"/><Relationship Id="rId100" Type="http://schemas.openxmlformats.org/officeDocument/2006/relationships/hyperlink" Target="http://www.peric718.com/Alkaline-Type-Hydrogen-G/r-85.html" TargetMode="External"/><Relationship Id="rId8" Type="http://schemas.openxmlformats.org/officeDocument/2006/relationships/hyperlink" Target="https://nelhydrogen.com/resources/c-series-spec-sheet/" TargetMode="External"/><Relationship Id="rId98" Type="http://schemas.openxmlformats.org/officeDocument/2006/relationships/hyperlink" Target="https://static.longi.com/LON_Gi_Hydrogen_Products_and_Solution_Brochure_EN_4544d65a2e.pdf" TargetMode="External"/><Relationship Id="rId121" Type="http://schemas.openxmlformats.org/officeDocument/2006/relationships/hyperlink" Target="https://kerionics.com/" TargetMode="External"/><Relationship Id="rId142" Type="http://schemas.openxmlformats.org/officeDocument/2006/relationships/hyperlink" Target="https://en.kylin-tech.com/products_detail1/16.html" TargetMode="External"/><Relationship Id="rId163" Type="http://schemas.openxmlformats.org/officeDocument/2006/relationships/hyperlink" Target="http://en.bahenergy.com/?pages_17/" TargetMode="External"/><Relationship Id="rId184" Type="http://schemas.openxmlformats.org/officeDocument/2006/relationships/hyperlink" Target="https://hydrogenpro.com/" TargetMode="External"/><Relationship Id="rId219" Type="http://schemas.openxmlformats.org/officeDocument/2006/relationships/hyperlink" Target="https://www.greenhydrogensystems.com/hubfs/Consolidated_Tech_Specs_14_04_23.pdf" TargetMode="External"/><Relationship Id="rId3" Type="http://schemas.openxmlformats.org/officeDocument/2006/relationships/hyperlink" Target="https://nelhydrogen.com/resources/s-series-proton-pem-electrolysers/" TargetMode="External"/><Relationship Id="rId214" Type="http://schemas.openxmlformats.org/officeDocument/2006/relationships/hyperlink" Target="https://www.gdcawolo.com/Pem-industry-hydrogen-production-" TargetMode="External"/><Relationship Id="rId25" Type="http://schemas.openxmlformats.org/officeDocument/2006/relationships/hyperlink" Target="https://www.science.org/doi/epdf/10.1126/science.aba6118?adobe_mc=MCMID%3D33114609626794729602082419283436936249%7CMCORGID%3D242B6472541199F70A4C98A6%2540AdobeOrg%7CTS%3D1671344990" TargetMode="External"/><Relationship Id="rId46" Type="http://schemas.openxmlformats.org/officeDocument/2006/relationships/hyperlink" Target="https://ak-green-solution.com/assets/pdf/brochure.pdf" TargetMode="External"/><Relationship Id="rId67" Type="http://schemas.openxmlformats.org/officeDocument/2006/relationships/hyperlink" Target="https://handbook.enapter.com/electrolyser/aem-flex120/downloads/Enapter_Datasheet_AEM-Flex-120_EN.pdf" TargetMode="External"/><Relationship Id="rId116" Type="http://schemas.openxmlformats.org/officeDocument/2006/relationships/hyperlink" Target="https://www.cph2.com/technology/" TargetMode="External"/><Relationship Id="rId137" Type="http://schemas.openxmlformats.org/officeDocument/2006/relationships/hyperlink" Target="https://en.kylin-tech.com/products_detail1/8.html" TargetMode="External"/><Relationship Id="rId158" Type="http://schemas.openxmlformats.org/officeDocument/2006/relationships/hyperlink" Target="http://en-lvmeng.tw.ldyjz.com/GHM-Series-H2-Generator-pd535223168.html" TargetMode="External"/><Relationship Id="rId20" Type="http://schemas.openxmlformats.org/officeDocument/2006/relationships/hyperlink" Target="https://www.cummins.com/sites/default/files/2021-08/cummins-hystat-100-specsheet.pdf" TargetMode="External"/><Relationship Id="rId41" Type="http://schemas.openxmlformats.org/officeDocument/2006/relationships/hyperlink" Target="https://www.greenhydrogensystems.com/hubfs/Consolidated_Tech_Specs_14_04_23.pdf" TargetMode="External"/><Relationship Id="rId62" Type="http://schemas.openxmlformats.org/officeDocument/2006/relationships/hyperlink" Target="https://metacon.se/containerized-type-h2-generator/" TargetMode="External"/><Relationship Id="rId83" Type="http://schemas.openxmlformats.org/officeDocument/2006/relationships/hyperlink" Target="https://display.nelhydrogen.com/product/atmospheric-alkaline-electrolyser-a-series/" TargetMode="External"/><Relationship Id="rId88" Type="http://schemas.openxmlformats.org/officeDocument/2006/relationships/hyperlink" Target="https://stargatehydrogen.com/wp-content/uploads/2023/12/Spec_sheet_Electrolyser_stargate_hydrogen-2024.pdf" TargetMode="External"/><Relationship Id="rId111" Type="http://schemas.openxmlformats.org/officeDocument/2006/relationships/hyperlink" Target="https://elogenh2.com/wp-content/uploads/2024/01/Product-Overview-Elogen-January-2024.pdf" TargetMode="External"/><Relationship Id="rId132" Type="http://schemas.openxmlformats.org/officeDocument/2006/relationships/hyperlink" Target="https://en.kylin-tech.com/products_detail_3/12.html" TargetMode="External"/><Relationship Id="rId153" Type="http://schemas.openxmlformats.org/officeDocument/2006/relationships/hyperlink" Target="http://www.cnthe.cn/en/product_detail-35-43-26.html" TargetMode="External"/><Relationship Id="rId174" Type="http://schemas.openxmlformats.org/officeDocument/2006/relationships/hyperlink" Target="https://residentialhydrogenpower.com/product/sfha-model-300/" TargetMode="External"/><Relationship Id="rId179" Type="http://schemas.openxmlformats.org/officeDocument/2006/relationships/hyperlink" Target="https://www.hygreenenergy.com/electrolyzers/alkaline/" TargetMode="External"/><Relationship Id="rId195" Type="http://schemas.openxmlformats.org/officeDocument/2006/relationships/hyperlink" Target="https://kyroshydrogensolutions.com/technology-decentralized-turnkey-hydrogen-solution/" TargetMode="External"/><Relationship Id="rId209" Type="http://schemas.openxmlformats.org/officeDocument/2006/relationships/hyperlink" Target="https://www.mhi.com/news/240425.html" TargetMode="External"/><Relationship Id="rId190" Type="http://schemas.openxmlformats.org/officeDocument/2006/relationships/hyperlink" Target="https://igas-energy.de/fileadmin/individual/igas-energy-de/editor/Broschueren/iGas_green_Elektrolyzer_E_170420.pdf" TargetMode="External"/><Relationship Id="rId204" Type="http://schemas.openxmlformats.org/officeDocument/2006/relationships/hyperlink" Target="https://yaaigreenenergy.com/product.html" TargetMode="External"/><Relationship Id="rId220" Type="http://schemas.openxmlformats.org/officeDocument/2006/relationships/hyperlink" Target="https://sunfire.de/en/products/pressurized-alkaline-electrolyzers-ael/" TargetMode="External"/><Relationship Id="rId225" Type="http://schemas.openxmlformats.org/officeDocument/2006/relationships/hyperlink" Target="https://en.aihytech.com/products_details/10.html" TargetMode="External"/><Relationship Id="rId15" Type="http://schemas.openxmlformats.org/officeDocument/2006/relationships/hyperlink" Target="https://mart.cummins.com/imagelibrary/data/assetfiles/0070330.pdf" TargetMode="External"/><Relationship Id="rId36" Type="http://schemas.openxmlformats.org/officeDocument/2006/relationships/hyperlink" Target="https://content.cdntwrk.com/files/aT0xNDY1MjUzJnY9MSZpc3N1ZU5hbWU9cGx1Zy1leC00MjUwZC1lbGVjdHJvbHl6ZXItZW5nbGlzaCZjbWQ9ZCZzaWc9MDQwZDkxZmE2MTBjOTJmNWVjOWVjNmRiNGQ0NmZiZGE%253D" TargetMode="External"/><Relationship Id="rId57" Type="http://schemas.openxmlformats.org/officeDocument/2006/relationships/hyperlink" Target="http://www.peric718.com/PEM-Type-Hydrogen-Genera/r-89.html" TargetMode="External"/><Relationship Id="rId106" Type="http://schemas.openxmlformats.org/officeDocument/2006/relationships/hyperlink" Target="https://handbook.enapter.com/electrolyser/aem_nexus/downloads/Enapter_Datasheet_AEM-Nexus-500.pdf" TargetMode="External"/><Relationship Id="rId127" Type="http://schemas.openxmlformats.org/officeDocument/2006/relationships/hyperlink" Target="https://www.sinohyenergy.com/alkaline-water-electrolysis/" TargetMode="External"/><Relationship Id="rId10" Type="http://schemas.openxmlformats.org/officeDocument/2006/relationships/hyperlink" Target="https://nelhydrogen.com/resources/m-series-containerized-pem-electrolysers/" TargetMode="External"/><Relationship Id="rId31" Type="http://schemas.openxmlformats.org/officeDocument/2006/relationships/hyperlink" Target="https://itm-power.com/products/hgas3sp" TargetMode="External"/><Relationship Id="rId52" Type="http://schemas.openxmlformats.org/officeDocument/2006/relationships/hyperlink" Target="https://cellar-c2.services.clever-cloud.com/com-mcphy/uploads/2023/06/2023_McLyzer-Product-Line-EN.pdf" TargetMode="External"/><Relationship Id="rId73" Type="http://schemas.openxmlformats.org/officeDocument/2006/relationships/hyperlink" Target="https://h2greem.com/fichas/hpgreem.pdf" TargetMode="External"/><Relationship Id="rId78" Type="http://schemas.openxmlformats.org/officeDocument/2006/relationships/hyperlink" Target="https://elcogen.com/products/solid-oxide-stacks-for-electrolyser-systems/" TargetMode="External"/><Relationship Id="rId94" Type="http://schemas.openxmlformats.org/officeDocument/2006/relationships/hyperlink" Target="https://cellar-c2.services.clever-cloud.com/com-mcphy/uploads/2023/06/2023_McLyzer-Product-Line-EN.pdf" TargetMode="External"/><Relationship Id="rId99" Type="http://schemas.openxmlformats.org/officeDocument/2006/relationships/hyperlink" Target="http://www.peric718.com/PEM-Type-Hydrogen-Genera/r-89.html" TargetMode="External"/><Relationship Id="rId101" Type="http://schemas.openxmlformats.org/officeDocument/2006/relationships/hyperlink" Target="http://www.peric718.com/Alkaline-Type-Hydrogen-G/r-86.html" TargetMode="External"/><Relationship Id="rId122" Type="http://schemas.openxmlformats.org/officeDocument/2006/relationships/hyperlink" Target="https://hymeth.com/fact-sheet" TargetMode="External"/><Relationship Id="rId143" Type="http://schemas.openxmlformats.org/officeDocument/2006/relationships/hyperlink" Target="https://en.kylin-tech.com/products_detail1/13.html" TargetMode="External"/><Relationship Id="rId148" Type="http://schemas.openxmlformats.org/officeDocument/2006/relationships/hyperlink" Target="http://www.kohodoh2.com/en/index_71.aspx" TargetMode="External"/><Relationship Id="rId164" Type="http://schemas.openxmlformats.org/officeDocument/2006/relationships/hyperlink" Target="http://en.bahenergy.com/?pages_17/" TargetMode="External"/><Relationship Id="rId169" Type="http://schemas.openxmlformats.org/officeDocument/2006/relationships/hyperlink" Target="https://www.stiesdal.com/wp-content/uploads/2024/05/Stiesdal-Hydrogen-two-page-brief-01.05.24.pdf" TargetMode="External"/><Relationship Id="rId185" Type="http://schemas.openxmlformats.org/officeDocument/2006/relationships/hyperlink" Target="https://oortenergy.com/our-products" TargetMode="External"/><Relationship Id="rId4" Type="http://schemas.openxmlformats.org/officeDocument/2006/relationships/hyperlink" Target="https://nelhydrogen.com/resources/h-series-proton-pem-electrolysers/" TargetMode="External"/><Relationship Id="rId9" Type="http://schemas.openxmlformats.org/officeDocument/2006/relationships/hyperlink" Target="https://nelhydrogen.com/resources/c-series-spec-sheet/" TargetMode="External"/><Relationship Id="rId180" Type="http://schemas.openxmlformats.org/officeDocument/2006/relationships/hyperlink" Target="https://www.hygreenenergy.com/electrolyzers/pem-electrolyzers/" TargetMode="External"/><Relationship Id="rId210" Type="http://schemas.openxmlformats.org/officeDocument/2006/relationships/hyperlink" Target="https://www.solydera.com/media/jmqn2z5a/solydera_flyer_electrolyzer-array-eca-04-2024_web.pdf" TargetMode="External"/><Relationship Id="rId215" Type="http://schemas.openxmlformats.org/officeDocument/2006/relationships/hyperlink" Target="http://en.cnfc.com/pro_detail/2.html" TargetMode="External"/><Relationship Id="rId26" Type="http://schemas.openxmlformats.org/officeDocument/2006/relationships/hyperlink" Target="https://greenhydrogen.dk/wp-content/uploads/2021/02/A-Series-brochure-120421.pdf" TargetMode="External"/><Relationship Id="rId47" Type="http://schemas.openxmlformats.org/officeDocument/2006/relationships/hyperlink" Target="https://ak-green-solution.com/assets/pdf/brochure.pdf" TargetMode="External"/><Relationship Id="rId68" Type="http://schemas.openxmlformats.org/officeDocument/2006/relationships/hyperlink" Target="https://www.hydrolite-h2.com/hydrolite-electrolyzer-hydrogen-generator/" TargetMode="External"/><Relationship Id="rId89" Type="http://schemas.openxmlformats.org/officeDocument/2006/relationships/hyperlink" Target="https://stargatehydrogen.com/wp-content/uploads/2023/12/Spec_sheet_Electrolyser_stargate_hydrogen-2024.pdf" TargetMode="External"/><Relationship Id="rId112" Type="http://schemas.openxmlformats.org/officeDocument/2006/relationships/hyperlink" Target="https://h2greem.com/fichas/labgreem.pdf" TargetMode="External"/><Relationship Id="rId133" Type="http://schemas.openxmlformats.org/officeDocument/2006/relationships/hyperlink" Target="https://en.kylin-tech.com/products_detail1/11.html" TargetMode="External"/><Relationship Id="rId154" Type="http://schemas.openxmlformats.org/officeDocument/2006/relationships/hyperlink" Target="http://www.cnthe.cn/en/product_detail-35-43-27.html" TargetMode="External"/><Relationship Id="rId175" Type="http://schemas.openxmlformats.org/officeDocument/2006/relationships/hyperlink" Target="https://residentialhydrogenpower.com/product/autoark-114/" TargetMode="External"/><Relationship Id="rId196" Type="http://schemas.openxmlformats.org/officeDocument/2006/relationships/hyperlink" Target="https://kyroshydrogensolutions.com/technology-decentralized-turnkey-hydrogen-solution/" TargetMode="External"/><Relationship Id="rId200" Type="http://schemas.openxmlformats.org/officeDocument/2006/relationships/hyperlink" Target="https://www.sungreenh2.com/product/10-20-nm3-hr-aem-electrolyzer" TargetMode="External"/><Relationship Id="rId16" Type="http://schemas.openxmlformats.org/officeDocument/2006/relationships/hyperlink" Target="https://www.cummins.com/sites/default/files/2021-08/cummins-hylyzer-1000-specsheet.pdf" TargetMode="External"/><Relationship Id="rId221" Type="http://schemas.openxmlformats.org/officeDocument/2006/relationships/hyperlink" Target="https://sunfire.de/en/products/sunfire-hylink-soec/" TargetMode="External"/><Relationship Id="rId37" Type="http://schemas.openxmlformats.org/officeDocument/2006/relationships/hyperlink" Target="https://nelhydrogen.com/wp-content/uploads/2020/03/Electrolysers-Brochure-Rev-D.pdf" TargetMode="External"/><Relationship Id="rId58" Type="http://schemas.openxmlformats.org/officeDocument/2006/relationships/hyperlink" Target="http://www.peric718.com/Alkaline-Type-Hydrogen-G/r-86.html" TargetMode="External"/><Relationship Id="rId79" Type="http://schemas.openxmlformats.org/officeDocument/2006/relationships/hyperlink" Target="https://kerionics.com/" TargetMode="External"/><Relationship Id="rId102" Type="http://schemas.openxmlformats.org/officeDocument/2006/relationships/hyperlink" Target="http://www.peric718.com/Alkaline-Type-Hydrogen-G/r-87.html" TargetMode="External"/><Relationship Id="rId123" Type="http://schemas.openxmlformats.org/officeDocument/2006/relationships/hyperlink" Target="https://info-support.sungrowpower.com/application/pdf/2023/05/18/PEM%20water%20electrolyser.pdf" TargetMode="External"/><Relationship Id="rId144" Type="http://schemas.openxmlformats.org/officeDocument/2006/relationships/hyperlink" Target="https://en.kylin-tech.com/products_detail1/14.html" TargetMode="External"/><Relationship Id="rId90" Type="http://schemas.openxmlformats.org/officeDocument/2006/relationships/hyperlink" Target="https://www.bosch-hydrogen-energy.com/media/electrolyser_technology/electrolysis-twopager-en.pdf" TargetMode="External"/><Relationship Id="rId165" Type="http://schemas.openxmlformats.org/officeDocument/2006/relationships/hyperlink" Target="http://en.bahenergy.com/?pages_18/" TargetMode="External"/><Relationship Id="rId186" Type="http://schemas.openxmlformats.org/officeDocument/2006/relationships/hyperlink" Target="https://21392411.fs1.hubspotusercontent-na1.net/hubfs/21392411/Endua_Electrolyser_25_250kW.pdf?utm_campaign=Electrolyser%20data%20sheet&amp;utm_medium=email&amp;_hsenc=p2ANqtz--xC0tRJTKlEvtcrwKYIsTXzsmSAi7SIDA7XVOveaYy-DtO3LksmyewpKTwhsqQLQP9FmKcO8msIbOzpk8ka8tQj1Ixiw&amp;_hsmi=298808345&amp;utm_content=298808345&amp;utm_source=hs_automation" TargetMode="External"/><Relationship Id="rId211" Type="http://schemas.openxmlformats.org/officeDocument/2006/relationships/hyperlink" Target="https://www.solydera.com/media/jmqn2z5a/solydera_flyer_electrolyzer-array-eca-04-2024_web.pdf" TargetMode="External"/><Relationship Id="rId27" Type="http://schemas.openxmlformats.org/officeDocument/2006/relationships/hyperlink" Target="https://thyssenkrupp-nucera.com/wp-content/uploads/2022/11/thyssenkrupp-nucera-green-hydrogen-solutions-brochure.pdf" TargetMode="External"/><Relationship Id="rId48" Type="http://schemas.openxmlformats.org/officeDocument/2006/relationships/hyperlink" Target="https://www.hydrogenoptimized.com/wp-content/uploads/2024/01/RuggedCell-Spec-Sheet-1000-kg-per-hr-module-compressed.pdf" TargetMode="External"/><Relationship Id="rId69" Type="http://schemas.openxmlformats.org/officeDocument/2006/relationships/hyperlink" Target="https://25478672.fs1.hubspotusercontent-eu1.net/hubfs/25478672/Hystar_main-brochure_DIGITAL_2024-02-13.pdf" TargetMode="External"/><Relationship Id="rId113" Type="http://schemas.openxmlformats.org/officeDocument/2006/relationships/hyperlink" Target="https://h2greem.com/fichas/lpgreem.pdf" TargetMode="External"/><Relationship Id="rId134" Type="http://schemas.openxmlformats.org/officeDocument/2006/relationships/hyperlink" Target="https://en.kylin-tech.com/products_detail1/11.html" TargetMode="External"/><Relationship Id="rId80" Type="http://schemas.openxmlformats.org/officeDocument/2006/relationships/hyperlink" Target="https://assets.new.siemens.com/siemens/assets/api/uuid:abae9c1e48d6d239c06d88e565a25040ed2078dc/version:1524048018/ct-ree-18-047-db-silyzer-300-db-de-en-rz.pdf" TargetMode="External"/><Relationship Id="rId155" Type="http://schemas.openxmlformats.org/officeDocument/2006/relationships/hyperlink" Target="http://www.cnthe.cn/en/product_detail-35-43-28.html" TargetMode="External"/><Relationship Id="rId176" Type="http://schemas.openxmlformats.org/officeDocument/2006/relationships/hyperlink" Target="https://residentialhydrogenpower.com/product/autoark-55/" TargetMode="External"/><Relationship Id="rId197" Type="http://schemas.openxmlformats.org/officeDocument/2006/relationships/hyperlink" Target="https://fortescue.com/what-we-do/fortescue-hydrogen-systems" TargetMode="External"/><Relationship Id="rId201" Type="http://schemas.openxmlformats.org/officeDocument/2006/relationships/hyperlink" Target="https://www.sungreenh2.com/product/aem-electrolyser-stack-and-system-sgh2-el-1-3" TargetMode="External"/><Relationship Id="rId222" Type="http://schemas.openxmlformats.org/officeDocument/2006/relationships/hyperlink" Target="https://wenstoneh2.com/wsaemcpws600l" TargetMode="External"/><Relationship Id="rId17" Type="http://schemas.openxmlformats.org/officeDocument/2006/relationships/hyperlink" Target="https://mart.cummins.com/imagelibrary/data/assetfiles/0070328.pdf" TargetMode="External"/><Relationship Id="rId38" Type="http://schemas.openxmlformats.org/officeDocument/2006/relationships/hyperlink" Target="https://nelhydrogen.com/wp-content/uploads/2020/03/Electrolysers-Brochure-Rev-D.pdf" TargetMode="External"/><Relationship Id="rId59" Type="http://schemas.openxmlformats.org/officeDocument/2006/relationships/hyperlink" Target="http://www.peric718.com/Alkaline-Type-Hydrogen-G/r-87.html" TargetMode="External"/><Relationship Id="rId103" Type="http://schemas.openxmlformats.org/officeDocument/2006/relationships/hyperlink" Target="https://handbook.enapter.com/electrolyser/el41/downloads/Enapter_Datasheet_EL41_EN.pdf" TargetMode="External"/><Relationship Id="rId124" Type="http://schemas.openxmlformats.org/officeDocument/2006/relationships/hyperlink" Target="https://info-support.sungrowpower.com/application/pdf/2023/05/18/PEM%20water%20electrolyser.pdf" TargetMode="External"/><Relationship Id="rId70" Type="http://schemas.openxmlformats.org/officeDocument/2006/relationships/hyperlink" Target="https://elogenh2.com/wp-content/uploads/2024/01/Product-Overview-Elogen-January-2024.pdf" TargetMode="External"/><Relationship Id="rId91" Type="http://schemas.openxmlformats.org/officeDocument/2006/relationships/hyperlink" Target="https://eh2.com/wp-content/uploads/2024/08/Pre-NDA-Spec-Sheet-August-2023-1-3.pdf" TargetMode="External"/><Relationship Id="rId145" Type="http://schemas.openxmlformats.org/officeDocument/2006/relationships/hyperlink" Target="https://en.kylin-tech.com/products_detail1/14.html" TargetMode="External"/><Relationship Id="rId166" Type="http://schemas.openxmlformats.org/officeDocument/2006/relationships/hyperlink" Target="http://en.bahenergy.com/?pages_18/" TargetMode="External"/><Relationship Id="rId187" Type="http://schemas.openxmlformats.org/officeDocument/2006/relationships/hyperlink" Target="https://21392411.fs1.hubspotusercontent-na1.net/hubfs/21392411/Endua_Electrolyser_25_250kW.pdf?utm_campaign=Electrolyser%20data%20sheet&amp;utm_medium=email&amp;_hsenc=p2ANqtz--xC0tRJTKlEvtcrwKYIsTXzsmSAi7SIDA7XVOveaYy-DtO3LksmyewpKTwhsqQLQP9FmKcO8msIbOzpk8ka8tQj1Ixiw&amp;_hsmi=298808345&amp;utm_content=298808345&amp;utm_source=hs_automation" TargetMode="External"/><Relationship Id="rId1" Type="http://schemas.openxmlformats.org/officeDocument/2006/relationships/hyperlink" Target="https://nelhydrogen.com/resources/s-series-proton-pem-electrolysers/" TargetMode="External"/><Relationship Id="rId212" Type="http://schemas.openxmlformats.org/officeDocument/2006/relationships/hyperlink" Target="https://www.ceres.tech/technology/" TargetMode="External"/><Relationship Id="rId28" Type="http://schemas.openxmlformats.org/officeDocument/2006/relationships/hyperlink" Target="https://thyssenkrupp-nucera.com/wp-content/uploads/2022/11/thyssenkrupp-nucera-green-hydrogen-solutions-brochure.pdf" TargetMode="External"/><Relationship Id="rId49" Type="http://schemas.openxmlformats.org/officeDocument/2006/relationships/hyperlink" Target="https://hydrogen-pro.com/products/" TargetMode="External"/><Relationship Id="rId114" Type="http://schemas.openxmlformats.org/officeDocument/2006/relationships/hyperlink" Target="https://h2greem.com/fichas/hpgreem.pdf" TargetMode="External"/><Relationship Id="rId60" Type="http://schemas.openxmlformats.org/officeDocument/2006/relationships/hyperlink" Target="http://www.peric718.com/Alkaline-Type-Hydrogen-G/r-85.html" TargetMode="External"/><Relationship Id="rId81" Type="http://schemas.openxmlformats.org/officeDocument/2006/relationships/hyperlink" Target="https://d32zuqhgcrpxli.cloudfront.net/ew0KICAiYnVja2V0IjogImVlLWZpbGVzIiwNCiAgImtleSI6ICJmaWxlcy8xNDI0MDkvaW1hZ2VzLzE0MjQwOV8yXzIwMjMwODIyMDc1NzIzNTgzOTYuanBnIiwNCiAgImVkaXRzIjogew0KICAgICJyZXNpemUiOiB7DQogICAgICAiZml0IjogImNvbnRhaW4iLA0KICAgICAgImJhY2tncm91bmQiOiB7DQogICAgICAgICJyIjogMjU1LA0KICAgICAgICAiZyI6IDI1NSwNCiAgICAgICAgImIiOiAyNTUsDQogICAgICAgICJhbHBoYSI6IDENCiAgICAgIH0sDQogICAgICAid2lkdGgiOiA5MDANCiAgICB9DQogIH0NCn0=" TargetMode="External"/><Relationship Id="rId135" Type="http://schemas.openxmlformats.org/officeDocument/2006/relationships/hyperlink" Target="https://en.kylin-tech.com/products_detail1/10.html" TargetMode="External"/><Relationship Id="rId156" Type="http://schemas.openxmlformats.org/officeDocument/2006/relationships/hyperlink" Target="http://www.cnthe.cn/en/product_detail-35-43-29.html" TargetMode="External"/><Relationship Id="rId177" Type="http://schemas.openxmlformats.org/officeDocument/2006/relationships/hyperlink" Target="https://residentialhydrogenpower.com/product/autoark-11-or-27-cell-models/" TargetMode="External"/><Relationship Id="rId198" Type="http://schemas.openxmlformats.org/officeDocument/2006/relationships/hyperlink" Target="https://fortescue.com/what-we-do/fortescue-hydrogen-systems" TargetMode="External"/><Relationship Id="rId202" Type="http://schemas.openxmlformats.org/officeDocument/2006/relationships/hyperlink" Target="https://www.cipherneutron.com/the-aem-electrolyser/" TargetMode="External"/><Relationship Id="rId223" Type="http://schemas.openxmlformats.org/officeDocument/2006/relationships/hyperlink" Target="https://wenstoneh2.com/wsaemcpws50m" TargetMode="External"/><Relationship Id="rId18" Type="http://schemas.openxmlformats.org/officeDocument/2006/relationships/hyperlink" Target="https://www.cummins.com/sites/default/files/2021-08/Cummins-hystat-70-specsheet.pdf" TargetMode="External"/><Relationship Id="rId39" Type="http://schemas.openxmlformats.org/officeDocument/2006/relationships/hyperlink" Target="https://nelhydrogen.com/wp-content/uploads/2020/03/Electrolysers-Brochure-Rev-D.pdf" TargetMode="External"/><Relationship Id="rId50" Type="http://schemas.openxmlformats.org/officeDocument/2006/relationships/hyperlink" Target="https://cellar-c2.services.clever-cloud.com/com-mcphy/uploads/2023/06/2023_McLyzer-Product-Line-EN.pdf" TargetMode="External"/><Relationship Id="rId104" Type="http://schemas.openxmlformats.org/officeDocument/2006/relationships/hyperlink" Target="https://handbook.enapter.com/electrolyser/aem-flex120/downloads/Enapter_Datasheet_AEM-Flex-120_EN.pdf" TargetMode="External"/><Relationship Id="rId125" Type="http://schemas.openxmlformats.org/officeDocument/2006/relationships/hyperlink" Target="http://www.cjhydrogen.com/en/index.php?c=show&amp;id=9" TargetMode="External"/><Relationship Id="rId146" Type="http://schemas.openxmlformats.org/officeDocument/2006/relationships/hyperlink" Target="https://en.guofuhee.com/site/product_detail_1/1" TargetMode="External"/><Relationship Id="rId167" Type="http://schemas.openxmlformats.org/officeDocument/2006/relationships/hyperlink" Target="http://www.brihynergy.com/en/BriLyzer-PEM-electrolytic-stack-PG9574877" TargetMode="External"/><Relationship Id="rId188" Type="http://schemas.openxmlformats.org/officeDocument/2006/relationships/hyperlink" Target="https://21392411.fs1.hubspotusercontent-na1.net/hubfs/21392411/Endua_Electrolyser_25_250kW.pdf?utm_campaign=Electrolyser%20data%20sheet&amp;utm_medium=email&amp;_hsenc=p2ANqtz--xC0tRJTKlEvtcrwKYIsTXzsmSAi7SIDA7XVOveaYy-DtO3LksmyewpKTwhsqQLQP9FmKcO8msIbOzpk8ka8tQj1Ixiw&amp;_hsmi=298808345&amp;utm_content=298808345&amp;utm_source=hs_automation" TargetMode="External"/><Relationship Id="rId71" Type="http://schemas.openxmlformats.org/officeDocument/2006/relationships/hyperlink" Target="https://elogenh2.com/wp-content/uploads/2024/01/Product-Overview-Elogen-January-2024.pdf" TargetMode="External"/><Relationship Id="rId92" Type="http://schemas.openxmlformats.org/officeDocument/2006/relationships/hyperlink" Target="https://www.hydrogenoptimized.com/wp-content/uploads/2024/03/RuggedCell-950-KG-SS-1.pdf" TargetMode="External"/><Relationship Id="rId213" Type="http://schemas.openxmlformats.org/officeDocument/2006/relationships/hyperlink" Target="https://www.gdcawolo.com/Pem-industry-hydrogen-production-" TargetMode="External"/><Relationship Id="rId2" Type="http://schemas.openxmlformats.org/officeDocument/2006/relationships/hyperlink" Target="https://nelhydrogen.com/resources/s-series-proton-pem-electrolysers/" TargetMode="External"/><Relationship Id="rId29" Type="http://schemas.openxmlformats.org/officeDocument/2006/relationships/hyperlink" Target="https://www.erreduegas.it/wp-content/uploads/TECHNICAL-DATA_SIRIO.pdf" TargetMode="External"/><Relationship Id="rId40" Type="http://schemas.openxmlformats.org/officeDocument/2006/relationships/hyperlink" Target="https://nelhydrogen.com/wp-content/uploads/2020/03/Electrolysers-Brochure-Rev-D.pdf" TargetMode="External"/><Relationship Id="rId115" Type="http://schemas.openxmlformats.org/officeDocument/2006/relationships/hyperlink" Target="https://h2greem.com/fichas/vhpgreem.pdf" TargetMode="External"/><Relationship Id="rId136" Type="http://schemas.openxmlformats.org/officeDocument/2006/relationships/hyperlink" Target="https://en.kylin-tech.com/products_detail1/10.html" TargetMode="External"/><Relationship Id="rId157" Type="http://schemas.openxmlformats.org/officeDocument/2006/relationships/hyperlink" Target="http://www.cnthe.cn/en/product_detail-35-43-30.html" TargetMode="External"/><Relationship Id="rId178" Type="http://schemas.openxmlformats.org/officeDocument/2006/relationships/hyperlink" Target="https://www.hygreenenergy.com/electrolyzers/alkaline/" TargetMode="External"/><Relationship Id="rId61" Type="http://schemas.openxmlformats.org/officeDocument/2006/relationships/hyperlink" Target="https://metacon.se/pem-electrolyzer/" TargetMode="External"/><Relationship Id="rId82" Type="http://schemas.openxmlformats.org/officeDocument/2006/relationships/hyperlink" Target="https://d32zuqhgcrpxli.cloudfront.net/ew0KICAiYnVja2V0IjogImVlLWZpbGVzIiwNCiAgImtleSI6ICJmaWxlcy8xNDI0MDkvaW1hZ2VzLzE0MjQwOV8yXzIwMjMwODIyMDc1NzIzNTgzOTYuanBnIiwNCiAgImVkaXRzIjogew0KICAgICJyZXNpemUiOiB7DQogICAgICAiZml0IjogImNvbnRhaW4iLA0KICAgICAgImJhY2tncm91bmQiOiB7DQogICAgICAgICJyIjogMjU1LA0KICAgICAgICAiZyI6IDI1NSwNCiAgICAgICAgImIiOiAyNTUsDQogICAgICAgICJhbHBoYSI6IDENCiAgICAgIH0sDQogICAgICAid2lkdGgiOiA5MDANCiAgICB9DQogIH0NCn0=" TargetMode="External"/><Relationship Id="rId199" Type="http://schemas.openxmlformats.org/officeDocument/2006/relationships/hyperlink" Target="https://www.sungreenh2.com/product/200---500-nm3-hr-aem-electrolyzer" TargetMode="External"/><Relationship Id="rId203" Type="http://schemas.openxmlformats.org/officeDocument/2006/relationships/hyperlink" Target="https://gestis.dguv.de/data?name=007010" TargetMode="External"/><Relationship Id="rId19" Type="http://schemas.openxmlformats.org/officeDocument/2006/relationships/hyperlink" Target="https://www.cummins.com/sites/default/files/2021-08/Cummins-hystat-70-specsheet.pdf" TargetMode="External"/><Relationship Id="rId224" Type="http://schemas.openxmlformats.org/officeDocument/2006/relationships/hyperlink" Target="https://wenstoneh2.com/wsaemcpws2000l" TargetMode="External"/><Relationship Id="rId30" Type="http://schemas.openxmlformats.org/officeDocument/2006/relationships/hyperlink" Target="https://www.erreduegas.it/wp-content/uploads/TECHNICAL-DATA_SIRIO.pdf" TargetMode="External"/><Relationship Id="rId105" Type="http://schemas.openxmlformats.org/officeDocument/2006/relationships/hyperlink" Target="https://handbook.enapter.com/electrolyser/aem_nexus/downloads/Enapter_Datasheet_AEM-Nexus-1000.pdf" TargetMode="External"/><Relationship Id="rId126" Type="http://schemas.openxmlformats.org/officeDocument/2006/relationships/hyperlink" Target="https://auyangloble.com/hydrogen-production/Hydrogen-Production-Electrolyzer.html" TargetMode="External"/><Relationship Id="rId147" Type="http://schemas.openxmlformats.org/officeDocument/2006/relationships/hyperlink" Target="https://en.guofuhee.com/site/product_detail_1/1" TargetMode="External"/><Relationship Id="rId168" Type="http://schemas.openxmlformats.org/officeDocument/2006/relationships/hyperlink" Target="http://www.brihynergy.com/en/BriLyzer-PEM-electrolytic-stack-PG9574877" TargetMode="External"/><Relationship Id="rId51" Type="http://schemas.openxmlformats.org/officeDocument/2006/relationships/hyperlink" Target="https://cellar-c2.services.clever-cloud.com/com-mcphy/uploads/2023/06/2023_McLyzer-Product-Line-EN.pdf" TargetMode="External"/><Relationship Id="rId72" Type="http://schemas.openxmlformats.org/officeDocument/2006/relationships/hyperlink" Target="https://elogenh2.com/wp-content/uploads/2024/01/Product-Overview-Elogen-January-2024.pdf" TargetMode="External"/><Relationship Id="rId93" Type="http://schemas.openxmlformats.org/officeDocument/2006/relationships/hyperlink" Target="https://cellar-c2.services.clever-cloud.com/com-mcphy/uploads/2023/06/2023_McLyzer-Product-Line-EN.pdf" TargetMode="External"/><Relationship Id="rId189" Type="http://schemas.openxmlformats.org/officeDocument/2006/relationships/hyperlink" Target="https://igas-energy.de/fileadmin/individual/igas-energy-de/editor/Broschueren/iGas_green_Elektrolyzer_E_1704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6A13-F299-46C5-8C72-AEC955E355FE}">
  <dimension ref="A1:BC354"/>
  <sheetViews>
    <sheetView tabSelected="1" zoomScale="96" zoomScaleNormal="96" workbookViewId="0">
      <pane xSplit="1" topLeftCell="B1" activePane="topRight" state="frozen"/>
      <selection pane="topRight" activeCell="B1" sqref="B1"/>
    </sheetView>
  </sheetViews>
  <sheetFormatPr defaultColWidth="0" defaultRowHeight="13.5" zeroHeight="1"/>
  <cols>
    <col min="1" max="1" width="11.85546875" style="3" bestFit="1" customWidth="1"/>
    <col min="2" max="2" width="26.7109375" style="3" bestFit="1" customWidth="1"/>
    <col min="3" max="3" width="13.140625" style="3" bestFit="1" customWidth="1"/>
    <col min="4" max="4" width="13.140625" style="104" customWidth="1"/>
    <col min="5" max="19" width="10.28515625" style="3" customWidth="1"/>
    <col min="20" max="25" width="10.28515625" style="45" customWidth="1"/>
    <col min="26" max="51" width="10.28515625" style="3" customWidth="1"/>
    <col min="52" max="52" width="9.85546875" style="3" customWidth="1"/>
    <col min="53" max="55" width="0" style="3" hidden="1" customWidth="1"/>
    <col min="56" max="16384" width="9.140625" style="3" hidden="1"/>
  </cols>
  <sheetData>
    <row r="1" spans="1:52" customFormat="1" ht="15" customHeight="1">
      <c r="D1" s="32"/>
      <c r="F1" s="141"/>
      <c r="T1" s="126"/>
      <c r="U1" s="126"/>
      <c r="V1" s="126"/>
      <c r="W1" s="126"/>
      <c r="X1" s="126"/>
      <c r="Y1" s="126"/>
    </row>
    <row r="2" spans="1:52" customFormat="1" ht="15" customHeight="1">
      <c r="A2" s="1" t="s">
        <v>0</v>
      </c>
      <c r="B2" s="1" t="s">
        <v>1</v>
      </c>
      <c r="C2" s="2">
        <v>8.9899999999999994E-2</v>
      </c>
      <c r="D2" s="102"/>
      <c r="E2" s="3" t="s">
        <v>2</v>
      </c>
      <c r="F2" s="3"/>
      <c r="G2" s="3" t="s">
        <v>3</v>
      </c>
      <c r="H2" s="3" t="s">
        <v>4</v>
      </c>
      <c r="I2" s="4" t="s">
        <v>5</v>
      </c>
      <c r="J2" s="3"/>
      <c r="K2" s="3" t="s">
        <v>6</v>
      </c>
      <c r="L2" s="3"/>
      <c r="M2" s="5" t="s">
        <v>7</v>
      </c>
      <c r="N2" s="6" t="s">
        <v>8</v>
      </c>
      <c r="O2" s="7"/>
      <c r="P2" s="7"/>
      <c r="Q2" s="7"/>
      <c r="R2" s="7"/>
      <c r="S2" s="7"/>
      <c r="T2" s="127"/>
      <c r="U2" s="127"/>
      <c r="V2" s="127"/>
      <c r="W2" s="127"/>
      <c r="X2" s="127"/>
      <c r="Y2" s="127"/>
      <c r="Z2" s="7"/>
      <c r="AA2" s="7"/>
      <c r="AB2" s="7"/>
      <c r="AC2" s="7"/>
      <c r="AG2" s="4"/>
    </row>
    <row r="3" spans="1:52" customFormat="1" ht="15" customHeight="1">
      <c r="A3" s="1"/>
      <c r="B3" s="1"/>
      <c r="C3" s="2"/>
      <c r="D3" s="102"/>
      <c r="E3" s="3"/>
      <c r="F3" s="3"/>
      <c r="G3" s="3"/>
      <c r="H3" s="3"/>
      <c r="I3" s="8"/>
      <c r="J3" s="3"/>
      <c r="K3" s="9"/>
      <c r="L3" s="3"/>
      <c r="M3" s="10"/>
      <c r="N3" s="10"/>
      <c r="O3" s="7"/>
      <c r="P3" s="7"/>
      <c r="Q3" s="7"/>
      <c r="R3" s="7"/>
      <c r="S3" s="7"/>
      <c r="T3" s="127"/>
      <c r="U3" s="127"/>
      <c r="V3" s="127"/>
      <c r="W3" s="127"/>
      <c r="X3" s="127"/>
      <c r="Y3" s="127"/>
      <c r="Z3" s="7"/>
      <c r="AA3" s="7"/>
      <c r="AB3" s="7"/>
      <c r="AC3" s="7"/>
    </row>
    <row r="4" spans="1:52" customFormat="1" ht="15" customHeight="1">
      <c r="A4" s="1"/>
      <c r="B4" s="1"/>
      <c r="C4" s="2"/>
      <c r="D4" s="102"/>
      <c r="E4" s="3"/>
      <c r="F4" s="3"/>
      <c r="G4" s="3"/>
      <c r="H4" s="3"/>
      <c r="I4" s="8"/>
      <c r="J4" s="3"/>
      <c r="K4" s="3"/>
      <c r="L4" s="3"/>
      <c r="M4" s="10"/>
      <c r="N4" s="10" t="s">
        <v>9</v>
      </c>
      <c r="O4" s="7"/>
      <c r="P4" s="7"/>
      <c r="Q4" s="7"/>
      <c r="R4" s="7"/>
      <c r="S4" s="7"/>
      <c r="T4" s="127"/>
      <c r="U4" s="127"/>
      <c r="V4" s="127"/>
      <c r="W4" s="127"/>
      <c r="X4" s="127"/>
      <c r="Y4" s="127"/>
      <c r="Z4" s="7"/>
      <c r="AA4" s="7"/>
      <c r="AB4" s="7"/>
      <c r="AC4" s="7"/>
    </row>
    <row r="5" spans="1:52" customFormat="1" ht="15" customHeight="1">
      <c r="A5" s="1"/>
      <c r="B5" s="1"/>
      <c r="C5" s="2"/>
      <c r="D5" s="102"/>
      <c r="E5" s="3"/>
      <c r="F5" s="3"/>
      <c r="G5" s="3"/>
      <c r="H5" s="3"/>
      <c r="I5" s="8"/>
      <c r="J5" s="3"/>
      <c r="K5" s="3"/>
      <c r="L5" s="3"/>
      <c r="M5" s="3"/>
      <c r="N5" s="3"/>
      <c r="T5" s="126"/>
      <c r="U5" s="126"/>
      <c r="V5" s="126"/>
      <c r="W5" s="126"/>
      <c r="X5" s="126"/>
      <c r="Y5" s="126"/>
    </row>
    <row r="6" spans="1:52" customFormat="1" ht="15" customHeight="1">
      <c r="A6" s="1"/>
      <c r="B6" s="1"/>
      <c r="C6" s="2"/>
      <c r="D6" s="102"/>
      <c r="E6" s="3"/>
      <c r="F6" s="3"/>
      <c r="G6" s="3"/>
      <c r="H6" s="3"/>
      <c r="I6" s="8"/>
      <c r="J6" s="3"/>
      <c r="K6" s="3"/>
      <c r="L6" s="3"/>
      <c r="M6" s="3"/>
      <c r="N6" s="3"/>
      <c r="T6" s="126"/>
      <c r="U6" s="126"/>
      <c r="V6" s="126"/>
      <c r="W6" s="126"/>
      <c r="X6" s="126"/>
      <c r="Y6" s="126"/>
    </row>
    <row r="7" spans="1:52" s="14" customFormat="1" ht="15" customHeight="1">
      <c r="A7" s="135" t="s">
        <v>10</v>
      </c>
      <c r="B7" s="135"/>
      <c r="C7" s="135"/>
      <c r="D7" s="135"/>
      <c r="E7" s="135"/>
      <c r="F7" s="109"/>
      <c r="G7" s="136" t="s">
        <v>11</v>
      </c>
      <c r="H7" s="136"/>
      <c r="I7" s="136"/>
      <c r="J7" s="136"/>
      <c r="K7" s="136"/>
      <c r="L7" s="136"/>
      <c r="M7" s="136"/>
      <c r="N7" s="136"/>
      <c r="O7" s="136"/>
      <c r="P7" s="136"/>
      <c r="Q7" s="137" t="s">
        <v>393</v>
      </c>
      <c r="R7" s="137"/>
      <c r="S7" s="137"/>
      <c r="T7" s="137"/>
      <c r="U7" s="137"/>
      <c r="V7" s="137"/>
      <c r="W7" s="137"/>
      <c r="X7" s="137"/>
      <c r="Y7" s="137"/>
      <c r="Z7" s="11"/>
      <c r="AA7" s="138" t="s">
        <v>12</v>
      </c>
      <c r="AB7" s="138"/>
      <c r="AC7" s="138"/>
      <c r="AD7" s="138"/>
      <c r="AE7" s="138"/>
      <c r="AF7" s="138"/>
      <c r="AG7" s="139" t="s">
        <v>13</v>
      </c>
      <c r="AH7" s="139"/>
      <c r="AI7" s="139"/>
      <c r="AJ7" s="139"/>
      <c r="AK7" s="139"/>
      <c r="AL7" s="139"/>
      <c r="AM7" s="139"/>
      <c r="AN7" s="139"/>
      <c r="AO7" s="139"/>
      <c r="AP7" s="139"/>
      <c r="AQ7" s="140" t="s">
        <v>14</v>
      </c>
      <c r="AR7" s="140"/>
      <c r="AS7" s="12"/>
      <c r="AT7" s="133" t="s">
        <v>15</v>
      </c>
      <c r="AU7" s="133"/>
      <c r="AV7" s="133"/>
      <c r="AW7" s="133"/>
      <c r="AX7" s="13"/>
      <c r="AY7" s="134" t="s">
        <v>16</v>
      </c>
      <c r="AZ7" s="134"/>
    </row>
    <row r="8" spans="1:52" s="23" customFormat="1" ht="80.099999999999994" customHeight="1">
      <c r="A8" s="15" t="s">
        <v>17</v>
      </c>
      <c r="B8" s="15" t="s">
        <v>18</v>
      </c>
      <c r="C8" s="15" t="s">
        <v>19</v>
      </c>
      <c r="D8" s="15" t="s">
        <v>394</v>
      </c>
      <c r="E8" s="15" t="s">
        <v>20</v>
      </c>
      <c r="F8" s="142" t="s">
        <v>514</v>
      </c>
      <c r="G8" s="16" t="s">
        <v>21</v>
      </c>
      <c r="H8" s="16" t="s">
        <v>22</v>
      </c>
      <c r="I8" s="16" t="s">
        <v>21</v>
      </c>
      <c r="J8" s="16" t="s">
        <v>22</v>
      </c>
      <c r="K8" s="16" t="s">
        <v>0</v>
      </c>
      <c r="L8" s="16" t="s">
        <v>23</v>
      </c>
      <c r="M8" s="16" t="s">
        <v>24</v>
      </c>
      <c r="N8" s="16" t="s">
        <v>25</v>
      </c>
      <c r="O8" s="16" t="s">
        <v>26</v>
      </c>
      <c r="P8" s="16" t="s">
        <v>27</v>
      </c>
      <c r="Q8" s="17" t="s">
        <v>28</v>
      </c>
      <c r="R8" s="17" t="s">
        <v>29</v>
      </c>
      <c r="S8" s="17" t="s">
        <v>30</v>
      </c>
      <c r="T8" s="128" t="s">
        <v>31</v>
      </c>
      <c r="U8" s="128" t="s">
        <v>31</v>
      </c>
      <c r="V8" s="128" t="s">
        <v>32</v>
      </c>
      <c r="W8" s="128" t="s">
        <v>32</v>
      </c>
      <c r="X8" s="128" t="s">
        <v>33</v>
      </c>
      <c r="Y8" s="128" t="s">
        <v>33</v>
      </c>
      <c r="Z8" s="17" t="s">
        <v>395</v>
      </c>
      <c r="AA8" s="18" t="s">
        <v>34</v>
      </c>
      <c r="AB8" s="18" t="s">
        <v>35</v>
      </c>
      <c r="AC8" s="18" t="s">
        <v>36</v>
      </c>
      <c r="AD8" s="18" t="s">
        <v>37</v>
      </c>
      <c r="AE8" s="18" t="s">
        <v>38</v>
      </c>
      <c r="AF8" s="18" t="s">
        <v>39</v>
      </c>
      <c r="AG8" s="19" t="s">
        <v>40</v>
      </c>
      <c r="AH8" s="19" t="s">
        <v>41</v>
      </c>
      <c r="AI8" s="19" t="s">
        <v>42</v>
      </c>
      <c r="AJ8" s="19" t="s">
        <v>43</v>
      </c>
      <c r="AK8" s="19" t="s">
        <v>44</v>
      </c>
      <c r="AL8" s="19" t="s">
        <v>45</v>
      </c>
      <c r="AM8" s="19" t="s">
        <v>46</v>
      </c>
      <c r="AN8" s="19" t="s">
        <v>47</v>
      </c>
      <c r="AO8" s="19" t="s">
        <v>48</v>
      </c>
      <c r="AP8" s="19" t="s">
        <v>48</v>
      </c>
      <c r="AQ8" s="20" t="s">
        <v>49</v>
      </c>
      <c r="AR8" s="20" t="s">
        <v>50</v>
      </c>
      <c r="AS8" s="20"/>
      <c r="AT8" s="21" t="s">
        <v>51</v>
      </c>
      <c r="AU8" s="21" t="s">
        <v>52</v>
      </c>
      <c r="AV8" s="21"/>
      <c r="AW8" s="21"/>
      <c r="AX8" s="21"/>
      <c r="AY8" s="22" t="s">
        <v>53</v>
      </c>
      <c r="AZ8" s="22" t="s">
        <v>54</v>
      </c>
    </row>
    <row r="9" spans="1:52" s="32" customFormat="1" ht="32.25" customHeight="1">
      <c r="A9" s="24"/>
      <c r="B9" s="24"/>
      <c r="C9" s="24"/>
      <c r="D9" s="24"/>
      <c r="E9" s="24"/>
      <c r="F9" s="143"/>
      <c r="G9" s="25" t="s">
        <v>55</v>
      </c>
      <c r="H9" s="25" t="s">
        <v>55</v>
      </c>
      <c r="I9" s="25" t="s">
        <v>56</v>
      </c>
      <c r="J9" s="25" t="s">
        <v>56</v>
      </c>
      <c r="K9" s="25" t="s">
        <v>1</v>
      </c>
      <c r="L9" s="25"/>
      <c r="M9" s="25"/>
      <c r="N9" s="25" t="s">
        <v>57</v>
      </c>
      <c r="O9" s="25" t="s">
        <v>58</v>
      </c>
      <c r="P9" s="25" t="s">
        <v>59</v>
      </c>
      <c r="Q9" s="26" t="s">
        <v>60</v>
      </c>
      <c r="R9" s="26"/>
      <c r="S9" s="26"/>
      <c r="T9" s="129" t="s">
        <v>61</v>
      </c>
      <c r="U9" s="129" t="s">
        <v>62</v>
      </c>
      <c r="V9" s="129" t="s">
        <v>63</v>
      </c>
      <c r="W9" s="129" t="s">
        <v>62</v>
      </c>
      <c r="X9" s="129" t="s">
        <v>63</v>
      </c>
      <c r="Y9" s="129" t="s">
        <v>62</v>
      </c>
      <c r="Z9" s="26"/>
      <c r="AA9" s="27"/>
      <c r="AB9" s="27"/>
      <c r="AC9" s="27" t="s">
        <v>64</v>
      </c>
      <c r="AD9" s="27" t="s">
        <v>64</v>
      </c>
      <c r="AE9" s="27" t="s">
        <v>65</v>
      </c>
      <c r="AF9" s="27" t="s">
        <v>64</v>
      </c>
      <c r="AG9" s="28" t="s">
        <v>66</v>
      </c>
      <c r="AH9" s="28" t="s">
        <v>66</v>
      </c>
      <c r="AI9" s="28" t="s">
        <v>65</v>
      </c>
      <c r="AJ9" s="28"/>
      <c r="AK9" s="28" t="s">
        <v>66</v>
      </c>
      <c r="AL9" s="28" t="s">
        <v>66</v>
      </c>
      <c r="AM9" s="28"/>
      <c r="AN9" s="28"/>
      <c r="AO9" s="28" t="s">
        <v>67</v>
      </c>
      <c r="AP9" s="28" t="s">
        <v>68</v>
      </c>
      <c r="AQ9" s="29"/>
      <c r="AR9" s="29" t="s">
        <v>69</v>
      </c>
      <c r="AS9" s="29"/>
      <c r="AT9" s="30" t="s">
        <v>70</v>
      </c>
      <c r="AU9" s="30" t="s">
        <v>71</v>
      </c>
      <c r="AV9" s="30" t="s">
        <v>71</v>
      </c>
      <c r="AW9" s="30" t="s">
        <v>72</v>
      </c>
      <c r="AX9" s="30" t="s">
        <v>294</v>
      </c>
      <c r="AY9" s="31" t="s">
        <v>73</v>
      </c>
      <c r="AZ9" s="31" t="s">
        <v>73</v>
      </c>
    </row>
    <row r="10" spans="1:52" s="32" customFormat="1" ht="15" customHeight="1">
      <c r="A10" s="33"/>
      <c r="B10" s="33"/>
      <c r="C10" s="33"/>
      <c r="D10" s="33"/>
      <c r="E10" s="33"/>
      <c r="F10" s="144"/>
      <c r="G10" s="34" t="s">
        <v>74</v>
      </c>
      <c r="H10" s="34" t="s">
        <v>74</v>
      </c>
      <c r="I10" s="34" t="s">
        <v>74</v>
      </c>
      <c r="J10" s="34" t="s">
        <v>74</v>
      </c>
      <c r="K10" s="34" t="s">
        <v>74</v>
      </c>
      <c r="L10" s="34"/>
      <c r="M10" s="34"/>
      <c r="N10" s="34"/>
      <c r="O10" s="34"/>
      <c r="P10" s="34"/>
      <c r="Q10" s="35"/>
      <c r="R10" s="35"/>
      <c r="S10" s="35"/>
      <c r="T10" s="130"/>
      <c r="U10" s="130"/>
      <c r="V10" s="130"/>
      <c r="W10" s="130"/>
      <c r="X10" s="130"/>
      <c r="Y10" s="130"/>
      <c r="Z10" s="35"/>
      <c r="AA10" s="36"/>
      <c r="AB10" s="36"/>
      <c r="AC10" s="36"/>
      <c r="AD10" s="36"/>
      <c r="AE10" s="36"/>
      <c r="AF10" s="36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8"/>
      <c r="AR10" s="38"/>
      <c r="AS10" s="38"/>
      <c r="AT10" s="39"/>
      <c r="AU10" s="39"/>
      <c r="AV10" s="39"/>
      <c r="AW10" s="39"/>
      <c r="AX10" s="39"/>
      <c r="AY10" s="40"/>
      <c r="AZ10" s="40"/>
    </row>
    <row r="11" spans="1:52" customFormat="1" ht="15" customHeight="1">
      <c r="A11" s="41" t="s">
        <v>75</v>
      </c>
      <c r="B11" s="41" t="s">
        <v>76</v>
      </c>
      <c r="C11" s="41" t="s">
        <v>77</v>
      </c>
      <c r="D11" s="103">
        <v>1</v>
      </c>
      <c r="E11" s="42" t="s">
        <v>5</v>
      </c>
      <c r="F11" s="145" t="s">
        <v>515</v>
      </c>
      <c r="G11" s="48">
        <v>0.27</v>
      </c>
      <c r="H11" s="48">
        <v>0.27</v>
      </c>
      <c r="I11" s="3">
        <f>0.58/24</f>
        <v>2.4166666666666666E-2</v>
      </c>
      <c r="J11" s="3">
        <f>0.58/24</f>
        <v>2.4166666666666666E-2</v>
      </c>
      <c r="K11" s="43">
        <f t="shared" ref="K11:K19" si="0">I11/G11</f>
        <v>8.9506172839506168E-2</v>
      </c>
      <c r="L11" s="44">
        <v>0</v>
      </c>
      <c r="M11" s="44">
        <v>1</v>
      </c>
      <c r="N11" s="44"/>
      <c r="O11" s="44"/>
      <c r="P11" s="44"/>
      <c r="Q11" s="44"/>
      <c r="R11" s="44"/>
      <c r="S11" s="44"/>
      <c r="T11" s="45"/>
      <c r="U11" s="45"/>
      <c r="V11" s="45"/>
      <c r="W11" s="45"/>
      <c r="X11" s="45">
        <v>6.1</v>
      </c>
      <c r="Y11" s="45">
        <f t="shared" ref="Y11:Y19" si="1">X11/I11*G11</f>
        <v>68.151724137931041</v>
      </c>
      <c r="Z11" s="108" t="e">
        <f>X11/T11</f>
        <v>#DIV/0!</v>
      </c>
      <c r="AA11" s="46">
        <v>0.99999499999999997</v>
      </c>
      <c r="AB11" s="46">
        <v>0.99999499999999997</v>
      </c>
      <c r="AC11" s="47" t="s">
        <v>78</v>
      </c>
      <c r="AD11" s="47" t="s">
        <v>79</v>
      </c>
      <c r="AE11" s="47">
        <v>-65</v>
      </c>
      <c r="AF11" s="47" t="s">
        <v>80</v>
      </c>
      <c r="AG11" s="47">
        <v>13.8</v>
      </c>
      <c r="AH11" s="47">
        <v>13.8</v>
      </c>
      <c r="AI11" s="48">
        <v>5</v>
      </c>
      <c r="AJ11" s="48">
        <v>35</v>
      </c>
      <c r="AK11" s="45">
        <v>1.5</v>
      </c>
      <c r="AL11" s="45">
        <v>4</v>
      </c>
      <c r="AM11" s="49" t="s">
        <v>81</v>
      </c>
      <c r="AN11" s="49" t="s">
        <v>82</v>
      </c>
      <c r="AO11" s="3">
        <v>0.9</v>
      </c>
      <c r="AP11" s="50">
        <f t="shared" ref="AP11:AP23" si="2">AO11/K11</f>
        <v>10.055172413793104</v>
      </c>
      <c r="AQ11" s="3" t="s">
        <v>83</v>
      </c>
      <c r="AR11" s="3">
        <v>1.1000000000000001</v>
      </c>
      <c r="AS11" s="3">
        <f>AR11/I11</f>
        <v>45.517241379310349</v>
      </c>
      <c r="AT11" s="3">
        <v>3</v>
      </c>
      <c r="AU11" s="3">
        <v>208</v>
      </c>
      <c r="AV11" s="3">
        <v>240</v>
      </c>
      <c r="AW11" s="3">
        <v>1</v>
      </c>
      <c r="AX11" s="3"/>
      <c r="AY11" s="3"/>
      <c r="AZ11" s="3"/>
    </row>
    <row r="12" spans="1:52" customFormat="1" ht="15" customHeight="1">
      <c r="A12" s="41" t="s">
        <v>75</v>
      </c>
      <c r="B12" s="41" t="s">
        <v>76</v>
      </c>
      <c r="C12" s="41" t="s">
        <v>84</v>
      </c>
      <c r="D12" s="103">
        <v>1</v>
      </c>
      <c r="E12" s="42" t="s">
        <v>5</v>
      </c>
      <c r="F12" s="145" t="s">
        <v>515</v>
      </c>
      <c r="G12" s="48">
        <v>0.53</v>
      </c>
      <c r="H12" s="48">
        <v>0.53</v>
      </c>
      <c r="I12" s="45">
        <f>1.14/24</f>
        <v>4.7499999999999994E-2</v>
      </c>
      <c r="J12" s="45">
        <f>1.14/24</f>
        <v>4.7499999999999994E-2</v>
      </c>
      <c r="K12" s="43">
        <f t="shared" si="0"/>
        <v>8.9622641509433942E-2</v>
      </c>
      <c r="L12" s="44">
        <v>0</v>
      </c>
      <c r="M12" s="44">
        <v>1</v>
      </c>
      <c r="N12" s="44"/>
      <c r="O12" s="44"/>
      <c r="P12" s="44"/>
      <c r="Q12" s="44"/>
      <c r="R12" s="44"/>
      <c r="S12" s="44"/>
      <c r="T12" s="45"/>
      <c r="U12" s="45"/>
      <c r="V12" s="45"/>
      <c r="W12" s="45"/>
      <c r="X12" s="45">
        <v>6.1</v>
      </c>
      <c r="Y12" s="45">
        <f t="shared" si="1"/>
        <v>68.063157894736847</v>
      </c>
      <c r="Z12" s="108" t="e">
        <f t="shared" ref="Z12:Z75" si="3">X12/T12</f>
        <v>#DIV/0!</v>
      </c>
      <c r="AA12" s="46">
        <v>0.99999499999999997</v>
      </c>
      <c r="AB12" s="46">
        <v>0.99999499999999997</v>
      </c>
      <c r="AC12" s="47" t="s">
        <v>78</v>
      </c>
      <c r="AD12" s="47" t="s">
        <v>79</v>
      </c>
      <c r="AE12" s="47">
        <v>-65</v>
      </c>
      <c r="AF12" s="47" t="s">
        <v>80</v>
      </c>
      <c r="AG12" s="47">
        <v>13.8</v>
      </c>
      <c r="AH12" s="47">
        <v>13.8</v>
      </c>
      <c r="AI12" s="48">
        <v>5</v>
      </c>
      <c r="AJ12" s="48">
        <v>35</v>
      </c>
      <c r="AK12" s="45">
        <v>1.5</v>
      </c>
      <c r="AL12" s="45">
        <v>4</v>
      </c>
      <c r="AM12" s="49" t="s">
        <v>81</v>
      </c>
      <c r="AN12" s="49" t="s">
        <v>82</v>
      </c>
      <c r="AO12" s="3">
        <v>0.9</v>
      </c>
      <c r="AP12" s="50">
        <f t="shared" si="2"/>
        <v>10.042105263157897</v>
      </c>
      <c r="AQ12" s="3" t="s">
        <v>83</v>
      </c>
      <c r="AR12" s="3">
        <v>2.2000000000000002</v>
      </c>
      <c r="AS12" s="3">
        <f t="shared" ref="AS12:AS19" si="4">AR12/I12</f>
        <v>46.31578947368422</v>
      </c>
      <c r="AT12" s="3">
        <v>4.5</v>
      </c>
      <c r="AU12" s="3">
        <v>208</v>
      </c>
      <c r="AV12" s="3">
        <v>240</v>
      </c>
      <c r="AW12" s="3">
        <v>1</v>
      </c>
      <c r="AX12" s="3"/>
      <c r="AY12" s="3"/>
      <c r="AZ12" s="3"/>
    </row>
    <row r="13" spans="1:52" customFormat="1" ht="15" customHeight="1">
      <c r="A13" s="41" t="s">
        <v>75</v>
      </c>
      <c r="B13" s="41" t="s">
        <v>76</v>
      </c>
      <c r="C13" s="41" t="s">
        <v>85</v>
      </c>
      <c r="D13" s="103">
        <v>1</v>
      </c>
      <c r="E13" s="42" t="s">
        <v>5</v>
      </c>
      <c r="F13" s="145" t="s">
        <v>515</v>
      </c>
      <c r="G13" s="48">
        <v>1.05</v>
      </c>
      <c r="H13" s="48">
        <v>1.05</v>
      </c>
      <c r="I13" s="45">
        <f>2.27/24</f>
        <v>9.4583333333333339E-2</v>
      </c>
      <c r="J13" s="45">
        <f>2.27/24</f>
        <v>9.4583333333333339E-2</v>
      </c>
      <c r="K13" s="43">
        <f t="shared" si="0"/>
        <v>9.0079365079365079E-2</v>
      </c>
      <c r="L13" s="44">
        <v>0</v>
      </c>
      <c r="M13" s="44">
        <v>1</v>
      </c>
      <c r="N13" s="44"/>
      <c r="O13" s="44"/>
      <c r="P13" s="44"/>
      <c r="Q13" s="44"/>
      <c r="R13" s="44"/>
      <c r="S13" s="44"/>
      <c r="T13" s="45"/>
      <c r="U13" s="45"/>
      <c r="V13" s="45"/>
      <c r="W13" s="45"/>
      <c r="X13" s="45">
        <v>6.1</v>
      </c>
      <c r="Y13" s="45">
        <f t="shared" si="1"/>
        <v>67.718061674008808</v>
      </c>
      <c r="Z13" s="108" t="e">
        <f t="shared" si="3"/>
        <v>#DIV/0!</v>
      </c>
      <c r="AA13" s="46">
        <v>0.99999499999999997</v>
      </c>
      <c r="AB13" s="46">
        <v>0.99999499999999997</v>
      </c>
      <c r="AC13" s="47" t="s">
        <v>78</v>
      </c>
      <c r="AD13" s="47" t="s">
        <v>79</v>
      </c>
      <c r="AE13" s="47">
        <v>-65</v>
      </c>
      <c r="AF13" s="47" t="s">
        <v>80</v>
      </c>
      <c r="AG13" s="47">
        <v>13.8</v>
      </c>
      <c r="AH13" s="47">
        <v>13.8</v>
      </c>
      <c r="AI13" s="48">
        <v>5</v>
      </c>
      <c r="AJ13" s="48">
        <v>35</v>
      </c>
      <c r="AK13" s="45">
        <v>1.5</v>
      </c>
      <c r="AL13" s="45">
        <v>4</v>
      </c>
      <c r="AM13" s="49" t="s">
        <v>81</v>
      </c>
      <c r="AN13" s="49" t="s">
        <v>82</v>
      </c>
      <c r="AO13" s="3">
        <v>0.9</v>
      </c>
      <c r="AP13" s="50">
        <f t="shared" si="2"/>
        <v>9.9911894273127757</v>
      </c>
      <c r="AQ13" s="3" t="s">
        <v>83</v>
      </c>
      <c r="AR13" s="3">
        <v>4.3</v>
      </c>
      <c r="AS13" s="3">
        <f t="shared" si="4"/>
        <v>45.46255506607929</v>
      </c>
      <c r="AT13" s="3">
        <v>8.5</v>
      </c>
      <c r="AU13" s="3">
        <v>208</v>
      </c>
      <c r="AV13" s="3">
        <v>240</v>
      </c>
      <c r="AW13" s="3">
        <v>1</v>
      </c>
      <c r="AX13" s="3"/>
      <c r="AY13" s="3"/>
      <c r="AZ13" s="3"/>
    </row>
    <row r="14" spans="1:52" customFormat="1" ht="15" customHeight="1">
      <c r="A14" s="41" t="s">
        <v>75</v>
      </c>
      <c r="B14" s="41" t="s">
        <v>76</v>
      </c>
      <c r="C14" s="41" t="s">
        <v>86</v>
      </c>
      <c r="D14" s="103">
        <v>1</v>
      </c>
      <c r="E14" s="42" t="s">
        <v>5</v>
      </c>
      <c r="F14" s="145" t="s">
        <v>515</v>
      </c>
      <c r="G14" s="48">
        <v>2</v>
      </c>
      <c r="H14" s="48">
        <v>2</v>
      </c>
      <c r="I14" s="45">
        <f>4.31/24</f>
        <v>0.17958333333333332</v>
      </c>
      <c r="J14" s="45">
        <f>4.31/24</f>
        <v>0.17958333333333332</v>
      </c>
      <c r="K14" s="43">
        <f t="shared" si="0"/>
        <v>8.9791666666666659E-2</v>
      </c>
      <c r="L14" s="44">
        <v>0</v>
      </c>
      <c r="M14" s="44">
        <v>1</v>
      </c>
      <c r="N14" s="44"/>
      <c r="O14" s="44"/>
      <c r="P14" s="44"/>
      <c r="Q14" s="44"/>
      <c r="R14" s="44"/>
      <c r="S14" s="44"/>
      <c r="T14" s="45"/>
      <c r="U14" s="45"/>
      <c r="V14" s="45"/>
      <c r="W14" s="45"/>
      <c r="X14" s="45">
        <v>7.3</v>
      </c>
      <c r="Y14" s="45">
        <f t="shared" si="1"/>
        <v>81.299303944315554</v>
      </c>
      <c r="Z14" s="108" t="e">
        <f t="shared" si="3"/>
        <v>#DIV/0!</v>
      </c>
      <c r="AA14" s="46">
        <v>0.99999499999999997</v>
      </c>
      <c r="AB14" s="46">
        <v>0.99999499999999997</v>
      </c>
      <c r="AC14" s="47" t="s">
        <v>78</v>
      </c>
      <c r="AD14" s="47" t="s">
        <v>79</v>
      </c>
      <c r="AE14" s="47">
        <v>-65</v>
      </c>
      <c r="AF14" s="47" t="s">
        <v>80</v>
      </c>
      <c r="AG14" s="47">
        <v>15</v>
      </c>
      <c r="AH14" s="47">
        <v>30</v>
      </c>
      <c r="AI14" s="48">
        <v>5</v>
      </c>
      <c r="AJ14" s="48">
        <v>50</v>
      </c>
      <c r="AK14" s="45">
        <v>1.5</v>
      </c>
      <c r="AL14" s="45">
        <v>4</v>
      </c>
      <c r="AM14" s="49" t="s">
        <v>81</v>
      </c>
      <c r="AN14" s="49" t="s">
        <v>82</v>
      </c>
      <c r="AO14" s="3">
        <v>0.9</v>
      </c>
      <c r="AP14" s="50">
        <f t="shared" si="2"/>
        <v>10.023201856148493</v>
      </c>
      <c r="AQ14" s="3" t="s">
        <v>87</v>
      </c>
      <c r="AR14" s="3">
        <v>8.1</v>
      </c>
      <c r="AS14" s="3">
        <f t="shared" si="4"/>
        <v>45.104408352668216</v>
      </c>
      <c r="AT14" s="3">
        <v>22</v>
      </c>
      <c r="AU14" s="3">
        <v>380</v>
      </c>
      <c r="AV14" s="3">
        <v>415</v>
      </c>
      <c r="AW14" s="3">
        <v>3</v>
      </c>
      <c r="AX14" s="3"/>
      <c r="AY14" s="3"/>
      <c r="AZ14" s="3"/>
    </row>
    <row r="15" spans="1:52" customFormat="1" ht="15" customHeight="1">
      <c r="A15" s="41" t="s">
        <v>75</v>
      </c>
      <c r="B15" s="41" t="s">
        <v>76</v>
      </c>
      <c r="C15" s="41" t="s">
        <v>88</v>
      </c>
      <c r="D15" s="103">
        <v>1</v>
      </c>
      <c r="E15" s="42" t="s">
        <v>5</v>
      </c>
      <c r="F15" s="145" t="s">
        <v>515</v>
      </c>
      <c r="G15" s="48">
        <v>4</v>
      </c>
      <c r="H15" s="48">
        <v>4</v>
      </c>
      <c r="I15" s="45">
        <f>8.63/24</f>
        <v>0.35958333333333337</v>
      </c>
      <c r="J15" s="45">
        <f>8.63/24</f>
        <v>0.35958333333333337</v>
      </c>
      <c r="K15" s="43">
        <f t="shared" si="0"/>
        <v>8.9895833333333341E-2</v>
      </c>
      <c r="L15" s="44">
        <v>0</v>
      </c>
      <c r="M15" s="44">
        <v>1</v>
      </c>
      <c r="N15" s="44"/>
      <c r="O15" s="44"/>
      <c r="P15" s="44"/>
      <c r="Q15" s="44"/>
      <c r="R15" s="44"/>
      <c r="S15" s="44"/>
      <c r="T15" s="45"/>
      <c r="U15" s="45"/>
      <c r="V15" s="45"/>
      <c r="W15" s="45"/>
      <c r="X15" s="45">
        <v>7</v>
      </c>
      <c r="Y15" s="45">
        <f t="shared" si="1"/>
        <v>77.867902665121662</v>
      </c>
      <c r="Z15" s="108" t="e">
        <f t="shared" si="3"/>
        <v>#DIV/0!</v>
      </c>
      <c r="AA15" s="46">
        <v>0.99999499999999997</v>
      </c>
      <c r="AB15" s="46">
        <v>0.99999499999999997</v>
      </c>
      <c r="AC15" s="47" t="s">
        <v>78</v>
      </c>
      <c r="AD15" s="47" t="s">
        <v>79</v>
      </c>
      <c r="AE15" s="47">
        <v>-65</v>
      </c>
      <c r="AF15" s="47" t="s">
        <v>80</v>
      </c>
      <c r="AG15" s="47">
        <v>15</v>
      </c>
      <c r="AH15" s="47">
        <v>30</v>
      </c>
      <c r="AI15" s="48">
        <v>5</v>
      </c>
      <c r="AJ15" s="48">
        <v>50</v>
      </c>
      <c r="AK15" s="45">
        <v>1.5</v>
      </c>
      <c r="AL15" s="45">
        <v>4</v>
      </c>
      <c r="AM15" s="49" t="s">
        <v>81</v>
      </c>
      <c r="AN15" s="49" t="s">
        <v>82</v>
      </c>
      <c r="AO15" s="3">
        <v>0.9</v>
      </c>
      <c r="AP15" s="50">
        <f t="shared" si="2"/>
        <v>10.011587485515642</v>
      </c>
      <c r="AQ15" s="3" t="s">
        <v>87</v>
      </c>
      <c r="AR15" s="3">
        <v>16.100000000000001</v>
      </c>
      <c r="AS15" s="3">
        <f t="shared" si="4"/>
        <v>44.774044032444962</v>
      </c>
      <c r="AT15" s="3">
        <v>38</v>
      </c>
      <c r="AU15" s="3">
        <v>380</v>
      </c>
      <c r="AV15" s="3">
        <v>415</v>
      </c>
      <c r="AW15" s="3">
        <v>3</v>
      </c>
      <c r="AX15" s="3"/>
      <c r="AY15" s="3"/>
      <c r="AZ15" s="3"/>
    </row>
    <row r="16" spans="1:52" customFormat="1" ht="15" customHeight="1">
      <c r="A16" s="41" t="s">
        <v>75</v>
      </c>
      <c r="B16" s="41" t="s">
        <v>76</v>
      </c>
      <c r="C16" s="41" t="s">
        <v>89</v>
      </c>
      <c r="D16" s="103">
        <v>1</v>
      </c>
      <c r="E16" s="42" t="s">
        <v>5</v>
      </c>
      <c r="F16" s="145" t="s">
        <v>515</v>
      </c>
      <c r="G16" s="48">
        <v>6</v>
      </c>
      <c r="H16" s="48">
        <v>6</v>
      </c>
      <c r="I16" s="45">
        <f>12.94/24</f>
        <v>0.53916666666666668</v>
      </c>
      <c r="J16" s="45">
        <f>12.94/24</f>
        <v>0.53916666666666668</v>
      </c>
      <c r="K16" s="43">
        <f t="shared" si="0"/>
        <v>8.9861111111111114E-2</v>
      </c>
      <c r="L16" s="44">
        <v>0</v>
      </c>
      <c r="M16" s="44">
        <v>1</v>
      </c>
      <c r="N16" s="44"/>
      <c r="O16" s="44"/>
      <c r="P16" s="44"/>
      <c r="Q16" s="44"/>
      <c r="R16" s="44"/>
      <c r="S16" s="44"/>
      <c r="T16" s="45"/>
      <c r="U16" s="45"/>
      <c r="V16" s="45"/>
      <c r="W16" s="45"/>
      <c r="X16" s="45">
        <v>6.8</v>
      </c>
      <c r="Y16" s="45">
        <f t="shared" si="1"/>
        <v>75.672333848531679</v>
      </c>
      <c r="Z16" s="108" t="e">
        <f t="shared" si="3"/>
        <v>#DIV/0!</v>
      </c>
      <c r="AA16" s="46">
        <v>0.99999499999999997</v>
      </c>
      <c r="AB16" s="46">
        <v>0.99999499999999997</v>
      </c>
      <c r="AC16" s="47" t="s">
        <v>78</v>
      </c>
      <c r="AD16" s="47" t="s">
        <v>79</v>
      </c>
      <c r="AE16" s="47">
        <v>-65</v>
      </c>
      <c r="AF16" s="47" t="s">
        <v>80</v>
      </c>
      <c r="AG16" s="47">
        <v>15</v>
      </c>
      <c r="AH16" s="47">
        <v>30</v>
      </c>
      <c r="AI16" s="48">
        <v>5</v>
      </c>
      <c r="AJ16" s="48">
        <v>50</v>
      </c>
      <c r="AK16" s="45">
        <v>1.5</v>
      </c>
      <c r="AL16" s="45">
        <v>4</v>
      </c>
      <c r="AM16" s="49" t="s">
        <v>81</v>
      </c>
      <c r="AN16" s="49" t="s">
        <v>82</v>
      </c>
      <c r="AO16" s="3">
        <v>0.9</v>
      </c>
      <c r="AP16" s="50">
        <f t="shared" si="2"/>
        <v>10.015455950540959</v>
      </c>
      <c r="AQ16" s="3" t="s">
        <v>87</v>
      </c>
      <c r="AR16" s="3">
        <v>23.7</v>
      </c>
      <c r="AS16" s="3">
        <f t="shared" si="4"/>
        <v>43.956723338485311</v>
      </c>
      <c r="AT16" s="3">
        <v>55</v>
      </c>
      <c r="AU16" s="3">
        <v>380</v>
      </c>
      <c r="AV16" s="3">
        <v>415</v>
      </c>
      <c r="AW16" s="3">
        <v>3</v>
      </c>
      <c r="AX16" s="3"/>
      <c r="AY16" s="3"/>
      <c r="AZ16" s="3"/>
    </row>
    <row r="17" spans="1:52" customFormat="1" ht="15" customHeight="1">
      <c r="A17" s="41" t="s">
        <v>75</v>
      </c>
      <c r="B17" s="41" t="s">
        <v>76</v>
      </c>
      <c r="C17" s="41" t="s">
        <v>90</v>
      </c>
      <c r="D17" s="103">
        <v>1</v>
      </c>
      <c r="E17" s="42" t="s">
        <v>5</v>
      </c>
      <c r="F17" s="145" t="s">
        <v>515</v>
      </c>
      <c r="G17" s="48">
        <v>10</v>
      </c>
      <c r="H17" s="48">
        <v>10</v>
      </c>
      <c r="I17" s="45">
        <f>21.6/24</f>
        <v>0.9</v>
      </c>
      <c r="J17" s="45">
        <f>21.6/24</f>
        <v>0.9</v>
      </c>
      <c r="K17" s="43">
        <f t="shared" si="0"/>
        <v>0.09</v>
      </c>
      <c r="L17" s="44">
        <v>0</v>
      </c>
      <c r="M17" s="44">
        <v>1</v>
      </c>
      <c r="N17" s="44"/>
      <c r="O17" s="44"/>
      <c r="P17" s="44"/>
      <c r="Q17" s="44"/>
      <c r="R17" s="44"/>
      <c r="S17" s="44"/>
      <c r="T17" s="45"/>
      <c r="U17" s="45"/>
      <c r="V17" s="45"/>
      <c r="W17" s="45"/>
      <c r="X17" s="45">
        <v>6.2</v>
      </c>
      <c r="Y17" s="45">
        <f t="shared" si="1"/>
        <v>68.888888888888886</v>
      </c>
      <c r="Z17" s="108" t="e">
        <f t="shared" si="3"/>
        <v>#DIV/0!</v>
      </c>
      <c r="AA17" s="46">
        <v>0.99999800000000005</v>
      </c>
      <c r="AB17" s="46">
        <v>0.99999800000000005</v>
      </c>
      <c r="AC17" s="47" t="s">
        <v>78</v>
      </c>
      <c r="AD17" s="47" t="s">
        <v>80</v>
      </c>
      <c r="AE17" s="47">
        <v>-72</v>
      </c>
      <c r="AF17" s="47" t="s">
        <v>80</v>
      </c>
      <c r="AG17" s="3">
        <v>30</v>
      </c>
      <c r="AH17" s="3">
        <v>30</v>
      </c>
      <c r="AI17" s="48">
        <v>5</v>
      </c>
      <c r="AJ17" s="48">
        <v>40</v>
      </c>
      <c r="AK17" s="45">
        <v>1</v>
      </c>
      <c r="AL17" s="45">
        <v>4.0999999999999996</v>
      </c>
      <c r="AM17" s="49" t="s">
        <v>81</v>
      </c>
      <c r="AN17" s="49" t="s">
        <v>82</v>
      </c>
      <c r="AO17" s="3">
        <v>0.9</v>
      </c>
      <c r="AP17" s="50">
        <f t="shared" si="2"/>
        <v>10</v>
      </c>
      <c r="AQ17" s="3" t="s">
        <v>87</v>
      </c>
      <c r="AR17" s="3">
        <v>32</v>
      </c>
      <c r="AS17" s="3">
        <f t="shared" si="4"/>
        <v>35.555555555555557</v>
      </c>
      <c r="AT17" s="3">
        <v>85</v>
      </c>
      <c r="AU17" s="3">
        <v>380</v>
      </c>
      <c r="AV17" s="3">
        <v>480</v>
      </c>
      <c r="AW17" s="3">
        <v>3</v>
      </c>
      <c r="AX17" s="3"/>
      <c r="AY17" s="3"/>
      <c r="AZ17" s="3"/>
    </row>
    <row r="18" spans="1:52" customFormat="1" ht="12" customHeight="1">
      <c r="A18" s="41" t="s">
        <v>75</v>
      </c>
      <c r="B18" s="41" t="s">
        <v>76</v>
      </c>
      <c r="C18" s="41" t="s">
        <v>91</v>
      </c>
      <c r="D18" s="103">
        <v>1</v>
      </c>
      <c r="E18" s="42" t="s">
        <v>5</v>
      </c>
      <c r="F18" s="145" t="s">
        <v>515</v>
      </c>
      <c r="G18" s="48">
        <v>20</v>
      </c>
      <c r="H18" s="48">
        <v>20</v>
      </c>
      <c r="I18" s="45">
        <f>43.3/24</f>
        <v>1.8041666666666665</v>
      </c>
      <c r="J18" s="45">
        <f>43.3/24</f>
        <v>1.8041666666666665</v>
      </c>
      <c r="K18" s="43">
        <f t="shared" si="0"/>
        <v>9.0208333333333321E-2</v>
      </c>
      <c r="L18" s="44">
        <v>0</v>
      </c>
      <c r="M18" s="44">
        <v>1</v>
      </c>
      <c r="N18" s="44"/>
      <c r="O18" s="44"/>
      <c r="P18" s="44"/>
      <c r="Q18" s="44"/>
      <c r="R18" s="44"/>
      <c r="S18" s="44"/>
      <c r="T18" s="45"/>
      <c r="U18" s="45"/>
      <c r="V18" s="45"/>
      <c r="W18" s="45"/>
      <c r="X18" s="45">
        <v>6</v>
      </c>
      <c r="Y18" s="45">
        <f t="shared" si="1"/>
        <v>66.51270207852194</v>
      </c>
      <c r="Z18" s="108" t="e">
        <f t="shared" si="3"/>
        <v>#DIV/0!</v>
      </c>
      <c r="AA18" s="46">
        <v>0.99999800000000005</v>
      </c>
      <c r="AB18" s="46">
        <v>0.99999800000000005</v>
      </c>
      <c r="AC18" s="47" t="s">
        <v>78</v>
      </c>
      <c r="AD18" s="47" t="s">
        <v>80</v>
      </c>
      <c r="AE18" s="47">
        <v>-72</v>
      </c>
      <c r="AF18" s="47" t="s">
        <v>80</v>
      </c>
      <c r="AG18" s="3">
        <v>30</v>
      </c>
      <c r="AH18" s="3">
        <v>30</v>
      </c>
      <c r="AI18" s="48">
        <v>5</v>
      </c>
      <c r="AJ18" s="48">
        <v>40</v>
      </c>
      <c r="AK18" s="45">
        <v>1</v>
      </c>
      <c r="AL18" s="45">
        <v>4.0999999999999996</v>
      </c>
      <c r="AM18" s="49" t="s">
        <v>81</v>
      </c>
      <c r="AN18" s="49" t="s">
        <v>82</v>
      </c>
      <c r="AO18" s="3">
        <v>0.9</v>
      </c>
      <c r="AP18" s="50">
        <f t="shared" si="2"/>
        <v>9.9769053117782924</v>
      </c>
      <c r="AQ18" s="3" t="s">
        <v>87</v>
      </c>
      <c r="AR18" s="3">
        <v>64</v>
      </c>
      <c r="AS18" s="3">
        <f t="shared" si="4"/>
        <v>35.473441108545039</v>
      </c>
      <c r="AT18" s="3">
        <v>160</v>
      </c>
      <c r="AU18" s="3">
        <v>380</v>
      </c>
      <c r="AV18" s="3">
        <v>480</v>
      </c>
      <c r="AW18" s="3">
        <v>3</v>
      </c>
      <c r="AX18" s="3"/>
      <c r="AY18" s="3"/>
      <c r="AZ18" s="3"/>
    </row>
    <row r="19" spans="1:52" customFormat="1" ht="15" customHeight="1">
      <c r="A19" s="41" t="s">
        <v>75</v>
      </c>
      <c r="B19" s="41" t="s">
        <v>76</v>
      </c>
      <c r="C19" s="41" t="s">
        <v>92</v>
      </c>
      <c r="D19" s="103">
        <v>1</v>
      </c>
      <c r="E19" s="42" t="s">
        <v>5</v>
      </c>
      <c r="F19" s="145" t="s">
        <v>515</v>
      </c>
      <c r="G19" s="48">
        <v>30</v>
      </c>
      <c r="H19" s="48">
        <v>30</v>
      </c>
      <c r="I19" s="45">
        <f>65/24</f>
        <v>2.7083333333333335</v>
      </c>
      <c r="J19" s="45">
        <f>65/24</f>
        <v>2.7083333333333335</v>
      </c>
      <c r="K19" s="43">
        <f t="shared" si="0"/>
        <v>9.0277777777777776E-2</v>
      </c>
      <c r="L19" s="44">
        <v>0</v>
      </c>
      <c r="M19" s="44">
        <v>1</v>
      </c>
      <c r="N19" s="44"/>
      <c r="O19" s="44"/>
      <c r="P19" s="44"/>
      <c r="Q19" s="44"/>
      <c r="R19" s="44"/>
      <c r="S19" s="44"/>
      <c r="T19" s="45"/>
      <c r="U19" s="45"/>
      <c r="V19" s="45"/>
      <c r="W19" s="45"/>
      <c r="X19" s="45">
        <v>5.8</v>
      </c>
      <c r="Y19" s="45">
        <f t="shared" si="1"/>
        <v>64.246153846153845</v>
      </c>
      <c r="Z19" s="108" t="e">
        <f t="shared" si="3"/>
        <v>#DIV/0!</v>
      </c>
      <c r="AA19" s="46">
        <v>0.99999800000000005</v>
      </c>
      <c r="AB19" s="46">
        <v>0.99999800000000005</v>
      </c>
      <c r="AC19" s="47" t="s">
        <v>78</v>
      </c>
      <c r="AD19" s="47" t="s">
        <v>80</v>
      </c>
      <c r="AE19" s="47">
        <v>-72</v>
      </c>
      <c r="AF19" s="47" t="s">
        <v>80</v>
      </c>
      <c r="AG19" s="3">
        <v>30</v>
      </c>
      <c r="AH19" s="3">
        <v>30</v>
      </c>
      <c r="AI19" s="48">
        <v>5</v>
      </c>
      <c r="AJ19" s="48">
        <v>40</v>
      </c>
      <c r="AK19" s="45">
        <v>1</v>
      </c>
      <c r="AL19" s="45">
        <v>4.0999999999999996</v>
      </c>
      <c r="AM19" s="49" t="s">
        <v>81</v>
      </c>
      <c r="AN19" s="49" t="s">
        <v>82</v>
      </c>
      <c r="AO19" s="3">
        <v>0.9</v>
      </c>
      <c r="AP19" s="50">
        <f t="shared" si="2"/>
        <v>9.9692307692307693</v>
      </c>
      <c r="AQ19" s="3" t="s">
        <v>87</v>
      </c>
      <c r="AR19" s="3">
        <v>96</v>
      </c>
      <c r="AS19" s="3">
        <f t="shared" si="4"/>
        <v>35.446153846153841</v>
      </c>
      <c r="AT19" s="3">
        <v>236</v>
      </c>
      <c r="AU19" s="3">
        <v>380</v>
      </c>
      <c r="AV19" s="3">
        <v>480</v>
      </c>
      <c r="AW19" s="3">
        <v>3</v>
      </c>
      <c r="AX19" s="3"/>
      <c r="AY19" s="3"/>
      <c r="AZ19" s="3"/>
    </row>
    <row r="20" spans="1:52" customFormat="1" ht="15" customHeight="1">
      <c r="A20" s="41" t="s">
        <v>75</v>
      </c>
      <c r="B20" s="41" t="s">
        <v>76</v>
      </c>
      <c r="C20" s="41" t="s">
        <v>93</v>
      </c>
      <c r="D20" s="103">
        <v>0</v>
      </c>
      <c r="E20" s="3"/>
      <c r="F20" s="145" t="s">
        <v>515</v>
      </c>
      <c r="G20" s="48">
        <v>103</v>
      </c>
      <c r="H20" s="48">
        <v>103</v>
      </c>
      <c r="I20" s="51">
        <f t="shared" ref="I20:J23" si="5">G20*$C$9</f>
        <v>0</v>
      </c>
      <c r="J20" s="51">
        <f t="shared" si="5"/>
        <v>0</v>
      </c>
      <c r="K20" s="52">
        <f>$C$2</f>
        <v>8.9899999999999994E-2</v>
      </c>
      <c r="L20" s="44">
        <v>0.1</v>
      </c>
      <c r="M20" s="44">
        <v>1</v>
      </c>
      <c r="N20" s="44"/>
      <c r="O20" s="44"/>
      <c r="P20" s="44"/>
      <c r="Q20" s="44"/>
      <c r="R20" s="44"/>
      <c r="S20" s="44"/>
      <c r="T20" s="45">
        <v>4.53</v>
      </c>
      <c r="U20" s="51">
        <f t="shared" ref="U20:U31" si="6">T20/K20</f>
        <v>50.389321468298114</v>
      </c>
      <c r="V20" s="51"/>
      <c r="W20" s="51"/>
      <c r="X20" s="45"/>
      <c r="Y20" s="45"/>
      <c r="Z20" s="108">
        <f t="shared" si="3"/>
        <v>0</v>
      </c>
      <c r="AA20" s="46">
        <v>0.99999800000000005</v>
      </c>
      <c r="AB20" s="46">
        <v>0.99999800000000005</v>
      </c>
      <c r="AC20" s="47" t="s">
        <v>78</v>
      </c>
      <c r="AD20" s="47" t="s">
        <v>80</v>
      </c>
      <c r="AE20" s="47">
        <v>-72</v>
      </c>
      <c r="AF20" s="47"/>
      <c r="AG20" s="3">
        <v>30</v>
      </c>
      <c r="AH20" s="3">
        <v>30</v>
      </c>
      <c r="AI20" s="48">
        <v>-20</v>
      </c>
      <c r="AJ20" s="48">
        <v>40</v>
      </c>
      <c r="AK20" s="3"/>
      <c r="AL20" s="3"/>
      <c r="AM20" s="3"/>
      <c r="AN20" s="3"/>
      <c r="AO20" s="3">
        <v>0.9</v>
      </c>
      <c r="AP20" s="50">
        <f t="shared" si="2"/>
        <v>10.011123470522804</v>
      </c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customFormat="1" ht="15" customHeight="1">
      <c r="A21" s="41" t="s">
        <v>75</v>
      </c>
      <c r="B21" s="41" t="s">
        <v>76</v>
      </c>
      <c r="C21" s="41" t="s">
        <v>94</v>
      </c>
      <c r="D21" s="103">
        <v>0</v>
      </c>
      <c r="E21" s="3"/>
      <c r="F21" s="145" t="s">
        <v>515</v>
      </c>
      <c r="G21" s="48">
        <v>103</v>
      </c>
      <c r="H21" s="48">
        <v>103</v>
      </c>
      <c r="I21" s="51">
        <f t="shared" si="5"/>
        <v>0</v>
      </c>
      <c r="J21" s="51">
        <f t="shared" si="5"/>
        <v>0</v>
      </c>
      <c r="K21" s="52">
        <f>$C$2</f>
        <v>8.9899999999999994E-2</v>
      </c>
      <c r="L21" s="44">
        <v>0.1</v>
      </c>
      <c r="M21" s="44">
        <v>1</v>
      </c>
      <c r="N21" s="44"/>
      <c r="O21" s="44"/>
      <c r="P21" s="44"/>
      <c r="Q21" s="44"/>
      <c r="R21" s="44"/>
      <c r="S21" s="44"/>
      <c r="T21" s="45">
        <v>4.53</v>
      </c>
      <c r="U21" s="51">
        <f t="shared" si="6"/>
        <v>50.389321468298114</v>
      </c>
      <c r="V21" s="51"/>
      <c r="W21" s="51"/>
      <c r="X21" s="45"/>
      <c r="Y21" s="45"/>
      <c r="Z21" s="108">
        <f t="shared" si="3"/>
        <v>0</v>
      </c>
      <c r="AA21" s="46">
        <v>0.99999800000000005</v>
      </c>
      <c r="AB21" s="46">
        <v>0.99999800000000005</v>
      </c>
      <c r="AC21" s="47" t="s">
        <v>78</v>
      </c>
      <c r="AD21" s="47" t="s">
        <v>80</v>
      </c>
      <c r="AE21" s="47">
        <v>-72</v>
      </c>
      <c r="AF21" s="47"/>
      <c r="AG21" s="3">
        <v>30</v>
      </c>
      <c r="AH21" s="3">
        <v>30</v>
      </c>
      <c r="AI21" s="48">
        <v>10</v>
      </c>
      <c r="AJ21" s="48">
        <v>40</v>
      </c>
      <c r="AK21" s="53"/>
      <c r="AL21" s="53"/>
      <c r="AM21" s="53"/>
      <c r="AN21" s="53"/>
      <c r="AO21" s="3">
        <v>0.9</v>
      </c>
      <c r="AP21" s="50">
        <f t="shared" si="2"/>
        <v>10.011123470522804</v>
      </c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1:52" customFormat="1" ht="15" customHeight="1">
      <c r="A22" s="41" t="s">
        <v>75</v>
      </c>
      <c r="B22" s="41" t="s">
        <v>76</v>
      </c>
      <c r="C22" s="41" t="s">
        <v>95</v>
      </c>
      <c r="D22" s="103">
        <v>0</v>
      </c>
      <c r="E22" s="3"/>
      <c r="F22" s="145" t="s">
        <v>515</v>
      </c>
      <c r="G22" s="48">
        <v>207</v>
      </c>
      <c r="H22" s="48">
        <v>207</v>
      </c>
      <c r="I22" s="51">
        <f t="shared" si="5"/>
        <v>0</v>
      </c>
      <c r="J22" s="51">
        <f t="shared" si="5"/>
        <v>0</v>
      </c>
      <c r="K22" s="52">
        <f>$C$2</f>
        <v>8.9899999999999994E-2</v>
      </c>
      <c r="L22" s="44">
        <v>0.1</v>
      </c>
      <c r="M22" s="44">
        <v>1</v>
      </c>
      <c r="N22" s="44"/>
      <c r="O22" s="44"/>
      <c r="P22" s="44"/>
      <c r="Q22" s="44"/>
      <c r="R22" s="44"/>
      <c r="S22" s="44"/>
      <c r="T22" s="45">
        <v>4.53</v>
      </c>
      <c r="U22" s="51">
        <f t="shared" si="6"/>
        <v>50.389321468298114</v>
      </c>
      <c r="V22" s="51"/>
      <c r="W22" s="51"/>
      <c r="X22" s="45"/>
      <c r="Y22" s="45"/>
      <c r="Z22" s="108">
        <f t="shared" si="3"/>
        <v>0</v>
      </c>
      <c r="AA22" s="46">
        <v>0.99999800000000005</v>
      </c>
      <c r="AB22" s="46">
        <v>0.99999800000000005</v>
      </c>
      <c r="AC22" s="47" t="s">
        <v>78</v>
      </c>
      <c r="AD22" s="47" t="s">
        <v>80</v>
      </c>
      <c r="AE22" s="47">
        <v>-72</v>
      </c>
      <c r="AF22" s="47"/>
      <c r="AG22" s="3">
        <v>30</v>
      </c>
      <c r="AH22" s="3">
        <v>30</v>
      </c>
      <c r="AI22" s="48">
        <v>-20</v>
      </c>
      <c r="AJ22" s="48">
        <v>40</v>
      </c>
      <c r="AK22" s="3"/>
      <c r="AL22" s="3"/>
      <c r="AM22" s="3"/>
      <c r="AN22" s="3"/>
      <c r="AO22" s="3">
        <v>0.9</v>
      </c>
      <c r="AP22" s="50">
        <f t="shared" si="2"/>
        <v>10.011123470522804</v>
      </c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customFormat="1" ht="15" customHeight="1">
      <c r="A23" s="41" t="s">
        <v>75</v>
      </c>
      <c r="B23" s="41" t="s">
        <v>76</v>
      </c>
      <c r="C23" s="41" t="s">
        <v>96</v>
      </c>
      <c r="D23" s="103">
        <v>0</v>
      </c>
      <c r="E23" s="3"/>
      <c r="F23" s="145" t="s">
        <v>515</v>
      </c>
      <c r="G23" s="48">
        <v>207</v>
      </c>
      <c r="H23" s="48">
        <v>207</v>
      </c>
      <c r="I23" s="51">
        <f>G23*$C$9</f>
        <v>0</v>
      </c>
      <c r="J23" s="51">
        <f t="shared" si="5"/>
        <v>0</v>
      </c>
      <c r="K23" s="52">
        <f>$C$2</f>
        <v>8.9899999999999994E-2</v>
      </c>
      <c r="L23" s="44">
        <v>0.1</v>
      </c>
      <c r="M23" s="44">
        <v>1</v>
      </c>
      <c r="N23" s="44"/>
      <c r="O23" s="44"/>
      <c r="P23" s="44"/>
      <c r="Q23" s="44"/>
      <c r="R23" s="44"/>
      <c r="S23" s="44"/>
      <c r="T23" s="45">
        <v>4.53</v>
      </c>
      <c r="U23" s="51">
        <f t="shared" si="6"/>
        <v>50.389321468298114</v>
      </c>
      <c r="V23" s="51"/>
      <c r="W23" s="51"/>
      <c r="X23" s="45"/>
      <c r="Y23" s="45"/>
      <c r="Z23" s="108">
        <f t="shared" si="3"/>
        <v>0</v>
      </c>
      <c r="AA23" s="46">
        <v>0.99999800000000005</v>
      </c>
      <c r="AB23" s="46">
        <v>0.99999800000000005</v>
      </c>
      <c r="AC23" s="47" t="s">
        <v>78</v>
      </c>
      <c r="AD23" s="47" t="s">
        <v>80</v>
      </c>
      <c r="AE23" s="47">
        <v>-72</v>
      </c>
      <c r="AF23" s="47"/>
      <c r="AG23" s="3">
        <v>30</v>
      </c>
      <c r="AH23" s="3">
        <v>30</v>
      </c>
      <c r="AI23" s="48">
        <v>10</v>
      </c>
      <c r="AJ23" s="48">
        <v>40</v>
      </c>
      <c r="AK23" s="53"/>
      <c r="AL23" s="53"/>
      <c r="AM23" s="53"/>
      <c r="AN23" s="53"/>
      <c r="AO23" s="3">
        <v>0.9</v>
      </c>
      <c r="AP23" s="50">
        <f t="shared" si="2"/>
        <v>10.011123470522804</v>
      </c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customFormat="1" ht="15" customHeight="1">
      <c r="A24" s="41" t="s">
        <v>75</v>
      </c>
      <c r="B24" s="41" t="s">
        <v>76</v>
      </c>
      <c r="C24" s="41" t="s">
        <v>97</v>
      </c>
      <c r="D24" s="103">
        <v>1</v>
      </c>
      <c r="E24" s="100" t="s">
        <v>5</v>
      </c>
      <c r="F24" s="145" t="s">
        <v>515</v>
      </c>
      <c r="G24" s="48">
        <v>246</v>
      </c>
      <c r="H24" s="48">
        <v>246</v>
      </c>
      <c r="I24" s="45">
        <f>531/24</f>
        <v>22.125</v>
      </c>
      <c r="J24" s="45">
        <f>531/24</f>
        <v>22.125</v>
      </c>
      <c r="K24" s="43">
        <f>I24/G24</f>
        <v>8.9939024390243899E-2</v>
      </c>
      <c r="L24" s="44">
        <v>0.1</v>
      </c>
      <c r="M24" s="44">
        <v>1</v>
      </c>
      <c r="N24" s="45" t="s">
        <v>98</v>
      </c>
      <c r="O24" s="45" t="s">
        <v>99</v>
      </c>
      <c r="P24" s="44" t="s">
        <v>282</v>
      </c>
      <c r="Q24" s="44"/>
      <c r="R24" s="44"/>
      <c r="S24" s="44"/>
      <c r="T24" s="45">
        <v>4.5</v>
      </c>
      <c r="U24" s="51">
        <v>51.2</v>
      </c>
      <c r="V24" s="51"/>
      <c r="W24" s="51"/>
      <c r="X24" s="45"/>
      <c r="Y24" s="45"/>
      <c r="Z24" s="108">
        <f t="shared" si="3"/>
        <v>0</v>
      </c>
      <c r="AA24" s="46">
        <v>0.99950000000000006</v>
      </c>
      <c r="AB24" s="46">
        <v>0.99999000000000005</v>
      </c>
      <c r="AC24" s="47" t="s">
        <v>193</v>
      </c>
      <c r="AD24" s="47" t="s">
        <v>153</v>
      </c>
      <c r="AE24" s="47">
        <v>-65</v>
      </c>
      <c r="AF24" s="47" t="s">
        <v>190</v>
      </c>
      <c r="AG24" s="3">
        <v>30</v>
      </c>
      <c r="AH24" s="3">
        <v>30</v>
      </c>
      <c r="AI24" s="48">
        <v>5</v>
      </c>
      <c r="AJ24" s="48">
        <v>35</v>
      </c>
      <c r="AK24" s="3">
        <v>2.7</v>
      </c>
      <c r="AL24" s="3">
        <v>4.8</v>
      </c>
      <c r="AM24" s="54" t="s">
        <v>284</v>
      </c>
      <c r="AN24" s="3"/>
      <c r="AO24" s="3">
        <v>1.5</v>
      </c>
      <c r="AP24" s="50">
        <v>15.9</v>
      </c>
      <c r="AQ24" s="3"/>
      <c r="AR24" s="3"/>
      <c r="AS24" s="3"/>
      <c r="AT24" s="3"/>
      <c r="AU24" s="3">
        <v>6600</v>
      </c>
      <c r="AV24" s="3">
        <v>35000</v>
      </c>
      <c r="AW24" s="3">
        <v>3</v>
      </c>
      <c r="AX24" s="3"/>
      <c r="AY24" s="3"/>
      <c r="AZ24" s="3"/>
    </row>
    <row r="25" spans="1:52" customFormat="1" ht="15" customHeight="1">
      <c r="A25" s="41" t="s">
        <v>75</v>
      </c>
      <c r="B25" s="41" t="s">
        <v>76</v>
      </c>
      <c r="C25" s="41" t="s">
        <v>100</v>
      </c>
      <c r="D25" s="104">
        <v>1</v>
      </c>
      <c r="E25" s="100" t="s">
        <v>5</v>
      </c>
      <c r="F25" s="145" t="s">
        <v>515</v>
      </c>
      <c r="G25" s="48">
        <v>492</v>
      </c>
      <c r="H25" s="48">
        <v>492</v>
      </c>
      <c r="I25" s="45">
        <f>1062/24</f>
        <v>44.25</v>
      </c>
      <c r="J25" s="45">
        <f>1062/24</f>
        <v>44.25</v>
      </c>
      <c r="K25" s="43">
        <f>I25/G25</f>
        <v>8.9939024390243899E-2</v>
      </c>
      <c r="L25" s="44">
        <v>0.1</v>
      </c>
      <c r="M25" s="44">
        <v>1</v>
      </c>
      <c r="N25" s="45" t="s">
        <v>98</v>
      </c>
      <c r="O25" s="45" t="s">
        <v>99</v>
      </c>
      <c r="P25" s="44" t="s">
        <v>282</v>
      </c>
      <c r="Q25" s="44"/>
      <c r="R25" s="44"/>
      <c r="S25" s="44"/>
      <c r="T25" s="45">
        <v>4.5</v>
      </c>
      <c r="U25" s="51">
        <f>51.2</f>
        <v>51.2</v>
      </c>
      <c r="V25" s="51"/>
      <c r="W25" s="51"/>
      <c r="X25" s="45"/>
      <c r="Y25" s="45"/>
      <c r="Z25" s="108">
        <f t="shared" si="3"/>
        <v>0</v>
      </c>
      <c r="AA25" s="46">
        <v>0.99950000000000006</v>
      </c>
      <c r="AB25" s="46">
        <v>0.99999000000000005</v>
      </c>
      <c r="AC25" s="47" t="s">
        <v>193</v>
      </c>
      <c r="AD25" s="47" t="s">
        <v>153</v>
      </c>
      <c r="AE25" s="47">
        <v>-65</v>
      </c>
      <c r="AF25" s="47" t="s">
        <v>190</v>
      </c>
      <c r="AG25" s="3">
        <v>30</v>
      </c>
      <c r="AH25" s="3">
        <v>30</v>
      </c>
      <c r="AI25" s="48">
        <v>5</v>
      </c>
      <c r="AJ25" s="48">
        <v>35</v>
      </c>
      <c r="AK25" s="3">
        <v>2.7</v>
      </c>
      <c r="AL25" s="3">
        <v>4.8</v>
      </c>
      <c r="AM25" s="54" t="s">
        <v>284</v>
      </c>
      <c r="AN25" s="3"/>
      <c r="AO25" s="3"/>
      <c r="AP25" s="50"/>
      <c r="AQ25" s="3"/>
      <c r="AR25" s="3"/>
      <c r="AS25" s="3"/>
      <c r="AT25" s="3"/>
      <c r="AU25" s="3">
        <v>6600</v>
      </c>
      <c r="AV25" s="3">
        <v>35000</v>
      </c>
      <c r="AW25" s="3">
        <v>3</v>
      </c>
      <c r="AX25" s="3"/>
      <c r="AY25" s="3"/>
      <c r="AZ25" s="3"/>
    </row>
    <row r="26" spans="1:52" customFormat="1" ht="15" customHeight="1">
      <c r="A26" s="41" t="s">
        <v>75</v>
      </c>
      <c r="B26" s="41" t="s">
        <v>76</v>
      </c>
      <c r="C26" s="41" t="s">
        <v>101</v>
      </c>
      <c r="D26" s="104">
        <v>0</v>
      </c>
      <c r="E26" s="3"/>
      <c r="F26" s="145" t="s">
        <v>515</v>
      </c>
      <c r="G26" s="48">
        <v>413</v>
      </c>
      <c r="H26" s="48">
        <v>413</v>
      </c>
      <c r="I26" s="51">
        <f>G26*$C$9</f>
        <v>0</v>
      </c>
      <c r="J26" s="51">
        <f>H26*$C$9</f>
        <v>0</v>
      </c>
      <c r="K26" s="52">
        <f>$C$2</f>
        <v>8.9899999999999994E-2</v>
      </c>
      <c r="L26" s="44">
        <v>0.1</v>
      </c>
      <c r="M26" s="44">
        <v>1</v>
      </c>
      <c r="N26" s="44"/>
      <c r="O26" s="44"/>
      <c r="P26" s="44"/>
      <c r="Q26" s="44"/>
      <c r="R26" s="44"/>
      <c r="S26" s="44"/>
      <c r="T26" s="45">
        <v>4.53</v>
      </c>
      <c r="U26" s="51">
        <f t="shared" si="6"/>
        <v>50.389321468298114</v>
      </c>
      <c r="V26" s="51"/>
      <c r="W26" s="51"/>
      <c r="X26" s="45"/>
      <c r="Y26" s="45"/>
      <c r="Z26" s="108">
        <f t="shared" si="3"/>
        <v>0</v>
      </c>
      <c r="AA26" s="46">
        <v>0.99999800000000005</v>
      </c>
      <c r="AB26" s="46">
        <v>0.99999800000000005</v>
      </c>
      <c r="AC26" s="47" t="s">
        <v>78</v>
      </c>
      <c r="AD26" s="47" t="s">
        <v>80</v>
      </c>
      <c r="AE26" s="47">
        <v>-72</v>
      </c>
      <c r="AF26" s="47"/>
      <c r="AG26" s="3">
        <v>30</v>
      </c>
      <c r="AH26" s="3">
        <v>30</v>
      </c>
      <c r="AI26" s="48">
        <v>-20</v>
      </c>
      <c r="AJ26" s="48">
        <v>40</v>
      </c>
      <c r="AK26" s="3"/>
      <c r="AL26" s="3"/>
      <c r="AM26" s="3"/>
      <c r="AN26" s="3"/>
      <c r="AO26" s="3">
        <v>0.9</v>
      </c>
      <c r="AP26" s="50">
        <f t="shared" ref="AP26:AP49" si="7">AO26/K26</f>
        <v>10.011123470522804</v>
      </c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customFormat="1" ht="15" customHeight="1">
      <c r="A27" s="41" t="s">
        <v>75</v>
      </c>
      <c r="B27" s="41" t="s">
        <v>76</v>
      </c>
      <c r="C27" s="41" t="s">
        <v>102</v>
      </c>
      <c r="D27" s="104">
        <v>0</v>
      </c>
      <c r="E27" s="3"/>
      <c r="F27" s="145" t="s">
        <v>515</v>
      </c>
      <c r="G27" s="48">
        <v>413</v>
      </c>
      <c r="H27" s="48">
        <v>413</v>
      </c>
      <c r="I27" s="51">
        <f>G27*$C$9</f>
        <v>0</v>
      </c>
      <c r="J27" s="51">
        <f>H27*$C$9</f>
        <v>0</v>
      </c>
      <c r="K27" s="52">
        <f>$C$2</f>
        <v>8.9899999999999994E-2</v>
      </c>
      <c r="L27" s="44">
        <v>0.1</v>
      </c>
      <c r="M27" s="44">
        <v>1</v>
      </c>
      <c r="N27" s="44"/>
      <c r="O27" s="44"/>
      <c r="P27" s="44"/>
      <c r="Q27" s="44"/>
      <c r="R27" s="44"/>
      <c r="S27" s="44"/>
      <c r="T27" s="45">
        <v>4.53</v>
      </c>
      <c r="U27" s="51">
        <f t="shared" si="6"/>
        <v>50.389321468298114</v>
      </c>
      <c r="V27" s="51"/>
      <c r="W27" s="51"/>
      <c r="X27" s="45"/>
      <c r="Y27" s="45"/>
      <c r="Z27" s="108">
        <f t="shared" si="3"/>
        <v>0</v>
      </c>
      <c r="AA27" s="46">
        <v>0.99999800000000005</v>
      </c>
      <c r="AB27" s="46">
        <v>0.99999800000000005</v>
      </c>
      <c r="AC27" s="47" t="s">
        <v>78</v>
      </c>
      <c r="AD27" s="47" t="s">
        <v>80</v>
      </c>
      <c r="AE27" s="47">
        <v>-72</v>
      </c>
      <c r="AF27" s="47"/>
      <c r="AG27" s="3">
        <v>30</v>
      </c>
      <c r="AH27" s="3">
        <v>30</v>
      </c>
      <c r="AI27" s="48">
        <v>10</v>
      </c>
      <c r="AJ27" s="48">
        <v>40</v>
      </c>
      <c r="AK27" s="53"/>
      <c r="AL27" s="53"/>
      <c r="AM27" s="53"/>
      <c r="AN27" s="53"/>
      <c r="AO27" s="3">
        <v>0.9</v>
      </c>
      <c r="AP27" s="50">
        <f t="shared" si="7"/>
        <v>10.011123470522804</v>
      </c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customFormat="1" ht="15" customHeight="1">
      <c r="A28" s="41" t="s">
        <v>75</v>
      </c>
      <c r="B28" s="41" t="s">
        <v>76</v>
      </c>
      <c r="C28" s="41" t="s">
        <v>103</v>
      </c>
      <c r="D28" s="104">
        <v>0</v>
      </c>
      <c r="E28" s="55" t="s">
        <v>5</v>
      </c>
      <c r="F28" s="145" t="s">
        <v>515</v>
      </c>
      <c r="G28" s="48">
        <v>1698</v>
      </c>
      <c r="H28" s="48">
        <v>1698</v>
      </c>
      <c r="I28" s="56">
        <f>4247/24</f>
        <v>176.95833333333334</v>
      </c>
      <c r="J28" s="56">
        <f>4247/24</f>
        <v>176.95833333333334</v>
      </c>
      <c r="K28" s="43">
        <f t="shared" ref="K28:K37" si="8">I28/G28</f>
        <v>0.10421574401256381</v>
      </c>
      <c r="L28" s="44">
        <v>0.1</v>
      </c>
      <c r="M28" s="44">
        <v>1</v>
      </c>
      <c r="N28" s="44"/>
      <c r="O28" s="44"/>
      <c r="P28" s="44"/>
      <c r="Q28" s="44"/>
      <c r="R28" s="44"/>
      <c r="S28" s="44"/>
      <c r="T28" s="45">
        <v>4.5</v>
      </c>
      <c r="U28" s="51">
        <f t="shared" si="6"/>
        <v>43.179656227925591</v>
      </c>
      <c r="V28" s="51"/>
      <c r="W28" s="51"/>
      <c r="X28" s="45"/>
      <c r="Y28" s="45"/>
      <c r="Z28" s="108">
        <f t="shared" si="3"/>
        <v>0</v>
      </c>
      <c r="AA28" s="46">
        <v>0.99999499999999997</v>
      </c>
      <c r="AB28" s="46">
        <v>0.99999499999999997</v>
      </c>
      <c r="AC28" s="47" t="s">
        <v>78</v>
      </c>
      <c r="AD28" s="47" t="s">
        <v>79</v>
      </c>
      <c r="AE28" s="47"/>
      <c r="AF28" s="47"/>
      <c r="AG28" s="3">
        <v>30</v>
      </c>
      <c r="AH28" s="3">
        <v>30</v>
      </c>
      <c r="AI28" s="48">
        <v>10</v>
      </c>
      <c r="AJ28" s="48">
        <v>40</v>
      </c>
      <c r="AK28" s="53"/>
      <c r="AL28" s="53"/>
      <c r="AM28" s="53"/>
      <c r="AN28" s="53"/>
      <c r="AO28" s="3">
        <v>0.9</v>
      </c>
      <c r="AP28" s="50">
        <f t="shared" si="7"/>
        <v>8.6359312455851178</v>
      </c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customFormat="1" ht="15" customHeight="1">
      <c r="A29" s="41" t="s">
        <v>75</v>
      </c>
      <c r="B29" s="41" t="s">
        <v>76</v>
      </c>
      <c r="C29" s="41" t="s">
        <v>104</v>
      </c>
      <c r="D29" s="104">
        <v>0</v>
      </c>
      <c r="E29" s="55" t="s">
        <v>5</v>
      </c>
      <c r="F29" s="145" t="s">
        <v>515</v>
      </c>
      <c r="G29" s="48">
        <v>2952</v>
      </c>
      <c r="H29" s="48">
        <v>2952</v>
      </c>
      <c r="I29" s="56">
        <f>6371/24</f>
        <v>265.45833333333331</v>
      </c>
      <c r="J29" s="56">
        <f>6371/24</f>
        <v>265.45833333333331</v>
      </c>
      <c r="K29" s="43">
        <f t="shared" si="8"/>
        <v>8.9924909665763317E-2</v>
      </c>
      <c r="L29" s="44">
        <v>0.1</v>
      </c>
      <c r="M29" s="44">
        <v>1</v>
      </c>
      <c r="N29" s="44"/>
      <c r="O29" s="44"/>
      <c r="P29" s="44"/>
      <c r="Q29" s="44"/>
      <c r="R29" s="44"/>
      <c r="S29" s="44"/>
      <c r="T29" s="45">
        <v>4.5</v>
      </c>
      <c r="U29" s="51">
        <f t="shared" si="6"/>
        <v>50.041751687333232</v>
      </c>
      <c r="V29" s="51"/>
      <c r="W29" s="51"/>
      <c r="X29" s="45"/>
      <c r="Y29" s="45"/>
      <c r="Z29" s="108">
        <f t="shared" si="3"/>
        <v>0</v>
      </c>
      <c r="AA29" s="46">
        <v>0.99999499999999997</v>
      </c>
      <c r="AB29" s="46">
        <v>0.99999499999999997</v>
      </c>
      <c r="AC29" s="47" t="s">
        <v>78</v>
      </c>
      <c r="AD29" s="47" t="s">
        <v>79</v>
      </c>
      <c r="AE29" s="47"/>
      <c r="AF29" s="47"/>
      <c r="AG29" s="3">
        <v>30</v>
      </c>
      <c r="AH29" s="3">
        <v>30</v>
      </c>
      <c r="AI29" s="48">
        <v>10</v>
      </c>
      <c r="AJ29" s="48">
        <v>40</v>
      </c>
      <c r="AK29" s="53"/>
      <c r="AL29" s="53"/>
      <c r="AM29" s="53"/>
      <c r="AN29" s="53"/>
      <c r="AO29" s="3">
        <v>0.9</v>
      </c>
      <c r="AP29" s="50">
        <f t="shared" si="7"/>
        <v>10.008350337466647</v>
      </c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 customFormat="1" ht="15" customHeight="1">
      <c r="A30" s="41" t="s">
        <v>75</v>
      </c>
      <c r="B30" s="41" t="s">
        <v>76</v>
      </c>
      <c r="C30" s="41" t="s">
        <v>105</v>
      </c>
      <c r="D30" s="104">
        <v>0</v>
      </c>
      <c r="E30" s="55" t="s">
        <v>5</v>
      </c>
      <c r="F30" s="145" t="s">
        <v>515</v>
      </c>
      <c r="G30" s="48">
        <v>3936</v>
      </c>
      <c r="H30" s="48">
        <v>3936</v>
      </c>
      <c r="I30" s="56">
        <f>8495/24</f>
        <v>353.95833333333331</v>
      </c>
      <c r="J30" s="56">
        <f>8495/24</f>
        <v>353.95833333333331</v>
      </c>
      <c r="K30" s="43">
        <f t="shared" si="8"/>
        <v>8.9928438346883466E-2</v>
      </c>
      <c r="L30" s="44">
        <v>0.1</v>
      </c>
      <c r="M30" s="44">
        <v>1</v>
      </c>
      <c r="N30" s="44"/>
      <c r="O30" s="44"/>
      <c r="P30" s="44"/>
      <c r="Q30" s="44"/>
      <c r="R30" s="44"/>
      <c r="S30" s="44"/>
      <c r="T30" s="45">
        <v>4.5</v>
      </c>
      <c r="U30" s="51">
        <f t="shared" si="6"/>
        <v>50.039788110653326</v>
      </c>
      <c r="V30" s="51"/>
      <c r="W30" s="51"/>
      <c r="X30" s="45"/>
      <c r="Y30" s="45"/>
      <c r="Z30" s="108">
        <f t="shared" si="3"/>
        <v>0</v>
      </c>
      <c r="AA30" s="46">
        <v>0.99999499999999997</v>
      </c>
      <c r="AB30" s="46">
        <v>0.99999499999999997</v>
      </c>
      <c r="AC30" s="47" t="s">
        <v>78</v>
      </c>
      <c r="AD30" s="47" t="s">
        <v>79</v>
      </c>
      <c r="AE30" s="47"/>
      <c r="AF30" s="47"/>
      <c r="AG30" s="3">
        <v>30</v>
      </c>
      <c r="AH30" s="3">
        <v>30</v>
      </c>
      <c r="AI30" s="48">
        <v>10</v>
      </c>
      <c r="AJ30" s="48">
        <v>40</v>
      </c>
      <c r="AK30" s="53"/>
      <c r="AL30" s="53"/>
      <c r="AM30" s="53"/>
      <c r="AN30" s="53"/>
      <c r="AO30" s="3">
        <v>0.9</v>
      </c>
      <c r="AP30" s="50">
        <f t="shared" si="7"/>
        <v>10.007957622130666</v>
      </c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1:52" customFormat="1" ht="15" customHeight="1">
      <c r="A31" s="41" t="s">
        <v>75</v>
      </c>
      <c r="B31" s="41" t="s">
        <v>76</v>
      </c>
      <c r="C31" s="41" t="s">
        <v>106</v>
      </c>
      <c r="D31" s="104">
        <v>0</v>
      </c>
      <c r="E31" s="55" t="s">
        <v>5</v>
      </c>
      <c r="F31" s="145" t="s">
        <v>515</v>
      </c>
      <c r="G31" s="48">
        <v>4920</v>
      </c>
      <c r="H31" s="48">
        <v>4920</v>
      </c>
      <c r="I31" s="56">
        <f>10618/24</f>
        <v>442.41666666666669</v>
      </c>
      <c r="J31" s="56">
        <f>10618/24</f>
        <v>442.41666666666669</v>
      </c>
      <c r="K31" s="43">
        <f t="shared" si="8"/>
        <v>8.9922086720867211E-2</v>
      </c>
      <c r="L31" s="44">
        <v>0.1</v>
      </c>
      <c r="M31" s="44">
        <v>1</v>
      </c>
      <c r="N31" s="44"/>
      <c r="O31" s="44"/>
      <c r="P31" s="44"/>
      <c r="Q31" s="44"/>
      <c r="R31" s="44"/>
      <c r="S31" s="44"/>
      <c r="T31" s="45">
        <v>4.5</v>
      </c>
      <c r="U31" s="51">
        <f t="shared" si="6"/>
        <v>50.043322659634583</v>
      </c>
      <c r="V31" s="51"/>
      <c r="W31" s="51"/>
      <c r="X31" s="45"/>
      <c r="Y31" s="45"/>
      <c r="Z31" s="108">
        <f t="shared" si="3"/>
        <v>0</v>
      </c>
      <c r="AA31" s="46">
        <v>0.99999499999999997</v>
      </c>
      <c r="AB31" s="46">
        <v>0.99999499999999997</v>
      </c>
      <c r="AC31" s="47" t="s">
        <v>78</v>
      </c>
      <c r="AD31" s="47" t="s">
        <v>79</v>
      </c>
      <c r="AE31" s="47"/>
      <c r="AF31" s="47"/>
      <c r="AG31" s="3">
        <v>30</v>
      </c>
      <c r="AH31" s="3">
        <v>30</v>
      </c>
      <c r="AI31" s="48">
        <v>10</v>
      </c>
      <c r="AJ31" s="48">
        <v>40</v>
      </c>
      <c r="AK31" s="53"/>
      <c r="AL31" s="53"/>
      <c r="AM31" s="53"/>
      <c r="AN31" s="53"/>
      <c r="AO31" s="3">
        <v>0.9</v>
      </c>
      <c r="AP31" s="50">
        <f t="shared" si="7"/>
        <v>10.008664531926916</v>
      </c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customFormat="1" ht="15" customHeight="1">
      <c r="A32" s="41" t="s">
        <v>75</v>
      </c>
      <c r="B32" s="41" t="s">
        <v>107</v>
      </c>
      <c r="C32" s="41" t="s">
        <v>108</v>
      </c>
      <c r="D32" s="104">
        <v>1</v>
      </c>
      <c r="E32" s="55" t="s">
        <v>5</v>
      </c>
      <c r="F32" s="146" t="s">
        <v>516</v>
      </c>
      <c r="G32" s="48">
        <v>200</v>
      </c>
      <c r="H32" s="48">
        <v>200</v>
      </c>
      <c r="I32" s="45">
        <f>431/24</f>
        <v>17.958333333333332</v>
      </c>
      <c r="J32" s="45">
        <f>431/24</f>
        <v>17.958333333333332</v>
      </c>
      <c r="K32" s="43">
        <f t="shared" si="8"/>
        <v>8.9791666666666659E-2</v>
      </c>
      <c r="L32" s="44">
        <v>0.05</v>
      </c>
      <c r="M32" s="44">
        <v>1</v>
      </c>
      <c r="N32" s="3"/>
      <c r="O32" s="3"/>
      <c r="P32" s="3"/>
      <c r="Q32" s="3"/>
      <c r="R32" s="3"/>
      <c r="S32" s="3"/>
      <c r="T32" s="45">
        <v>3.6</v>
      </c>
      <c r="U32" s="45">
        <v>40</v>
      </c>
      <c r="V32" s="45">
        <v>4.3</v>
      </c>
      <c r="W32" s="45">
        <v>48</v>
      </c>
      <c r="X32" s="51">
        <f>Y33*(T32/U32)</f>
        <v>4.95</v>
      </c>
      <c r="Y32" s="45">
        <v>55</v>
      </c>
      <c r="Z32" s="108">
        <f t="shared" si="3"/>
        <v>1.375</v>
      </c>
      <c r="AA32" s="57">
        <v>0.99997999999999998</v>
      </c>
      <c r="AB32" s="57">
        <v>0.99997999999999998</v>
      </c>
      <c r="AC32" s="47" t="s">
        <v>80</v>
      </c>
      <c r="AD32" s="3"/>
      <c r="AE32" s="3">
        <v>-75</v>
      </c>
      <c r="AF32" s="47" t="s">
        <v>109</v>
      </c>
      <c r="AG32" s="3">
        <v>30</v>
      </c>
      <c r="AH32" s="3">
        <v>30</v>
      </c>
      <c r="AI32" s="3"/>
      <c r="AJ32" s="3"/>
      <c r="AK32" s="3"/>
      <c r="AL32" s="3"/>
      <c r="AM32" s="54" t="s">
        <v>110</v>
      </c>
      <c r="AN32" s="3"/>
      <c r="AO32" s="3">
        <v>0.8</v>
      </c>
      <c r="AP32" s="50">
        <f t="shared" si="7"/>
        <v>8.9095127610208831</v>
      </c>
      <c r="AQ32" s="3"/>
      <c r="AR32" s="3"/>
      <c r="AS32" s="3"/>
      <c r="AT32" s="3">
        <v>1400</v>
      </c>
      <c r="AU32" s="3">
        <v>6000</v>
      </c>
      <c r="AV32" s="3">
        <v>36000</v>
      </c>
      <c r="AW32" s="3"/>
      <c r="AX32" s="3"/>
      <c r="AY32" s="3"/>
      <c r="AZ32" s="3"/>
    </row>
    <row r="33" spans="1:52" customFormat="1" ht="15" customHeight="1">
      <c r="A33" s="41" t="s">
        <v>75</v>
      </c>
      <c r="B33" s="41" t="s">
        <v>107</v>
      </c>
      <c r="C33" s="41" t="s">
        <v>111</v>
      </c>
      <c r="D33" s="104">
        <v>1</v>
      </c>
      <c r="E33" s="55" t="s">
        <v>5</v>
      </c>
      <c r="F33" s="146" t="s">
        <v>516</v>
      </c>
      <c r="G33" s="48">
        <v>250</v>
      </c>
      <c r="H33" s="48">
        <v>250</v>
      </c>
      <c r="I33" s="45">
        <f>539/24</f>
        <v>22.458333333333332</v>
      </c>
      <c r="J33" s="45">
        <f>539/24</f>
        <v>22.458333333333332</v>
      </c>
      <c r="K33" s="43">
        <f t="shared" si="8"/>
        <v>8.9833333333333334E-2</v>
      </c>
      <c r="L33" s="44">
        <v>0.05</v>
      </c>
      <c r="M33" s="44">
        <v>1</v>
      </c>
      <c r="N33" s="3"/>
      <c r="O33" s="3"/>
      <c r="P33" s="3"/>
      <c r="Q33" s="3"/>
      <c r="R33" s="3"/>
      <c r="S33" s="3"/>
      <c r="T33" s="45">
        <v>3.6</v>
      </c>
      <c r="U33" s="45">
        <v>40</v>
      </c>
      <c r="V33" s="45">
        <v>4.3</v>
      </c>
      <c r="W33" s="45">
        <v>48</v>
      </c>
      <c r="X33" s="51">
        <f>Y34*(T33/U33)</f>
        <v>4.8599999999999994</v>
      </c>
      <c r="Y33" s="45">
        <v>55</v>
      </c>
      <c r="Z33" s="108">
        <f t="shared" si="3"/>
        <v>1.3499999999999999</v>
      </c>
      <c r="AA33" s="57">
        <v>0.99997999999999998</v>
      </c>
      <c r="AB33" s="57">
        <v>0.99997999999999998</v>
      </c>
      <c r="AC33" s="47" t="s">
        <v>80</v>
      </c>
      <c r="AD33" s="3"/>
      <c r="AE33" s="3">
        <v>-75</v>
      </c>
      <c r="AF33" s="47" t="s">
        <v>109</v>
      </c>
      <c r="AG33" s="3">
        <v>30</v>
      </c>
      <c r="AH33" s="3">
        <v>30</v>
      </c>
      <c r="AI33" s="3"/>
      <c r="AJ33" s="3"/>
      <c r="AK33" s="3"/>
      <c r="AL33" s="3"/>
      <c r="AM33" s="54" t="s">
        <v>110</v>
      </c>
      <c r="AN33" s="3"/>
      <c r="AO33" s="3">
        <v>0.8</v>
      </c>
      <c r="AP33" s="50">
        <f t="shared" si="7"/>
        <v>8.9053803339517632</v>
      </c>
      <c r="AQ33" s="3"/>
      <c r="AR33" s="3"/>
      <c r="AS33" s="3"/>
      <c r="AT33" s="3">
        <v>1700</v>
      </c>
      <c r="AU33" s="3">
        <v>6000</v>
      </c>
      <c r="AV33" s="3">
        <v>36000</v>
      </c>
      <c r="AW33" s="3"/>
      <c r="AX33" s="3"/>
      <c r="AY33" s="3"/>
      <c r="AZ33" s="3"/>
    </row>
    <row r="34" spans="1:52" customFormat="1" ht="15" customHeight="1">
      <c r="A34" s="41" t="s">
        <v>75</v>
      </c>
      <c r="B34" s="41" t="s">
        <v>107</v>
      </c>
      <c r="C34" s="41" t="s">
        <v>112</v>
      </c>
      <c r="D34" s="104">
        <v>1</v>
      </c>
      <c r="E34" s="55" t="s">
        <v>5</v>
      </c>
      <c r="F34" s="146" t="s">
        <v>516</v>
      </c>
      <c r="G34" s="48">
        <v>400</v>
      </c>
      <c r="H34" s="48">
        <v>400</v>
      </c>
      <c r="I34" s="45">
        <f>862/24</f>
        <v>35.916666666666664</v>
      </c>
      <c r="J34" s="45">
        <f>862/24</f>
        <v>35.916666666666664</v>
      </c>
      <c r="K34" s="43">
        <f t="shared" si="8"/>
        <v>8.9791666666666659E-2</v>
      </c>
      <c r="L34" s="44">
        <v>0.05</v>
      </c>
      <c r="M34" s="44">
        <v>1</v>
      </c>
      <c r="N34" s="3"/>
      <c r="O34" s="3"/>
      <c r="P34" s="3"/>
      <c r="Q34" s="3"/>
      <c r="R34" s="3"/>
      <c r="S34" s="3"/>
      <c r="T34" s="45">
        <v>3.6</v>
      </c>
      <c r="U34" s="45">
        <v>40</v>
      </c>
      <c r="V34" s="45">
        <v>4.3</v>
      </c>
      <c r="W34" s="45">
        <v>48</v>
      </c>
      <c r="X34" s="51">
        <f>Y35*(T34/U34)</f>
        <v>4.8599999999999994</v>
      </c>
      <c r="Y34" s="45">
        <v>54</v>
      </c>
      <c r="Z34" s="108">
        <f t="shared" si="3"/>
        <v>1.3499999999999999</v>
      </c>
      <c r="AA34" s="57">
        <v>0.99997999999999998</v>
      </c>
      <c r="AB34" s="57">
        <v>0.99997999999999998</v>
      </c>
      <c r="AC34" s="47" t="s">
        <v>80</v>
      </c>
      <c r="AD34" s="3"/>
      <c r="AE34" s="3">
        <v>-75</v>
      </c>
      <c r="AF34" s="47" t="s">
        <v>109</v>
      </c>
      <c r="AG34" s="3">
        <v>30</v>
      </c>
      <c r="AH34" s="3">
        <v>30</v>
      </c>
      <c r="AI34" s="3"/>
      <c r="AJ34" s="3"/>
      <c r="AK34" s="3"/>
      <c r="AL34" s="3"/>
      <c r="AM34" s="54" t="s">
        <v>110</v>
      </c>
      <c r="AN34" s="3"/>
      <c r="AO34" s="3">
        <v>0.8</v>
      </c>
      <c r="AP34" s="50">
        <f t="shared" si="7"/>
        <v>8.9095127610208831</v>
      </c>
      <c r="AQ34" s="3"/>
      <c r="AR34" s="3"/>
      <c r="AS34" s="3"/>
      <c r="AT34" s="3">
        <v>3200</v>
      </c>
      <c r="AU34" s="3">
        <v>6000</v>
      </c>
      <c r="AV34" s="3">
        <v>36000</v>
      </c>
      <c r="AW34" s="3"/>
      <c r="AX34" s="3"/>
      <c r="AY34" s="3"/>
      <c r="AZ34" s="3"/>
    </row>
    <row r="35" spans="1:52" customFormat="1" ht="15" customHeight="1">
      <c r="A35" s="41" t="s">
        <v>75</v>
      </c>
      <c r="B35" s="41" t="s">
        <v>107</v>
      </c>
      <c r="C35" s="41" t="s">
        <v>113</v>
      </c>
      <c r="D35" s="104">
        <v>1</v>
      </c>
      <c r="E35" s="55" t="s">
        <v>5</v>
      </c>
      <c r="F35" s="146" t="s">
        <v>516</v>
      </c>
      <c r="G35" s="48">
        <v>500</v>
      </c>
      <c r="H35" s="48">
        <v>500</v>
      </c>
      <c r="I35" s="45">
        <f>1080/24</f>
        <v>45</v>
      </c>
      <c r="J35" s="45">
        <f>1080/24</f>
        <v>45</v>
      </c>
      <c r="K35" s="43">
        <f t="shared" si="8"/>
        <v>0.09</v>
      </c>
      <c r="L35" s="44">
        <v>0.05</v>
      </c>
      <c r="M35" s="44">
        <v>1</v>
      </c>
      <c r="N35" s="3"/>
      <c r="O35" s="3"/>
      <c r="P35" s="3"/>
      <c r="Q35" s="3"/>
      <c r="R35" s="3"/>
      <c r="S35" s="3"/>
      <c r="T35" s="45">
        <v>3.6</v>
      </c>
      <c r="U35" s="45">
        <v>40</v>
      </c>
      <c r="V35" s="45">
        <v>4.3</v>
      </c>
      <c r="W35" s="45">
        <v>48</v>
      </c>
      <c r="X35" s="51">
        <f>Y35*(T35/U35)</f>
        <v>4.8599999999999994</v>
      </c>
      <c r="Y35" s="45">
        <v>54</v>
      </c>
      <c r="Z35" s="108">
        <f t="shared" si="3"/>
        <v>1.3499999999999999</v>
      </c>
      <c r="AA35" s="57">
        <v>0.99997999999999998</v>
      </c>
      <c r="AB35" s="57">
        <v>0.99997999999999998</v>
      </c>
      <c r="AC35" s="47" t="s">
        <v>80</v>
      </c>
      <c r="AD35" s="3"/>
      <c r="AE35" s="3">
        <v>-75</v>
      </c>
      <c r="AF35" s="47" t="s">
        <v>109</v>
      </c>
      <c r="AG35" s="3">
        <v>30</v>
      </c>
      <c r="AH35" s="3">
        <v>30</v>
      </c>
      <c r="AI35" s="3"/>
      <c r="AJ35" s="3"/>
      <c r="AK35" s="3"/>
      <c r="AL35" s="3"/>
      <c r="AM35" s="54" t="s">
        <v>110</v>
      </c>
      <c r="AN35" s="3"/>
      <c r="AO35" s="3">
        <v>0.8</v>
      </c>
      <c r="AP35" s="50">
        <f t="shared" si="7"/>
        <v>8.8888888888888893</v>
      </c>
      <c r="AQ35" s="3"/>
      <c r="AR35" s="3"/>
      <c r="AS35" s="3"/>
      <c r="AT35" s="3">
        <v>3200</v>
      </c>
      <c r="AU35" s="3">
        <v>6000</v>
      </c>
      <c r="AV35" s="3">
        <v>36000</v>
      </c>
      <c r="AW35" s="3"/>
      <c r="AX35" s="3"/>
      <c r="AY35" s="3"/>
      <c r="AZ35" s="3"/>
    </row>
    <row r="36" spans="1:52" customFormat="1" ht="15" customHeight="1">
      <c r="A36" s="41" t="s">
        <v>75</v>
      </c>
      <c r="B36" s="41" t="s">
        <v>107</v>
      </c>
      <c r="C36" s="41" t="s">
        <v>114</v>
      </c>
      <c r="D36" s="104">
        <v>1</v>
      </c>
      <c r="E36" s="55" t="s">
        <v>5</v>
      </c>
      <c r="F36" s="146" t="s">
        <v>516</v>
      </c>
      <c r="G36" s="48">
        <v>1000</v>
      </c>
      <c r="H36" s="48">
        <v>1000</v>
      </c>
      <c r="I36" s="45">
        <f>2160/24</f>
        <v>90</v>
      </c>
      <c r="J36" s="45">
        <f>2160/24</f>
        <v>90</v>
      </c>
      <c r="K36" s="43">
        <f t="shared" si="8"/>
        <v>0.09</v>
      </c>
      <c r="L36" s="44">
        <v>0.05</v>
      </c>
      <c r="M36" s="44">
        <v>1.25</v>
      </c>
      <c r="N36" s="3"/>
      <c r="O36" s="3"/>
      <c r="P36" s="3"/>
      <c r="Q36" s="3"/>
      <c r="R36" s="3"/>
      <c r="S36" s="3"/>
      <c r="T36" s="45">
        <v>3.6</v>
      </c>
      <c r="U36" s="45">
        <v>40</v>
      </c>
      <c r="V36" s="45">
        <v>4.5</v>
      </c>
      <c r="W36" s="45">
        <v>50</v>
      </c>
      <c r="X36" s="51">
        <f>Y36*(T36/U36)</f>
        <v>4.59</v>
      </c>
      <c r="Y36" s="45">
        <v>51</v>
      </c>
      <c r="Z36" s="108">
        <f t="shared" si="3"/>
        <v>1.2749999999999999</v>
      </c>
      <c r="AA36" s="58">
        <v>0.99990000000000001</v>
      </c>
      <c r="AB36" s="57">
        <v>0.99997999999999998</v>
      </c>
      <c r="AC36" s="47" t="s">
        <v>115</v>
      </c>
      <c r="AD36" s="3"/>
      <c r="AE36" s="3"/>
      <c r="AF36" s="3"/>
      <c r="AG36" s="3">
        <v>30</v>
      </c>
      <c r="AH36" s="3">
        <v>30</v>
      </c>
      <c r="AI36" s="3"/>
      <c r="AJ36" s="3"/>
      <c r="AK36" s="3"/>
      <c r="AL36" s="3"/>
      <c r="AM36" s="59" t="s">
        <v>116</v>
      </c>
      <c r="AN36" s="3"/>
      <c r="AO36" s="3">
        <v>0.8</v>
      </c>
      <c r="AP36" s="50">
        <f t="shared" si="7"/>
        <v>8.8888888888888893</v>
      </c>
      <c r="AQ36" s="3"/>
      <c r="AR36" s="3"/>
      <c r="AS36" s="3"/>
      <c r="AT36" s="3">
        <v>7000</v>
      </c>
      <c r="AU36" s="3">
        <v>4100</v>
      </c>
      <c r="AV36" s="3">
        <v>30000</v>
      </c>
      <c r="AW36" s="3"/>
      <c r="AX36" s="3"/>
      <c r="AY36" s="3"/>
      <c r="AZ36" s="3"/>
    </row>
    <row r="37" spans="1:52" customFormat="1" ht="15" customHeight="1">
      <c r="A37" s="41" t="s">
        <v>75</v>
      </c>
      <c r="B37" s="41" t="s">
        <v>107</v>
      </c>
      <c r="C37" s="41" t="s">
        <v>117</v>
      </c>
      <c r="D37" s="104">
        <v>1</v>
      </c>
      <c r="E37" s="55" t="s">
        <v>5</v>
      </c>
      <c r="F37" s="146" t="s">
        <v>516</v>
      </c>
      <c r="G37" s="48">
        <v>4000</v>
      </c>
      <c r="H37" s="48">
        <v>4000</v>
      </c>
      <c r="I37" s="45">
        <f>8630/24</f>
        <v>359.58333333333331</v>
      </c>
      <c r="J37" s="45">
        <f>8630/24</f>
        <v>359.58333333333331</v>
      </c>
      <c r="K37" s="43">
        <f t="shared" si="8"/>
        <v>8.9895833333333328E-2</v>
      </c>
      <c r="L37" s="44">
        <v>0.05</v>
      </c>
      <c r="M37" s="44">
        <v>1.25</v>
      </c>
      <c r="N37" s="3"/>
      <c r="O37" s="3"/>
      <c r="P37" s="3"/>
      <c r="Q37" s="3"/>
      <c r="R37" s="3"/>
      <c r="S37" s="3"/>
      <c r="T37" s="45">
        <v>3.6</v>
      </c>
      <c r="U37" s="45">
        <v>40</v>
      </c>
      <c r="V37" s="45">
        <v>4.5</v>
      </c>
      <c r="W37" s="45">
        <v>50</v>
      </c>
      <c r="X37" s="51">
        <f>Y37*(T37/U37)</f>
        <v>4.59</v>
      </c>
      <c r="Y37" s="45">
        <v>51</v>
      </c>
      <c r="Z37" s="108">
        <f t="shared" si="3"/>
        <v>1.2749999999999999</v>
      </c>
      <c r="AA37" s="58">
        <v>0.99990000000000001</v>
      </c>
      <c r="AB37" s="57">
        <v>0.99997999999999998</v>
      </c>
      <c r="AC37" s="47" t="s">
        <v>115</v>
      </c>
      <c r="AD37" s="3"/>
      <c r="AE37" s="3"/>
      <c r="AF37" s="3"/>
      <c r="AG37" s="3">
        <v>30</v>
      </c>
      <c r="AH37" s="3">
        <v>30</v>
      </c>
      <c r="AI37" s="3"/>
      <c r="AJ37" s="3"/>
      <c r="AK37" s="3"/>
      <c r="AL37" s="3"/>
      <c r="AM37" s="59" t="s">
        <v>116</v>
      </c>
      <c r="AN37" s="3"/>
      <c r="AO37" s="3">
        <v>0.8</v>
      </c>
      <c r="AP37" s="50">
        <f t="shared" si="7"/>
        <v>8.8991888760139055</v>
      </c>
      <c r="AQ37" s="3"/>
      <c r="AR37" s="3"/>
      <c r="AS37" s="3"/>
      <c r="AT37" s="3">
        <v>23000</v>
      </c>
      <c r="AU37" s="3">
        <v>4100</v>
      </c>
      <c r="AV37" s="3">
        <v>30000</v>
      </c>
      <c r="AW37" s="3"/>
      <c r="AX37" s="3"/>
      <c r="AY37" s="3"/>
      <c r="AZ37" s="3"/>
    </row>
    <row r="38" spans="1:52" customFormat="1" ht="15" customHeight="1">
      <c r="A38" s="41" t="s">
        <v>75</v>
      </c>
      <c r="B38" s="41" t="s">
        <v>118</v>
      </c>
      <c r="C38" s="41" t="s">
        <v>119</v>
      </c>
      <c r="D38" s="104">
        <v>1</v>
      </c>
      <c r="E38" s="60" t="s">
        <v>5</v>
      </c>
      <c r="F38" s="147" t="s">
        <v>515</v>
      </c>
      <c r="G38" s="64">
        <v>0.5</v>
      </c>
      <c r="H38" s="64">
        <v>0.5</v>
      </c>
      <c r="I38" s="51">
        <f>G38*K38</f>
        <v>4.4949999999999997E-2</v>
      </c>
      <c r="J38" s="51">
        <f>H38*K38</f>
        <v>4.4949999999999997E-2</v>
      </c>
      <c r="K38" s="52">
        <v>8.9899999999999994E-2</v>
      </c>
      <c r="T38" s="126"/>
      <c r="U38" s="126"/>
      <c r="V38" s="126"/>
      <c r="W38" s="126"/>
      <c r="X38" s="45">
        <v>4.8</v>
      </c>
      <c r="Y38" s="51">
        <f t="shared" ref="Y38:Y49" si="9">X38/K38</f>
        <v>53.392658509454954</v>
      </c>
      <c r="Z38" s="108" t="e">
        <f t="shared" si="3"/>
        <v>#DIV/0!</v>
      </c>
      <c r="AA38" s="57">
        <v>0.99995000000000001</v>
      </c>
      <c r="AB38" s="57">
        <v>0.99999000000000005</v>
      </c>
      <c r="AC38" s="3"/>
      <c r="AD38" s="3"/>
      <c r="AE38" s="3"/>
      <c r="AF38" s="3"/>
      <c r="AG38" s="3">
        <v>15</v>
      </c>
      <c r="AH38" s="3">
        <v>30</v>
      </c>
      <c r="AI38" s="3"/>
      <c r="AJ38" s="3"/>
      <c r="AK38" s="3"/>
      <c r="AL38" s="3"/>
      <c r="AM38" s="3"/>
      <c r="AN38" s="3"/>
      <c r="AO38" s="3">
        <v>0.8</v>
      </c>
      <c r="AP38" s="50">
        <f t="shared" si="7"/>
        <v>8.8987764182424929</v>
      </c>
      <c r="AQ38" s="3"/>
      <c r="AR38" s="3"/>
      <c r="AS38" s="3"/>
      <c r="AT38" s="3"/>
      <c r="AU38" s="3">
        <v>400</v>
      </c>
      <c r="AV38" s="3">
        <v>400</v>
      </c>
      <c r="AW38" s="3">
        <v>3</v>
      </c>
      <c r="AX38" s="3"/>
      <c r="AY38" s="3"/>
      <c r="AZ38" s="3"/>
    </row>
    <row r="39" spans="1:52" customFormat="1" ht="15" customHeight="1">
      <c r="A39" s="41" t="s">
        <v>75</v>
      </c>
      <c r="B39" s="41" t="s">
        <v>118</v>
      </c>
      <c r="C39" s="41" t="s">
        <v>120</v>
      </c>
      <c r="D39" s="104">
        <v>1</v>
      </c>
      <c r="E39" s="60" t="s">
        <v>5</v>
      </c>
      <c r="F39" s="147" t="s">
        <v>515</v>
      </c>
      <c r="G39" s="64">
        <v>0.75</v>
      </c>
      <c r="H39" s="64">
        <v>0.75</v>
      </c>
      <c r="I39" s="51">
        <f t="shared" ref="I39:I49" si="10">G39*K39</f>
        <v>6.7424999999999999E-2</v>
      </c>
      <c r="J39" s="51">
        <f t="shared" ref="J39:J49" si="11">H39*K39</f>
        <v>6.7424999999999999E-2</v>
      </c>
      <c r="K39" s="52">
        <v>8.9899999999999994E-2</v>
      </c>
      <c r="T39" s="126"/>
      <c r="U39" s="126"/>
      <c r="V39" s="126"/>
      <c r="W39" s="126"/>
      <c r="X39" s="45">
        <v>4.8</v>
      </c>
      <c r="Y39" s="51">
        <f t="shared" si="9"/>
        <v>53.392658509454954</v>
      </c>
      <c r="Z39" s="108" t="e">
        <f t="shared" si="3"/>
        <v>#DIV/0!</v>
      </c>
      <c r="AA39" s="57">
        <v>0.99995000000000001</v>
      </c>
      <c r="AB39" s="57">
        <v>0.99999000000000005</v>
      </c>
      <c r="AC39" s="3"/>
      <c r="AD39" s="3"/>
      <c r="AE39" s="3"/>
      <c r="AF39" s="3"/>
      <c r="AG39" s="3">
        <v>15</v>
      </c>
      <c r="AH39" s="3">
        <v>30</v>
      </c>
      <c r="AI39" s="3"/>
      <c r="AJ39" s="3"/>
      <c r="AK39" s="3"/>
      <c r="AL39" s="3"/>
      <c r="AM39" s="3"/>
      <c r="AN39" s="3"/>
      <c r="AO39" s="3">
        <v>0.8</v>
      </c>
      <c r="AP39" s="50">
        <f t="shared" si="7"/>
        <v>8.8987764182424929</v>
      </c>
      <c r="AQ39" s="3"/>
      <c r="AR39" s="3"/>
      <c r="AS39" s="3"/>
      <c r="AT39" s="3"/>
      <c r="AU39" s="3">
        <v>400</v>
      </c>
      <c r="AV39" s="3">
        <v>400</v>
      </c>
      <c r="AW39" s="3">
        <v>3</v>
      </c>
      <c r="AX39" s="3"/>
      <c r="AY39" s="3"/>
      <c r="AZ39" s="3"/>
    </row>
    <row r="40" spans="1:52" customFormat="1" ht="15" customHeight="1">
      <c r="A40" s="41" t="s">
        <v>75</v>
      </c>
      <c r="B40" s="41" t="s">
        <v>118</v>
      </c>
      <c r="C40" s="41" t="s">
        <v>121</v>
      </c>
      <c r="D40" s="104">
        <v>1</v>
      </c>
      <c r="E40" s="60" t="s">
        <v>5</v>
      </c>
      <c r="F40" s="147" t="s">
        <v>515</v>
      </c>
      <c r="G40" s="64">
        <v>1</v>
      </c>
      <c r="H40" s="64">
        <v>1</v>
      </c>
      <c r="I40" s="51">
        <f t="shared" si="10"/>
        <v>8.9899999999999994E-2</v>
      </c>
      <c r="J40" s="51">
        <f t="shared" si="11"/>
        <v>8.9899999999999994E-2</v>
      </c>
      <c r="K40" s="52">
        <v>8.9899999999999994E-2</v>
      </c>
      <c r="T40" s="126"/>
      <c r="U40" s="126"/>
      <c r="V40" s="126"/>
      <c r="W40" s="126"/>
      <c r="X40" s="45">
        <v>4.8</v>
      </c>
      <c r="Y40" s="51">
        <f t="shared" si="9"/>
        <v>53.392658509454954</v>
      </c>
      <c r="Z40" s="108" t="e">
        <f t="shared" si="3"/>
        <v>#DIV/0!</v>
      </c>
      <c r="AA40" s="57">
        <v>0.99995000000000001</v>
      </c>
      <c r="AB40" s="57">
        <v>0.99999000000000005</v>
      </c>
      <c r="AC40" s="3"/>
      <c r="AD40" s="3"/>
      <c r="AE40" s="3"/>
      <c r="AF40" s="3"/>
      <c r="AG40" s="3">
        <v>15</v>
      </c>
      <c r="AH40" s="3">
        <v>30</v>
      </c>
      <c r="AI40" s="3"/>
      <c r="AJ40" s="3"/>
      <c r="AK40" s="3"/>
      <c r="AL40" s="3"/>
      <c r="AM40" s="3"/>
      <c r="AN40" s="3"/>
      <c r="AO40" s="3">
        <v>0.8</v>
      </c>
      <c r="AP40" s="50">
        <f t="shared" si="7"/>
        <v>8.8987764182424929</v>
      </c>
      <c r="AQ40" s="3"/>
      <c r="AR40" s="3"/>
      <c r="AS40" s="3"/>
      <c r="AT40" s="3"/>
      <c r="AU40" s="3">
        <v>400</v>
      </c>
      <c r="AV40" s="3">
        <v>400</v>
      </c>
      <c r="AW40" s="3">
        <v>3</v>
      </c>
      <c r="AX40" s="3"/>
      <c r="AY40" s="3"/>
      <c r="AZ40" s="3"/>
    </row>
    <row r="41" spans="1:52" customFormat="1" ht="15" customHeight="1">
      <c r="A41" s="41" t="s">
        <v>75</v>
      </c>
      <c r="B41" s="41" t="s">
        <v>118</v>
      </c>
      <c r="C41" s="41" t="s">
        <v>122</v>
      </c>
      <c r="D41" s="104">
        <v>1</v>
      </c>
      <c r="E41" s="60" t="s">
        <v>5</v>
      </c>
      <c r="F41" s="147" t="s">
        <v>515</v>
      </c>
      <c r="G41" s="64">
        <v>1.25</v>
      </c>
      <c r="H41" s="64">
        <v>1.25</v>
      </c>
      <c r="I41" s="51">
        <f t="shared" si="10"/>
        <v>0.11237499999999999</v>
      </c>
      <c r="J41" s="51">
        <f t="shared" si="11"/>
        <v>0.11237499999999999</v>
      </c>
      <c r="K41" s="52">
        <v>8.9899999999999994E-2</v>
      </c>
      <c r="T41" s="126"/>
      <c r="U41" s="126"/>
      <c r="V41" s="126"/>
      <c r="W41" s="126"/>
      <c r="X41" s="45">
        <v>4.8</v>
      </c>
      <c r="Y41" s="51">
        <f t="shared" si="9"/>
        <v>53.392658509454954</v>
      </c>
      <c r="Z41" s="108" t="e">
        <f t="shared" si="3"/>
        <v>#DIV/0!</v>
      </c>
      <c r="AA41" s="57">
        <v>0.99995000000000001</v>
      </c>
      <c r="AB41" s="57">
        <v>0.99999000000000005</v>
      </c>
      <c r="AC41" s="3"/>
      <c r="AD41" s="3"/>
      <c r="AE41" s="3"/>
      <c r="AF41" s="3"/>
      <c r="AG41" s="3">
        <v>15</v>
      </c>
      <c r="AH41" s="3">
        <v>30</v>
      </c>
      <c r="AI41" s="3"/>
      <c r="AJ41" s="3"/>
      <c r="AK41" s="3"/>
      <c r="AL41" s="3"/>
      <c r="AM41" s="3"/>
      <c r="AN41" s="3"/>
      <c r="AO41" s="3">
        <v>0.8</v>
      </c>
      <c r="AP41" s="50">
        <f t="shared" si="7"/>
        <v>8.8987764182424929</v>
      </c>
      <c r="AQ41" s="3"/>
      <c r="AR41" s="3"/>
      <c r="AS41" s="3"/>
      <c r="AT41" s="3"/>
      <c r="AU41" s="3">
        <v>400</v>
      </c>
      <c r="AV41" s="3">
        <v>400</v>
      </c>
      <c r="AW41" s="3">
        <v>3</v>
      </c>
      <c r="AX41" s="3"/>
      <c r="AY41" s="3"/>
      <c r="AZ41" s="3"/>
    </row>
    <row r="42" spans="1:52" customFormat="1" ht="15" customHeight="1">
      <c r="A42" s="41" t="s">
        <v>75</v>
      </c>
      <c r="B42" s="41" t="s">
        <v>118</v>
      </c>
      <c r="C42" s="41" t="s">
        <v>123</v>
      </c>
      <c r="D42" s="104">
        <v>1</v>
      </c>
      <c r="E42" s="60" t="s">
        <v>5</v>
      </c>
      <c r="F42" s="147" t="s">
        <v>515</v>
      </c>
      <c r="G42" s="64">
        <v>1.5</v>
      </c>
      <c r="H42" s="64">
        <v>1.5</v>
      </c>
      <c r="I42" s="51">
        <f t="shared" si="10"/>
        <v>0.13485</v>
      </c>
      <c r="J42" s="51">
        <f t="shared" si="11"/>
        <v>0.13485</v>
      </c>
      <c r="K42" s="52">
        <v>8.9899999999999994E-2</v>
      </c>
      <c r="T42" s="126"/>
      <c r="U42" s="126"/>
      <c r="V42" s="126"/>
      <c r="W42" s="126"/>
      <c r="X42" s="45">
        <v>4.8</v>
      </c>
      <c r="Y42" s="51">
        <f t="shared" si="9"/>
        <v>53.392658509454954</v>
      </c>
      <c r="Z42" s="108" t="e">
        <f t="shared" si="3"/>
        <v>#DIV/0!</v>
      </c>
      <c r="AA42" s="57">
        <v>0.99995000000000001</v>
      </c>
      <c r="AB42" s="57">
        <v>0.99999000000000005</v>
      </c>
      <c r="AC42" s="3"/>
      <c r="AD42" s="3"/>
      <c r="AE42" s="3"/>
      <c r="AF42" s="3"/>
      <c r="AG42" s="3">
        <v>15</v>
      </c>
      <c r="AH42" s="3">
        <v>30</v>
      </c>
      <c r="AI42" s="3"/>
      <c r="AJ42" s="3"/>
      <c r="AK42" s="3"/>
      <c r="AL42" s="3"/>
      <c r="AM42" s="3"/>
      <c r="AN42" s="3"/>
      <c r="AO42" s="3">
        <v>0.8</v>
      </c>
      <c r="AP42" s="50">
        <f t="shared" si="7"/>
        <v>8.8987764182424929</v>
      </c>
      <c r="AQ42" s="3"/>
      <c r="AR42" s="3"/>
      <c r="AS42" s="3"/>
      <c r="AT42" s="3"/>
      <c r="AU42" s="3">
        <v>400</v>
      </c>
      <c r="AV42" s="3">
        <v>400</v>
      </c>
      <c r="AW42" s="3">
        <v>3</v>
      </c>
      <c r="AX42" s="3"/>
      <c r="AY42" s="3"/>
      <c r="AZ42" s="3"/>
    </row>
    <row r="43" spans="1:52" customFormat="1" ht="15" customHeight="1">
      <c r="A43" s="41" t="s">
        <v>75</v>
      </c>
      <c r="B43" s="41" t="s">
        <v>118</v>
      </c>
      <c r="C43" s="41" t="s">
        <v>124</v>
      </c>
      <c r="D43" s="104">
        <v>1</v>
      </c>
      <c r="E43" s="60" t="s">
        <v>5</v>
      </c>
      <c r="F43" s="147" t="s">
        <v>515</v>
      </c>
      <c r="G43" s="64">
        <v>1.75</v>
      </c>
      <c r="H43" s="64">
        <v>1.75</v>
      </c>
      <c r="I43" s="51">
        <f t="shared" si="10"/>
        <v>0.15732499999999999</v>
      </c>
      <c r="J43" s="51">
        <f t="shared" si="11"/>
        <v>0.15732499999999999</v>
      </c>
      <c r="K43" s="52">
        <v>8.9899999999999994E-2</v>
      </c>
      <c r="T43" s="126"/>
      <c r="U43" s="126"/>
      <c r="V43" s="126"/>
      <c r="W43" s="126"/>
      <c r="X43" s="45">
        <v>4.8</v>
      </c>
      <c r="Y43" s="51">
        <f t="shared" si="9"/>
        <v>53.392658509454954</v>
      </c>
      <c r="Z43" s="108" t="e">
        <f t="shared" si="3"/>
        <v>#DIV/0!</v>
      </c>
      <c r="AA43" s="57">
        <v>0.99995000000000001</v>
      </c>
      <c r="AB43" s="57">
        <v>0.99999000000000005</v>
      </c>
      <c r="AC43" s="3"/>
      <c r="AD43" s="3"/>
      <c r="AE43" s="3"/>
      <c r="AF43" s="3"/>
      <c r="AG43" s="3">
        <v>15</v>
      </c>
      <c r="AH43" s="3">
        <v>30</v>
      </c>
      <c r="AI43" s="3"/>
      <c r="AJ43" s="3"/>
      <c r="AK43" s="3"/>
      <c r="AL43" s="3"/>
      <c r="AM43" s="3"/>
      <c r="AN43" s="3"/>
      <c r="AO43" s="3">
        <v>0.8</v>
      </c>
      <c r="AP43" s="50">
        <f t="shared" si="7"/>
        <v>8.8987764182424929</v>
      </c>
      <c r="AQ43" s="3"/>
      <c r="AR43" s="3"/>
      <c r="AS43" s="3"/>
      <c r="AT43" s="3"/>
      <c r="AU43" s="3">
        <v>400</v>
      </c>
      <c r="AV43" s="3">
        <v>400</v>
      </c>
      <c r="AW43" s="3">
        <v>3</v>
      </c>
      <c r="AX43" s="3"/>
      <c r="AY43" s="3"/>
      <c r="AZ43" s="3"/>
    </row>
    <row r="44" spans="1:52" customFormat="1" ht="15" customHeight="1">
      <c r="A44" s="41" t="s">
        <v>75</v>
      </c>
      <c r="B44" s="41" t="s">
        <v>118</v>
      </c>
      <c r="C44" s="41" t="s">
        <v>125</v>
      </c>
      <c r="D44" s="104">
        <v>1</v>
      </c>
      <c r="E44" s="60" t="s">
        <v>5</v>
      </c>
      <c r="F44" s="147" t="s">
        <v>515</v>
      </c>
      <c r="G44" s="64">
        <v>2</v>
      </c>
      <c r="H44" s="64">
        <v>2</v>
      </c>
      <c r="I44" s="51">
        <f t="shared" si="10"/>
        <v>0.17979999999999999</v>
      </c>
      <c r="J44" s="51">
        <f t="shared" si="11"/>
        <v>0.17979999999999999</v>
      </c>
      <c r="K44" s="52">
        <v>8.9899999999999994E-2</v>
      </c>
      <c r="T44" s="126"/>
      <c r="U44" s="126"/>
      <c r="V44" s="126"/>
      <c r="W44" s="126"/>
      <c r="X44" s="45">
        <v>4.8</v>
      </c>
      <c r="Y44" s="51">
        <f t="shared" si="9"/>
        <v>53.392658509454954</v>
      </c>
      <c r="Z44" s="108" t="e">
        <f t="shared" si="3"/>
        <v>#DIV/0!</v>
      </c>
      <c r="AA44" s="57">
        <v>0.99995000000000001</v>
      </c>
      <c r="AB44" s="57">
        <v>0.99999000000000005</v>
      </c>
      <c r="AC44" s="3"/>
      <c r="AD44" s="3"/>
      <c r="AE44" s="3"/>
      <c r="AF44" s="3"/>
      <c r="AG44" s="3">
        <v>15</v>
      </c>
      <c r="AH44" s="3">
        <v>30</v>
      </c>
      <c r="AI44" s="3"/>
      <c r="AJ44" s="3"/>
      <c r="AK44" s="3"/>
      <c r="AL44" s="3"/>
      <c r="AM44" s="3"/>
      <c r="AN44" s="3"/>
      <c r="AO44" s="3">
        <v>0.8</v>
      </c>
      <c r="AP44" s="50">
        <f t="shared" si="7"/>
        <v>8.8987764182424929</v>
      </c>
      <c r="AQ44" s="3"/>
      <c r="AR44" s="3"/>
      <c r="AS44" s="3"/>
      <c r="AT44" s="3"/>
      <c r="AU44" s="3">
        <v>400</v>
      </c>
      <c r="AV44" s="3">
        <v>400</v>
      </c>
      <c r="AW44" s="3">
        <v>3</v>
      </c>
      <c r="AX44" s="3"/>
      <c r="AY44" s="3"/>
      <c r="AZ44" s="3"/>
    </row>
    <row r="45" spans="1:52" customFormat="1" ht="15" customHeight="1">
      <c r="A45" s="41" t="s">
        <v>75</v>
      </c>
      <c r="B45" s="41" t="s">
        <v>118</v>
      </c>
      <c r="C45" s="41" t="s">
        <v>285</v>
      </c>
      <c r="D45" s="104">
        <v>1</v>
      </c>
      <c r="E45" s="60" t="s">
        <v>5</v>
      </c>
      <c r="F45" s="147" t="s">
        <v>515</v>
      </c>
      <c r="G45" s="64">
        <v>5</v>
      </c>
      <c r="H45" s="64">
        <v>5</v>
      </c>
      <c r="I45" s="51">
        <f t="shared" si="10"/>
        <v>0.44949999999999996</v>
      </c>
      <c r="J45" s="51">
        <f t="shared" si="11"/>
        <v>0.44949999999999996</v>
      </c>
      <c r="K45" s="52">
        <v>8.9899999999999994E-2</v>
      </c>
      <c r="T45" s="126"/>
      <c r="U45" s="126"/>
      <c r="V45" s="126"/>
      <c r="W45" s="126"/>
      <c r="X45" s="45">
        <v>4.8</v>
      </c>
      <c r="Y45" s="51">
        <f t="shared" si="9"/>
        <v>53.392658509454954</v>
      </c>
      <c r="Z45" s="108" t="e">
        <f t="shared" si="3"/>
        <v>#DIV/0!</v>
      </c>
      <c r="AA45" s="57">
        <v>0.99995000000000001</v>
      </c>
      <c r="AB45" s="57">
        <v>0.99999000000000005</v>
      </c>
      <c r="AC45" s="3"/>
      <c r="AD45" s="3"/>
      <c r="AE45" s="3"/>
      <c r="AF45" s="3"/>
      <c r="AG45" s="3">
        <v>15</v>
      </c>
      <c r="AH45" s="3">
        <v>30</v>
      </c>
      <c r="AI45" s="3"/>
      <c r="AJ45" s="3"/>
      <c r="AK45" s="3"/>
      <c r="AL45" s="3"/>
      <c r="AM45" s="3"/>
      <c r="AN45" s="3"/>
      <c r="AO45" s="3">
        <v>0.8</v>
      </c>
      <c r="AP45" s="50">
        <f t="shared" si="7"/>
        <v>8.8987764182424929</v>
      </c>
      <c r="AQ45" s="3"/>
      <c r="AR45" s="3"/>
      <c r="AS45" s="3"/>
      <c r="AT45" s="3"/>
      <c r="AU45" s="3">
        <v>400</v>
      </c>
      <c r="AV45" s="3">
        <v>400</v>
      </c>
      <c r="AW45" s="3">
        <v>3</v>
      </c>
      <c r="AX45" s="3"/>
      <c r="AY45" s="3"/>
      <c r="AZ45" s="3"/>
    </row>
    <row r="46" spans="1:52" customFormat="1" ht="15" customHeight="1">
      <c r="A46" s="41" t="s">
        <v>75</v>
      </c>
      <c r="B46" s="41" t="s">
        <v>118</v>
      </c>
      <c r="C46" s="41" t="s">
        <v>289</v>
      </c>
      <c r="D46" s="104">
        <v>1</v>
      </c>
      <c r="E46" s="60" t="s">
        <v>5</v>
      </c>
      <c r="F46" s="147" t="s">
        <v>515</v>
      </c>
      <c r="G46" s="64">
        <v>7.5</v>
      </c>
      <c r="H46" s="64">
        <v>7.5</v>
      </c>
      <c r="I46" s="51">
        <f t="shared" si="10"/>
        <v>0.6742499999999999</v>
      </c>
      <c r="J46" s="51">
        <f t="shared" si="11"/>
        <v>0.6742499999999999</v>
      </c>
      <c r="K46" s="52">
        <v>8.9899999999999994E-2</v>
      </c>
      <c r="T46" s="126"/>
      <c r="U46" s="126"/>
      <c r="V46" s="126"/>
      <c r="W46" s="126"/>
      <c r="X46" s="45">
        <v>4.8</v>
      </c>
      <c r="Y46" s="51">
        <f t="shared" si="9"/>
        <v>53.392658509454954</v>
      </c>
      <c r="Z46" s="108" t="e">
        <f t="shared" si="3"/>
        <v>#DIV/0!</v>
      </c>
      <c r="AA46" s="57">
        <v>0.99995000000000001</v>
      </c>
      <c r="AB46" s="57">
        <v>0.99999000000000005</v>
      </c>
      <c r="AC46" s="3"/>
      <c r="AD46" s="3"/>
      <c r="AE46" s="3"/>
      <c r="AF46" s="3"/>
      <c r="AG46" s="3">
        <v>15</v>
      </c>
      <c r="AH46" s="3">
        <v>30</v>
      </c>
      <c r="AI46" s="3"/>
      <c r="AJ46" s="3"/>
      <c r="AK46" s="3"/>
      <c r="AL46" s="3"/>
      <c r="AM46" s="3"/>
      <c r="AN46" s="3"/>
      <c r="AO46" s="3">
        <v>0.8</v>
      </c>
      <c r="AP46" s="50">
        <f t="shared" si="7"/>
        <v>8.8987764182424929</v>
      </c>
      <c r="AQ46" s="3"/>
      <c r="AR46" s="3"/>
      <c r="AS46" s="3"/>
      <c r="AT46" s="3"/>
      <c r="AU46" s="3">
        <v>400</v>
      </c>
      <c r="AV46" s="3">
        <v>400</v>
      </c>
      <c r="AW46" s="3">
        <v>3</v>
      </c>
      <c r="AX46" s="3"/>
      <c r="AY46" s="3"/>
      <c r="AZ46" s="3"/>
    </row>
    <row r="47" spans="1:52" customFormat="1" ht="15" customHeight="1">
      <c r="A47" s="41" t="s">
        <v>75</v>
      </c>
      <c r="B47" s="41" t="s">
        <v>118</v>
      </c>
      <c r="C47" s="41" t="s">
        <v>286</v>
      </c>
      <c r="D47" s="104">
        <v>1</v>
      </c>
      <c r="E47" s="60" t="s">
        <v>5</v>
      </c>
      <c r="F47" s="147" t="s">
        <v>515</v>
      </c>
      <c r="G47" s="64">
        <v>10</v>
      </c>
      <c r="H47" s="64">
        <v>10</v>
      </c>
      <c r="I47" s="51">
        <f t="shared" si="10"/>
        <v>0.89899999999999991</v>
      </c>
      <c r="J47" s="51">
        <f t="shared" si="11"/>
        <v>0.89899999999999991</v>
      </c>
      <c r="K47" s="52">
        <v>8.9899999999999994E-2</v>
      </c>
      <c r="T47" s="126"/>
      <c r="U47" s="126"/>
      <c r="V47" s="126"/>
      <c r="W47" s="126"/>
      <c r="X47" s="45">
        <v>4.8</v>
      </c>
      <c r="Y47" s="51">
        <f t="shared" si="9"/>
        <v>53.392658509454954</v>
      </c>
      <c r="Z47" s="108" t="e">
        <f t="shared" si="3"/>
        <v>#DIV/0!</v>
      </c>
      <c r="AA47" s="57">
        <v>0.99995000000000001</v>
      </c>
      <c r="AB47" s="57">
        <v>0.99999000000000005</v>
      </c>
      <c r="AC47" s="3"/>
      <c r="AD47" s="3"/>
      <c r="AE47" s="3"/>
      <c r="AF47" s="3"/>
      <c r="AG47" s="3">
        <v>15</v>
      </c>
      <c r="AH47" s="3">
        <v>30</v>
      </c>
      <c r="AI47" s="3"/>
      <c r="AJ47" s="3"/>
      <c r="AK47" s="3"/>
      <c r="AL47" s="3"/>
      <c r="AM47" s="3"/>
      <c r="AN47" s="3"/>
      <c r="AO47" s="3">
        <v>0.8</v>
      </c>
      <c r="AP47" s="50">
        <f t="shared" si="7"/>
        <v>8.8987764182424929</v>
      </c>
      <c r="AQ47" s="3"/>
      <c r="AR47" s="3"/>
      <c r="AS47" s="3"/>
      <c r="AT47" s="3"/>
      <c r="AU47" s="3">
        <v>400</v>
      </c>
      <c r="AV47" s="3">
        <v>400</v>
      </c>
      <c r="AW47" s="3">
        <v>3</v>
      </c>
      <c r="AX47" s="3"/>
      <c r="AY47" s="3"/>
      <c r="AZ47" s="3"/>
    </row>
    <row r="48" spans="1:52" customFormat="1" ht="15" customHeight="1">
      <c r="A48" s="41" t="s">
        <v>75</v>
      </c>
      <c r="B48" s="41" t="s">
        <v>118</v>
      </c>
      <c r="C48" s="41" t="s">
        <v>287</v>
      </c>
      <c r="D48" s="104">
        <v>1</v>
      </c>
      <c r="E48" s="60" t="s">
        <v>5</v>
      </c>
      <c r="F48" s="147" t="s">
        <v>515</v>
      </c>
      <c r="G48" s="64">
        <v>15</v>
      </c>
      <c r="H48" s="64">
        <v>15</v>
      </c>
      <c r="I48" s="51">
        <f t="shared" si="10"/>
        <v>1.3484999999999998</v>
      </c>
      <c r="J48" s="51">
        <f t="shared" si="11"/>
        <v>1.3484999999999998</v>
      </c>
      <c r="K48" s="52">
        <v>8.9899999999999994E-2</v>
      </c>
      <c r="T48" s="126"/>
      <c r="U48" s="126"/>
      <c r="V48" s="126"/>
      <c r="W48" s="126"/>
      <c r="X48" s="45">
        <v>4.8</v>
      </c>
      <c r="Y48" s="51">
        <f t="shared" si="9"/>
        <v>53.392658509454954</v>
      </c>
      <c r="Z48" s="108" t="e">
        <f t="shared" si="3"/>
        <v>#DIV/0!</v>
      </c>
      <c r="AA48" s="57">
        <v>0.99995000000000001</v>
      </c>
      <c r="AB48" s="57">
        <v>0.99999000000000005</v>
      </c>
      <c r="AC48" s="3"/>
      <c r="AD48" s="3"/>
      <c r="AE48" s="3"/>
      <c r="AF48" s="3"/>
      <c r="AG48" s="3">
        <v>15</v>
      </c>
      <c r="AH48" s="3">
        <v>30</v>
      </c>
      <c r="AI48" s="3"/>
      <c r="AJ48" s="3"/>
      <c r="AK48" s="3"/>
      <c r="AL48" s="3"/>
      <c r="AM48" s="3"/>
      <c r="AN48" s="3"/>
      <c r="AO48" s="3">
        <v>0.8</v>
      </c>
      <c r="AP48" s="50">
        <f t="shared" si="7"/>
        <v>8.8987764182424929</v>
      </c>
      <c r="AQ48" s="3"/>
      <c r="AR48" s="3"/>
      <c r="AS48" s="3"/>
      <c r="AT48" s="3"/>
      <c r="AU48" s="3">
        <v>400</v>
      </c>
      <c r="AV48" s="3">
        <v>400</v>
      </c>
      <c r="AW48" s="3">
        <v>3</v>
      </c>
      <c r="AX48" s="3"/>
      <c r="AY48" s="3"/>
      <c r="AZ48" s="3"/>
    </row>
    <row r="49" spans="1:52" customFormat="1" ht="15" customHeight="1">
      <c r="A49" s="41" t="s">
        <v>75</v>
      </c>
      <c r="B49" s="41" t="s">
        <v>118</v>
      </c>
      <c r="C49" s="41" t="s">
        <v>288</v>
      </c>
      <c r="D49" s="104">
        <v>1</v>
      </c>
      <c r="E49" s="60" t="s">
        <v>5</v>
      </c>
      <c r="F49" s="147" t="s">
        <v>515</v>
      </c>
      <c r="G49" s="64">
        <v>20</v>
      </c>
      <c r="H49" s="64">
        <v>20</v>
      </c>
      <c r="I49" s="51">
        <f t="shared" si="10"/>
        <v>1.7979999999999998</v>
      </c>
      <c r="J49" s="51">
        <f t="shared" si="11"/>
        <v>1.7979999999999998</v>
      </c>
      <c r="K49" s="52">
        <v>8.9899999999999994E-2</v>
      </c>
      <c r="T49" s="126"/>
      <c r="U49" s="126"/>
      <c r="V49" s="126"/>
      <c r="W49" s="126"/>
      <c r="X49" s="45">
        <v>4.8</v>
      </c>
      <c r="Y49" s="51">
        <f t="shared" si="9"/>
        <v>53.392658509454954</v>
      </c>
      <c r="Z49" s="108" t="e">
        <f t="shared" si="3"/>
        <v>#DIV/0!</v>
      </c>
      <c r="AA49" s="57">
        <v>0.99995000000000001</v>
      </c>
      <c r="AB49" s="57">
        <v>0.99999000000000005</v>
      </c>
      <c r="AC49" s="3"/>
      <c r="AD49" s="3"/>
      <c r="AE49" s="3"/>
      <c r="AF49" s="3"/>
      <c r="AG49" s="3">
        <v>15</v>
      </c>
      <c r="AH49" s="3">
        <v>30</v>
      </c>
      <c r="AI49" s="3"/>
      <c r="AJ49" s="3"/>
      <c r="AK49" s="3"/>
      <c r="AL49" s="3"/>
      <c r="AM49" s="3"/>
      <c r="AN49" s="3"/>
      <c r="AO49" s="3">
        <v>0.8</v>
      </c>
      <c r="AP49" s="50">
        <f t="shared" si="7"/>
        <v>8.8987764182424929</v>
      </c>
      <c r="AQ49" s="3"/>
      <c r="AR49" s="3"/>
      <c r="AS49" s="3"/>
      <c r="AT49" s="3"/>
      <c r="AU49" s="3">
        <v>400</v>
      </c>
      <c r="AV49" s="3">
        <v>400</v>
      </c>
      <c r="AW49" s="3">
        <v>3</v>
      </c>
      <c r="AX49" s="3"/>
      <c r="AY49" s="3"/>
      <c r="AZ49" s="3"/>
    </row>
    <row r="50" spans="1:52" customFormat="1" ht="15" customHeight="1">
      <c r="A50" s="41" t="s">
        <v>75</v>
      </c>
      <c r="B50" s="41" t="s">
        <v>126</v>
      </c>
      <c r="C50" s="41" t="s">
        <v>127</v>
      </c>
      <c r="D50" s="104">
        <v>0</v>
      </c>
      <c r="E50" s="55" t="s">
        <v>5</v>
      </c>
      <c r="F50" s="147" t="s">
        <v>515</v>
      </c>
      <c r="G50" s="61">
        <f>I50/K50</f>
        <v>122.35817575083426</v>
      </c>
      <c r="H50" s="61">
        <f>J50/K50</f>
        <v>122.35817575083426</v>
      </c>
      <c r="I50" s="56">
        <v>11</v>
      </c>
      <c r="J50" s="56">
        <v>11</v>
      </c>
      <c r="K50" s="52">
        <v>8.9899999999999994E-2</v>
      </c>
      <c r="T50" s="126"/>
      <c r="U50" s="126"/>
      <c r="V50" s="126"/>
      <c r="W50" s="126"/>
      <c r="X50" s="45"/>
      <c r="Y50" s="51"/>
      <c r="Z50" s="108" t="e">
        <f t="shared" si="3"/>
        <v>#DIV/0!</v>
      </c>
      <c r="AA50" s="58"/>
      <c r="AB50" s="57"/>
      <c r="AC50" s="47" t="s">
        <v>79</v>
      </c>
      <c r="AD50" s="47" t="s">
        <v>79</v>
      </c>
      <c r="AE50" s="3"/>
      <c r="AF50" s="3"/>
      <c r="AG50" s="3">
        <v>20</v>
      </c>
      <c r="AH50" s="3">
        <v>20</v>
      </c>
      <c r="AI50" s="3"/>
      <c r="AJ50" s="3"/>
      <c r="AK50" s="3"/>
      <c r="AL50" s="3"/>
      <c r="AM50" s="3"/>
      <c r="AN50" s="3"/>
      <c r="AO50" s="50">
        <f>AP50*K50</f>
        <v>2.2475000000000001</v>
      </c>
      <c r="AP50" s="63">
        <v>25</v>
      </c>
      <c r="AQ50" s="3"/>
      <c r="AR50" s="3"/>
      <c r="AS50" s="3"/>
      <c r="AT50" s="3"/>
      <c r="AU50" s="3"/>
      <c r="AV50" s="3"/>
      <c r="AW50" s="3">
        <v>3</v>
      </c>
      <c r="AX50" s="3"/>
      <c r="AY50" s="3"/>
      <c r="AZ50" s="3"/>
    </row>
    <row r="51" spans="1:52" customFormat="1" ht="15" customHeight="1">
      <c r="A51" s="41" t="s">
        <v>75</v>
      </c>
      <c r="B51" s="41" t="s">
        <v>126</v>
      </c>
      <c r="C51" s="41" t="s">
        <v>128</v>
      </c>
      <c r="D51" s="104">
        <v>0</v>
      </c>
      <c r="E51" s="55" t="s">
        <v>5</v>
      </c>
      <c r="F51" s="147" t="s">
        <v>515</v>
      </c>
      <c r="G51" s="61">
        <f>I51/K51</f>
        <v>400.44493882091217</v>
      </c>
      <c r="H51" s="61">
        <f>J51/K51</f>
        <v>400.44493882091217</v>
      </c>
      <c r="I51" s="56">
        <v>36</v>
      </c>
      <c r="J51" s="56">
        <v>36</v>
      </c>
      <c r="K51" s="52">
        <v>8.9899999999999994E-2</v>
      </c>
      <c r="T51" s="126"/>
      <c r="U51" s="126"/>
      <c r="V51" s="126"/>
      <c r="W51" s="126"/>
      <c r="X51" s="45"/>
      <c r="Y51" s="51"/>
      <c r="Z51" s="108" t="e">
        <f t="shared" si="3"/>
        <v>#DIV/0!</v>
      </c>
      <c r="AA51" s="58"/>
      <c r="AB51" s="57"/>
      <c r="AC51" s="47" t="s">
        <v>79</v>
      </c>
      <c r="AD51" s="47" t="s">
        <v>79</v>
      </c>
      <c r="AE51" s="3"/>
      <c r="AF51" s="3"/>
      <c r="AG51" s="3">
        <v>30</v>
      </c>
      <c r="AH51" s="3">
        <v>30</v>
      </c>
      <c r="AI51" s="3"/>
      <c r="AJ51" s="3"/>
      <c r="AK51" s="3"/>
      <c r="AL51" s="3"/>
      <c r="AM51" s="3"/>
      <c r="AN51" s="3"/>
      <c r="AO51" s="50">
        <f>AP51*K51</f>
        <v>2.2475000000000001</v>
      </c>
      <c r="AP51" s="63">
        <v>25</v>
      </c>
      <c r="AQ51" s="3"/>
      <c r="AR51" s="3"/>
      <c r="AS51" s="3"/>
      <c r="AT51" s="3"/>
      <c r="AU51" s="3"/>
      <c r="AV51" s="3"/>
      <c r="AW51" s="3">
        <v>3</v>
      </c>
      <c r="AX51" s="3"/>
      <c r="AY51" s="3"/>
      <c r="AZ51" s="3"/>
    </row>
    <row r="52" spans="1:52" customFormat="1" ht="15" customHeight="1">
      <c r="A52" s="41" t="s">
        <v>75</v>
      </c>
      <c r="B52" s="41" t="s">
        <v>126</v>
      </c>
      <c r="C52" s="41" t="s">
        <v>129</v>
      </c>
      <c r="D52" s="104">
        <v>0</v>
      </c>
      <c r="E52" s="55" t="s">
        <v>5</v>
      </c>
      <c r="F52" s="147" t="s">
        <v>515</v>
      </c>
      <c r="G52" s="61">
        <f>I52/K52</f>
        <v>400.44493882091217</v>
      </c>
      <c r="H52" s="61">
        <f>J52/K52</f>
        <v>400.44493882091217</v>
      </c>
      <c r="I52" s="56">
        <v>36</v>
      </c>
      <c r="J52" s="56">
        <v>36</v>
      </c>
      <c r="K52" s="52">
        <v>8.9899999999999994E-2</v>
      </c>
      <c r="T52" s="126"/>
      <c r="U52" s="126"/>
      <c r="V52" s="126"/>
      <c r="W52" s="126"/>
      <c r="X52" s="45"/>
      <c r="Y52" s="51"/>
      <c r="Z52" s="108" t="e">
        <f t="shared" si="3"/>
        <v>#DIV/0!</v>
      </c>
      <c r="AA52" s="58"/>
      <c r="AB52" s="57"/>
      <c r="AC52" s="3"/>
      <c r="AD52" s="3"/>
      <c r="AE52" s="3"/>
      <c r="AF52" s="3"/>
      <c r="AG52" s="3">
        <v>30</v>
      </c>
      <c r="AH52" s="3">
        <v>30</v>
      </c>
      <c r="AI52" s="3"/>
      <c r="AJ52" s="3"/>
      <c r="AK52" s="3"/>
      <c r="AL52" s="3"/>
      <c r="AM52" s="3"/>
      <c r="AN52" s="3"/>
      <c r="AO52" s="3"/>
      <c r="AP52" s="50"/>
      <c r="AQ52" s="3"/>
      <c r="AR52" s="3"/>
      <c r="AS52" s="3"/>
      <c r="AT52" s="3"/>
      <c r="AU52" s="3"/>
      <c r="AV52" s="3"/>
      <c r="AW52" s="3">
        <v>3</v>
      </c>
      <c r="AX52" s="3"/>
      <c r="AY52" s="3"/>
      <c r="AZ52" s="3"/>
    </row>
    <row r="53" spans="1:52" customFormat="1" ht="15" customHeight="1">
      <c r="A53" s="41" t="s">
        <v>75</v>
      </c>
      <c r="B53" s="41" t="s">
        <v>126</v>
      </c>
      <c r="C53" s="41" t="s">
        <v>290</v>
      </c>
      <c r="D53" s="104">
        <v>1</v>
      </c>
      <c r="E53" s="55"/>
      <c r="F53" s="147" t="s">
        <v>515</v>
      </c>
      <c r="G53" s="61"/>
      <c r="H53" s="61"/>
      <c r="I53" s="56"/>
      <c r="J53" s="56"/>
      <c r="K53" s="52"/>
      <c r="T53" s="126"/>
      <c r="U53" s="126"/>
      <c r="V53" s="126"/>
      <c r="W53" s="126"/>
      <c r="X53" s="45"/>
      <c r="Y53" s="51"/>
      <c r="Z53" s="108" t="e">
        <f t="shared" si="3"/>
        <v>#DIV/0!</v>
      </c>
      <c r="AA53" s="58"/>
      <c r="AB53" s="57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50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customFormat="1" ht="15" customHeight="1">
      <c r="A54" s="41" t="s">
        <v>75</v>
      </c>
      <c r="B54" s="41" t="s">
        <v>126</v>
      </c>
      <c r="C54" s="41" t="s">
        <v>291</v>
      </c>
      <c r="D54" s="104">
        <v>1</v>
      </c>
      <c r="E54" s="55"/>
      <c r="F54" s="147" t="s">
        <v>515</v>
      </c>
      <c r="G54" s="61"/>
      <c r="H54" s="61"/>
      <c r="I54" s="62"/>
      <c r="J54" s="62"/>
      <c r="K54" s="52"/>
      <c r="T54" s="126"/>
      <c r="U54" s="126"/>
      <c r="V54" s="126"/>
      <c r="W54" s="126"/>
      <c r="X54" s="45"/>
      <c r="Y54" s="51"/>
      <c r="Z54" s="108" t="e">
        <f t="shared" si="3"/>
        <v>#DIV/0!</v>
      </c>
      <c r="AA54" s="58"/>
      <c r="AB54" s="57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50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customFormat="1" ht="15" customHeight="1">
      <c r="A55" s="41" t="s">
        <v>75</v>
      </c>
      <c r="B55" s="41" t="s">
        <v>126</v>
      </c>
      <c r="C55" s="41" t="s">
        <v>292</v>
      </c>
      <c r="D55" s="104">
        <v>1</v>
      </c>
      <c r="E55" s="55"/>
      <c r="F55" s="147" t="s">
        <v>515</v>
      </c>
      <c r="G55" s="61"/>
      <c r="H55" s="61"/>
      <c r="I55" s="62"/>
      <c r="J55" s="62"/>
      <c r="K55" s="52"/>
      <c r="T55" s="126"/>
      <c r="U55" s="126"/>
      <c r="V55" s="126"/>
      <c r="W55" s="126"/>
      <c r="X55" s="45"/>
      <c r="Y55" s="51"/>
      <c r="Z55" s="108" t="e">
        <f t="shared" si="3"/>
        <v>#DIV/0!</v>
      </c>
      <c r="AA55" s="58"/>
      <c r="AB55" s="57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50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customFormat="1" ht="15" customHeight="1">
      <c r="A56" s="41" t="s">
        <v>75</v>
      </c>
      <c r="B56" s="41" t="s">
        <v>126</v>
      </c>
      <c r="C56" s="41" t="s">
        <v>293</v>
      </c>
      <c r="D56" s="104">
        <v>1</v>
      </c>
      <c r="E56" s="55"/>
      <c r="F56" s="147" t="s">
        <v>515</v>
      </c>
      <c r="G56" s="61"/>
      <c r="H56" s="61"/>
      <c r="I56" s="62"/>
      <c r="J56" s="62"/>
      <c r="K56" s="52"/>
      <c r="T56" s="126"/>
      <c r="U56" s="126"/>
      <c r="V56" s="126"/>
      <c r="W56" s="126"/>
      <c r="X56" s="45"/>
      <c r="Y56" s="51"/>
      <c r="Z56" s="108" t="e">
        <f t="shared" si="3"/>
        <v>#DIV/0!</v>
      </c>
      <c r="AA56" s="58"/>
      <c r="AB56" s="57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50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customFormat="1" ht="15" customHeight="1">
      <c r="A57" s="41" t="s">
        <v>75</v>
      </c>
      <c r="B57" s="41" t="s">
        <v>130</v>
      </c>
      <c r="C57" s="41" t="s">
        <v>131</v>
      </c>
      <c r="D57" s="104">
        <v>1</v>
      </c>
      <c r="E57" s="55" t="s">
        <v>5</v>
      </c>
      <c r="F57" s="146" t="s">
        <v>516</v>
      </c>
      <c r="G57" s="64">
        <v>200</v>
      </c>
      <c r="H57" s="64">
        <v>200</v>
      </c>
      <c r="I57" s="65">
        <f>425/24</f>
        <v>17.708333333333332</v>
      </c>
      <c r="J57" s="65">
        <f>425/24</f>
        <v>17.708333333333332</v>
      </c>
      <c r="K57" s="43">
        <f>I57/G57</f>
        <v>8.8541666666666657E-2</v>
      </c>
      <c r="O57">
        <v>60</v>
      </c>
      <c r="P57">
        <v>1.66</v>
      </c>
      <c r="T57" s="51">
        <f>U57*K57</f>
        <v>4.4182291666666664</v>
      </c>
      <c r="U57" s="126">
        <v>49.9</v>
      </c>
      <c r="V57" s="126"/>
      <c r="W57" s="126"/>
      <c r="X57" s="45"/>
      <c r="Y57" s="51"/>
      <c r="Z57" s="108">
        <f t="shared" si="3"/>
        <v>0</v>
      </c>
      <c r="AA57" s="57">
        <v>0.99999000000000005</v>
      </c>
      <c r="AB57" s="57">
        <v>0.99999000000000005</v>
      </c>
      <c r="AC57" s="3"/>
      <c r="AD57" s="3"/>
      <c r="AE57" s="3"/>
      <c r="AF57" s="3"/>
      <c r="AG57" s="3">
        <v>40</v>
      </c>
      <c r="AH57" s="3">
        <v>40</v>
      </c>
      <c r="AI57" s="3"/>
      <c r="AJ57" s="3"/>
      <c r="AK57" s="3"/>
      <c r="AL57" s="3"/>
      <c r="AM57" s="3"/>
      <c r="AN57" s="3"/>
      <c r="AO57" s="50">
        <f>AP57*K57</f>
        <v>1.1510416666666665</v>
      </c>
      <c r="AP57" s="63">
        <v>13</v>
      </c>
      <c r="AQ57" s="3"/>
      <c r="AR57" s="3"/>
      <c r="AS57" s="3"/>
      <c r="AT57" s="3"/>
      <c r="AU57" s="3">
        <v>400</v>
      </c>
      <c r="AV57" s="3">
        <v>400</v>
      </c>
      <c r="AW57" s="3"/>
      <c r="AX57" s="3"/>
      <c r="AY57" s="3"/>
      <c r="AZ57" s="3"/>
    </row>
    <row r="58" spans="1:52" customFormat="1" ht="15" customHeight="1">
      <c r="A58" s="41" t="s">
        <v>75</v>
      </c>
      <c r="B58" s="41" t="s">
        <v>130</v>
      </c>
      <c r="C58" s="41" t="s">
        <v>132</v>
      </c>
      <c r="D58" s="104">
        <v>1</v>
      </c>
      <c r="E58" s="55" t="s">
        <v>5</v>
      </c>
      <c r="F58" s="146" t="s">
        <v>516</v>
      </c>
      <c r="G58" s="64">
        <v>990</v>
      </c>
      <c r="H58" s="64">
        <v>990</v>
      </c>
      <c r="I58" s="65">
        <f>2125/24</f>
        <v>88.541666666666671</v>
      </c>
      <c r="J58" s="65">
        <f>2125/24</f>
        <v>88.541666666666671</v>
      </c>
      <c r="K58" s="43">
        <f>I58/G58</f>
        <v>8.9436026936026938E-2</v>
      </c>
      <c r="O58">
        <v>60</v>
      </c>
      <c r="P58">
        <v>1.66</v>
      </c>
      <c r="T58" s="51">
        <f>U58*K58</f>
        <v>4.4628577441077439</v>
      </c>
      <c r="U58" s="126">
        <v>49.9</v>
      </c>
      <c r="V58" s="126"/>
      <c r="W58" s="126"/>
      <c r="X58" s="45"/>
      <c r="Y58" s="51"/>
      <c r="Z58" s="108">
        <f t="shared" si="3"/>
        <v>0</v>
      </c>
      <c r="AA58" s="57">
        <v>0.99999000000000005</v>
      </c>
      <c r="AB58" s="57">
        <v>0.99999000000000005</v>
      </c>
      <c r="AC58" s="3"/>
      <c r="AD58" s="3"/>
      <c r="AE58" s="3"/>
      <c r="AF58" s="3"/>
      <c r="AG58" s="3">
        <v>40</v>
      </c>
      <c r="AH58" s="3">
        <v>40</v>
      </c>
      <c r="AI58" s="3"/>
      <c r="AJ58" s="3"/>
      <c r="AK58" s="3"/>
      <c r="AL58" s="3"/>
      <c r="AM58" s="3"/>
      <c r="AN58" s="3"/>
      <c r="AO58" s="50">
        <f>AP58*K58</f>
        <v>1.3263362794612794</v>
      </c>
      <c r="AP58" s="63">
        <v>14.83</v>
      </c>
      <c r="AQ58" s="3"/>
      <c r="AR58" s="3"/>
      <c r="AS58" s="3"/>
      <c r="AT58" s="3"/>
      <c r="AU58" s="3"/>
      <c r="AV58" s="3"/>
      <c r="AW58" s="3"/>
      <c r="AX58" s="3" t="s">
        <v>295</v>
      </c>
      <c r="AY58" s="3"/>
      <c r="AZ58" s="3"/>
    </row>
    <row r="59" spans="1:52" customFormat="1" ht="15" customHeight="1">
      <c r="A59" s="41" t="s">
        <v>75</v>
      </c>
      <c r="B59" s="41" t="s">
        <v>130</v>
      </c>
      <c r="C59" s="41" t="s">
        <v>133</v>
      </c>
      <c r="D59" s="104">
        <v>1</v>
      </c>
      <c r="E59" s="55" t="s">
        <v>5</v>
      </c>
      <c r="F59" s="146" t="s">
        <v>516</v>
      </c>
      <c r="G59" s="64">
        <v>1989</v>
      </c>
      <c r="H59" s="64">
        <v>1989</v>
      </c>
      <c r="I59" s="65">
        <f>4250/24</f>
        <v>177.08333333333334</v>
      </c>
      <c r="J59" s="65">
        <f>4250/24</f>
        <v>177.08333333333334</v>
      </c>
      <c r="K59" s="43">
        <f>I59/G59</f>
        <v>8.903133903133903E-2</v>
      </c>
      <c r="O59">
        <v>60</v>
      </c>
      <c r="P59">
        <v>1.66</v>
      </c>
      <c r="T59" s="51">
        <f>U59*K59</f>
        <v>4.4426638176638171</v>
      </c>
      <c r="U59" s="126">
        <v>49.9</v>
      </c>
      <c r="V59" s="126"/>
      <c r="W59" s="126"/>
      <c r="X59" s="45"/>
      <c r="Y59" s="51"/>
      <c r="Z59" s="108">
        <f t="shared" si="3"/>
        <v>0</v>
      </c>
      <c r="AA59" s="57">
        <v>0.99999000000000005</v>
      </c>
      <c r="AB59" s="57">
        <v>0.99999000000000005</v>
      </c>
      <c r="AC59" s="3"/>
      <c r="AD59" s="3"/>
      <c r="AE59" s="3"/>
      <c r="AF59" s="3"/>
      <c r="AG59" s="3">
        <v>40</v>
      </c>
      <c r="AH59" s="3">
        <v>40</v>
      </c>
      <c r="AI59" s="3"/>
      <c r="AJ59" s="3"/>
      <c r="AK59" s="3"/>
      <c r="AL59" s="3"/>
      <c r="AM59" s="3"/>
      <c r="AN59" s="3"/>
      <c r="AO59" s="50">
        <f>AP59*K59</f>
        <v>1.1574074074074074</v>
      </c>
      <c r="AP59" s="63">
        <v>13</v>
      </c>
      <c r="AQ59" s="3"/>
      <c r="AR59" s="3"/>
      <c r="AS59" s="3"/>
      <c r="AT59" s="3"/>
      <c r="AU59" s="3"/>
      <c r="AV59" s="3"/>
      <c r="AW59" s="3"/>
      <c r="AX59" s="3" t="s">
        <v>295</v>
      </c>
      <c r="AY59" s="3"/>
      <c r="AZ59" s="3"/>
    </row>
    <row r="60" spans="1:52" customFormat="1" ht="15" customHeight="1">
      <c r="A60" s="41" t="s">
        <v>75</v>
      </c>
      <c r="B60" s="41" t="s">
        <v>134</v>
      </c>
      <c r="C60" s="41" t="s">
        <v>135</v>
      </c>
      <c r="D60" s="104">
        <v>1</v>
      </c>
      <c r="E60" s="4" t="s">
        <v>5</v>
      </c>
      <c r="F60" s="148" t="s">
        <v>515</v>
      </c>
      <c r="G60" s="61">
        <f>I60/K60</f>
        <v>1112.3470522803116</v>
      </c>
      <c r="H60" s="61">
        <f>J60/K60</f>
        <v>22246.941045606232</v>
      </c>
      <c r="I60" s="3">
        <v>100</v>
      </c>
      <c r="J60" s="3">
        <v>2000</v>
      </c>
      <c r="K60" s="52">
        <f t="shared" ref="K60:K65" si="12">$C$2</f>
        <v>8.9899999999999994E-2</v>
      </c>
      <c r="L60" s="44">
        <v>0</v>
      </c>
      <c r="M60" s="44">
        <v>1</v>
      </c>
      <c r="N60" s="3"/>
      <c r="O60" s="3"/>
      <c r="P60" s="3">
        <v>10</v>
      </c>
      <c r="R60" s="66">
        <v>0.755</v>
      </c>
      <c r="S60" s="66"/>
      <c r="T60" s="45"/>
      <c r="U60" s="45"/>
      <c r="V60" s="45"/>
      <c r="W60" s="45"/>
      <c r="X60" s="45"/>
      <c r="Y60" s="45"/>
      <c r="Z60" s="108" t="e">
        <f t="shared" si="3"/>
        <v>#DIV/0!</v>
      </c>
      <c r="AA60" s="46">
        <v>0.99999899999999997</v>
      </c>
      <c r="AB60" s="46">
        <v>0.99999899999999997</v>
      </c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50">
        <f>AP60*K60</f>
        <v>0.89899999999999991</v>
      </c>
      <c r="AP60" s="67">
        <v>10</v>
      </c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customFormat="1" ht="15" customHeight="1">
      <c r="A61" s="41" t="s">
        <v>136</v>
      </c>
      <c r="B61" s="41" t="s">
        <v>76</v>
      </c>
      <c r="C61" s="41" t="s">
        <v>283</v>
      </c>
      <c r="D61" s="104">
        <v>0</v>
      </c>
      <c r="E61" s="55" t="s">
        <v>5</v>
      </c>
      <c r="F61" s="148" t="s">
        <v>515</v>
      </c>
      <c r="G61" s="48">
        <v>50</v>
      </c>
      <c r="H61" s="48">
        <v>150</v>
      </c>
      <c r="I61" s="51">
        <v>4.5</v>
      </c>
      <c r="J61" s="51">
        <v>13.5</v>
      </c>
      <c r="K61" s="52">
        <f t="shared" si="12"/>
        <v>8.9899999999999994E-2</v>
      </c>
      <c r="L61" s="44">
        <v>0.15</v>
      </c>
      <c r="M61" s="44">
        <v>1</v>
      </c>
      <c r="N61" s="3"/>
      <c r="O61" s="3"/>
      <c r="P61" s="3"/>
      <c r="Q61" s="3"/>
      <c r="R61" s="3"/>
      <c r="S61" s="3"/>
      <c r="T61" s="45">
        <v>3.8</v>
      </c>
      <c r="U61" s="51">
        <f t="shared" ref="U61:U65" si="13">T61/K61</f>
        <v>42.269187986651836</v>
      </c>
      <c r="V61" s="45">
        <v>4.4000000000000004</v>
      </c>
      <c r="W61" s="51">
        <f t="shared" ref="W61:W65" si="14">V61/K61</f>
        <v>48.943270300333708</v>
      </c>
      <c r="X61" s="45"/>
      <c r="Y61" s="45"/>
      <c r="Z61" s="108">
        <f t="shared" si="3"/>
        <v>0</v>
      </c>
      <c r="AA61" s="58">
        <v>0.99990000000000001</v>
      </c>
      <c r="AB61" s="57">
        <v>0.99999000000000005</v>
      </c>
      <c r="AC61" s="47" t="s">
        <v>80</v>
      </c>
      <c r="AD61" s="47" t="s">
        <v>80</v>
      </c>
      <c r="AE61" s="3"/>
      <c r="AF61" s="3"/>
      <c r="AG61" s="47">
        <v>1</v>
      </c>
      <c r="AH61" s="47">
        <v>200</v>
      </c>
      <c r="AI61" s="47"/>
      <c r="AJ61" s="3"/>
      <c r="AK61" s="3"/>
      <c r="AL61" s="3"/>
      <c r="AM61" s="3"/>
      <c r="AN61" s="3"/>
      <c r="AO61" s="3">
        <v>0.9</v>
      </c>
      <c r="AP61" s="50">
        <f>AO61/K61</f>
        <v>10.011123470522804</v>
      </c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customFormat="1" ht="15" customHeight="1">
      <c r="A62" s="41" t="s">
        <v>136</v>
      </c>
      <c r="B62" s="41" t="s">
        <v>76</v>
      </c>
      <c r="C62" s="41" t="s">
        <v>137</v>
      </c>
      <c r="D62" s="104">
        <v>0</v>
      </c>
      <c r="E62" s="55" t="s">
        <v>5</v>
      </c>
      <c r="F62" s="148" t="s">
        <v>515</v>
      </c>
      <c r="G62" s="48">
        <v>150</v>
      </c>
      <c r="H62" s="48">
        <v>300</v>
      </c>
      <c r="I62" s="51">
        <v>13.541666666666666</v>
      </c>
      <c r="J62" s="51">
        <v>26.958333333333332</v>
      </c>
      <c r="K62" s="52">
        <f t="shared" si="12"/>
        <v>8.9899999999999994E-2</v>
      </c>
      <c r="L62" s="44">
        <v>0.15</v>
      </c>
      <c r="M62" s="44">
        <v>1</v>
      </c>
      <c r="N62" s="3"/>
      <c r="O62" s="3"/>
      <c r="P62" s="3"/>
      <c r="Q62" s="3"/>
      <c r="R62" s="3"/>
      <c r="S62" s="3"/>
      <c r="T62" s="45">
        <v>3.8</v>
      </c>
      <c r="U62" s="51">
        <f t="shared" si="13"/>
        <v>42.269187986651836</v>
      </c>
      <c r="V62" s="45">
        <v>4.4000000000000004</v>
      </c>
      <c r="W62" s="51">
        <f t="shared" si="14"/>
        <v>48.943270300333708</v>
      </c>
      <c r="X62" s="45"/>
      <c r="Y62" s="45"/>
      <c r="Z62" s="108">
        <f t="shared" si="3"/>
        <v>0</v>
      </c>
      <c r="AA62" s="58">
        <v>0.99990000000000001</v>
      </c>
      <c r="AB62" s="57">
        <v>0.99999000000000005</v>
      </c>
      <c r="AC62" s="47" t="s">
        <v>80</v>
      </c>
      <c r="AD62" s="47" t="s">
        <v>80</v>
      </c>
      <c r="AE62" s="3"/>
      <c r="AF62" s="3"/>
      <c r="AG62" s="3">
        <v>1</v>
      </c>
      <c r="AH62" s="3">
        <v>200</v>
      </c>
      <c r="AI62" s="3"/>
      <c r="AJ62" s="3"/>
      <c r="AK62" s="3"/>
      <c r="AL62" s="3"/>
      <c r="AM62" s="3"/>
      <c r="AN62" s="3"/>
      <c r="AO62" s="3">
        <v>0.9</v>
      </c>
      <c r="AP62" s="50">
        <f>AO62/K62</f>
        <v>10.011123470522804</v>
      </c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customFormat="1" ht="15" customHeight="1">
      <c r="A63" s="41" t="s">
        <v>136</v>
      </c>
      <c r="B63" s="41" t="s">
        <v>76</v>
      </c>
      <c r="C63" s="41" t="s">
        <v>138</v>
      </c>
      <c r="D63" s="104">
        <v>1</v>
      </c>
      <c r="E63" s="55" t="s">
        <v>505</v>
      </c>
      <c r="F63" s="148" t="s">
        <v>515</v>
      </c>
      <c r="G63" s="48">
        <v>300</v>
      </c>
      <c r="H63" s="48">
        <v>485</v>
      </c>
      <c r="I63" s="51">
        <v>26.958333333333332</v>
      </c>
      <c r="J63" s="51">
        <v>43.583333333333336</v>
      </c>
      <c r="K63" s="52">
        <f t="shared" si="12"/>
        <v>8.9899999999999994E-2</v>
      </c>
      <c r="L63" s="44">
        <v>0.15</v>
      </c>
      <c r="M63" s="44">
        <v>1</v>
      </c>
      <c r="N63" s="3"/>
      <c r="O63" s="3"/>
      <c r="P63" s="3"/>
      <c r="Q63" s="3"/>
      <c r="R63" s="3"/>
      <c r="S63" s="3"/>
      <c r="T63" s="45">
        <v>3.8</v>
      </c>
      <c r="U63" s="51">
        <f t="shared" si="13"/>
        <v>42.269187986651836</v>
      </c>
      <c r="V63" s="45">
        <v>4.4000000000000004</v>
      </c>
      <c r="W63" s="51">
        <f t="shared" si="14"/>
        <v>48.943270300333708</v>
      </c>
      <c r="X63" s="45"/>
      <c r="Y63" s="45"/>
      <c r="Z63" s="108">
        <f t="shared" si="3"/>
        <v>0</v>
      </c>
      <c r="AA63" s="58">
        <v>0.99990000000000001</v>
      </c>
      <c r="AB63" s="57">
        <v>0.99999000000000005</v>
      </c>
      <c r="AC63" s="47" t="s">
        <v>80</v>
      </c>
      <c r="AD63" s="47" t="s">
        <v>80</v>
      </c>
      <c r="AE63" s="3"/>
      <c r="AF63" s="3"/>
      <c r="AG63" s="3">
        <v>1</v>
      </c>
      <c r="AH63" s="3">
        <v>200</v>
      </c>
      <c r="AI63" s="3"/>
      <c r="AJ63" s="3"/>
      <c r="AK63" s="3"/>
      <c r="AL63" s="3"/>
      <c r="AM63" s="3"/>
      <c r="AN63" s="3"/>
      <c r="AO63" s="3">
        <v>0.9</v>
      </c>
      <c r="AP63" s="50">
        <f>AO63/K63</f>
        <v>10.011123470522804</v>
      </c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customFormat="1" ht="15" customHeight="1">
      <c r="A64" s="41" t="s">
        <v>136</v>
      </c>
      <c r="B64" s="41" t="s">
        <v>76</v>
      </c>
      <c r="C64" s="41" t="s">
        <v>139</v>
      </c>
      <c r="D64" s="104">
        <v>1</v>
      </c>
      <c r="E64" s="55" t="s">
        <v>5</v>
      </c>
      <c r="F64" s="148" t="s">
        <v>515</v>
      </c>
      <c r="G64" s="48">
        <v>600</v>
      </c>
      <c r="H64" s="48">
        <v>970</v>
      </c>
      <c r="I64" s="51">
        <v>53.958333333333336</v>
      </c>
      <c r="J64" s="51">
        <v>87.25</v>
      </c>
      <c r="K64" s="52">
        <f t="shared" si="12"/>
        <v>8.9899999999999994E-2</v>
      </c>
      <c r="L64" s="44">
        <v>0.15</v>
      </c>
      <c r="M64" s="44">
        <v>1</v>
      </c>
      <c r="N64" s="3"/>
      <c r="O64" s="3"/>
      <c r="P64" s="3"/>
      <c r="Q64" s="3"/>
      <c r="R64" s="3"/>
      <c r="S64" s="3"/>
      <c r="T64" s="45">
        <v>3.8</v>
      </c>
      <c r="U64" s="51">
        <f t="shared" si="13"/>
        <v>42.269187986651836</v>
      </c>
      <c r="V64" s="45">
        <v>4.4000000000000004</v>
      </c>
      <c r="W64" s="51">
        <f t="shared" si="14"/>
        <v>48.943270300333708</v>
      </c>
      <c r="X64" s="45"/>
      <c r="Y64" s="45"/>
      <c r="Z64" s="108">
        <f t="shared" si="3"/>
        <v>0</v>
      </c>
      <c r="AA64" s="58">
        <v>0.99990000000000001</v>
      </c>
      <c r="AB64" s="57">
        <v>0.99999000000000005</v>
      </c>
      <c r="AC64" s="47" t="s">
        <v>80</v>
      </c>
      <c r="AD64" s="47" t="s">
        <v>80</v>
      </c>
      <c r="AE64" s="3"/>
      <c r="AF64" s="3"/>
      <c r="AG64" s="3">
        <v>1</v>
      </c>
      <c r="AH64" s="3">
        <v>200</v>
      </c>
      <c r="AI64" s="3"/>
      <c r="AJ64" s="3"/>
      <c r="AK64" s="3"/>
      <c r="AL64" s="3"/>
      <c r="AM64" s="3"/>
      <c r="AN64" s="3"/>
      <c r="AO64" s="3">
        <v>0.9</v>
      </c>
      <c r="AP64" s="50">
        <f>AO64/K64</f>
        <v>10.011123470522804</v>
      </c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customFormat="1" ht="15" customHeight="1">
      <c r="A65" s="41" t="s">
        <v>136</v>
      </c>
      <c r="B65" s="41" t="s">
        <v>76</v>
      </c>
      <c r="C65" s="41" t="s">
        <v>140</v>
      </c>
      <c r="D65" s="104">
        <v>1</v>
      </c>
      <c r="E65" s="55" t="s">
        <v>5</v>
      </c>
      <c r="F65" s="148" t="s">
        <v>515</v>
      </c>
      <c r="G65" s="48">
        <v>2400</v>
      </c>
      <c r="H65" s="48">
        <v>3880</v>
      </c>
      <c r="I65" s="51">
        <v>215.83333333333334</v>
      </c>
      <c r="J65" s="51">
        <v>348.91666666666669</v>
      </c>
      <c r="K65" s="52">
        <f t="shared" si="12"/>
        <v>8.9899999999999994E-2</v>
      </c>
      <c r="L65" s="44">
        <v>0.15</v>
      </c>
      <c r="M65" s="44">
        <v>1</v>
      </c>
      <c r="N65" s="3"/>
      <c r="O65" s="3"/>
      <c r="P65" s="3"/>
      <c r="Q65" s="3"/>
      <c r="R65" s="3"/>
      <c r="S65" s="3"/>
      <c r="T65" s="45">
        <v>3.8</v>
      </c>
      <c r="U65" s="51">
        <f t="shared" si="13"/>
        <v>42.269187986651836</v>
      </c>
      <c r="V65" s="45">
        <v>4.4000000000000004</v>
      </c>
      <c r="W65" s="51">
        <f t="shared" si="14"/>
        <v>48.943270300333708</v>
      </c>
      <c r="X65" s="45"/>
      <c r="Y65" s="45"/>
      <c r="Z65" s="108">
        <f t="shared" si="3"/>
        <v>0</v>
      </c>
      <c r="AA65" s="58">
        <v>0.99990000000000001</v>
      </c>
      <c r="AB65" s="57">
        <v>0.99999000000000005</v>
      </c>
      <c r="AC65" s="47" t="s">
        <v>80</v>
      </c>
      <c r="AD65" s="47" t="s">
        <v>80</v>
      </c>
      <c r="AE65" s="3"/>
      <c r="AF65" s="3"/>
      <c r="AG65" s="3">
        <v>1</v>
      </c>
      <c r="AH65" s="3">
        <v>200</v>
      </c>
      <c r="AI65" s="3"/>
      <c r="AJ65" s="3"/>
      <c r="AK65" s="3"/>
      <c r="AL65" s="3"/>
      <c r="AM65" s="3"/>
      <c r="AN65" s="3"/>
      <c r="AO65" s="3">
        <v>0.9</v>
      </c>
      <c r="AP65" s="50">
        <f>AO65/K65</f>
        <v>10.011123470522804</v>
      </c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customFormat="1" ht="15" customHeight="1">
      <c r="A66" s="41" t="s">
        <v>136</v>
      </c>
      <c r="B66" s="41" t="s">
        <v>107</v>
      </c>
      <c r="C66" s="41" t="s">
        <v>141</v>
      </c>
      <c r="D66" s="104">
        <v>1</v>
      </c>
      <c r="E66" s="55" t="s">
        <v>5</v>
      </c>
      <c r="F66" s="146" t="s">
        <v>516</v>
      </c>
      <c r="G66" s="48">
        <v>10</v>
      </c>
      <c r="H66" s="48">
        <v>10</v>
      </c>
      <c r="I66" s="51">
        <f>21/24</f>
        <v>0.875</v>
      </c>
      <c r="J66" s="51">
        <f>21/24</f>
        <v>0.875</v>
      </c>
      <c r="K66" s="43">
        <f>I66/G66</f>
        <v>8.7499999999999994E-2</v>
      </c>
      <c r="L66" s="44">
        <v>0.25</v>
      </c>
      <c r="M66" s="44">
        <v>1</v>
      </c>
      <c r="N66" s="3"/>
      <c r="O66" s="3"/>
      <c r="P66" s="3"/>
      <c r="Q66" s="3"/>
      <c r="R66" s="3"/>
      <c r="S66" s="3"/>
      <c r="T66" s="45">
        <f t="shared" ref="T66:T68" si="15">U66*K66</f>
        <v>4.8125</v>
      </c>
      <c r="U66" s="45">
        <v>55</v>
      </c>
      <c r="V66" s="45">
        <f t="shared" ref="V66:V71" si="16">W66*K66</f>
        <v>5.25</v>
      </c>
      <c r="W66" s="45">
        <v>60</v>
      </c>
      <c r="X66" s="45">
        <v>5.4</v>
      </c>
      <c r="Y66" s="45">
        <v>60</v>
      </c>
      <c r="Z66" s="108">
        <f t="shared" si="3"/>
        <v>1.1220779220779222</v>
      </c>
      <c r="AA66" s="57">
        <v>0.99997999999999998</v>
      </c>
      <c r="AB66" s="57">
        <v>0.99997999999999998</v>
      </c>
      <c r="AC66" s="47" t="s">
        <v>80</v>
      </c>
      <c r="AD66" s="3"/>
      <c r="AE66" s="3">
        <v>-75</v>
      </c>
      <c r="AF66" s="47" t="s">
        <v>109</v>
      </c>
      <c r="AG66" s="3">
        <v>10</v>
      </c>
      <c r="AH66" s="3">
        <v>10</v>
      </c>
      <c r="AI66" s="3"/>
      <c r="AJ66" s="3"/>
      <c r="AK66" s="3"/>
      <c r="AL66" s="3"/>
      <c r="AM66" s="54" t="s">
        <v>110</v>
      </c>
      <c r="AN66" s="3"/>
      <c r="AO66" s="3" t="s">
        <v>296</v>
      </c>
      <c r="AP66" s="50" t="s">
        <v>297</v>
      </c>
      <c r="AQ66" s="3"/>
      <c r="AR66" s="3"/>
      <c r="AS66" s="3"/>
      <c r="AT66" s="3">
        <v>115</v>
      </c>
      <c r="AU66" s="3">
        <v>400</v>
      </c>
      <c r="AV66" s="3">
        <v>400</v>
      </c>
      <c r="AW66" s="3">
        <v>3</v>
      </c>
      <c r="AX66" s="3"/>
      <c r="AY66" s="3"/>
      <c r="AZ66" s="3"/>
    </row>
    <row r="67" spans="1:52" customFormat="1" ht="15" customHeight="1">
      <c r="A67" s="41" t="s">
        <v>136</v>
      </c>
      <c r="B67" s="41" t="s">
        <v>107</v>
      </c>
      <c r="C67" s="41" t="s">
        <v>142</v>
      </c>
      <c r="D67" s="104">
        <v>1</v>
      </c>
      <c r="E67" s="55" t="s">
        <v>5</v>
      </c>
      <c r="F67" s="146" t="s">
        <v>516</v>
      </c>
      <c r="G67" s="48">
        <v>15</v>
      </c>
      <c r="H67" s="48">
        <v>15</v>
      </c>
      <c r="I67" s="51">
        <f>32/24</f>
        <v>1.3333333333333333</v>
      </c>
      <c r="J67" s="51">
        <f>32/24</f>
        <v>1.3333333333333333</v>
      </c>
      <c r="K67" s="43">
        <f>I67/G67</f>
        <v>8.8888888888888878E-2</v>
      </c>
      <c r="L67" s="44">
        <v>0.25</v>
      </c>
      <c r="M67" s="44">
        <v>1</v>
      </c>
      <c r="N67" s="3"/>
      <c r="O67" s="3"/>
      <c r="P67" s="3"/>
      <c r="Q67" s="3"/>
      <c r="R67" s="3"/>
      <c r="S67" s="3"/>
      <c r="T67" s="45">
        <f t="shared" si="15"/>
        <v>4.8888888888888884</v>
      </c>
      <c r="U67" s="45">
        <v>55</v>
      </c>
      <c r="V67" s="45">
        <f t="shared" si="16"/>
        <v>5.333333333333333</v>
      </c>
      <c r="W67" s="45">
        <v>60</v>
      </c>
      <c r="X67" s="45">
        <v>5.4</v>
      </c>
      <c r="Y67" s="45">
        <v>60</v>
      </c>
      <c r="Z67" s="108">
        <f t="shared" si="3"/>
        <v>1.1045454545454547</v>
      </c>
      <c r="AA67" s="57">
        <v>0.99997999999999998</v>
      </c>
      <c r="AB67" s="57">
        <v>0.99997999999999998</v>
      </c>
      <c r="AC67" s="47" t="s">
        <v>80</v>
      </c>
      <c r="AD67" s="3"/>
      <c r="AE67" s="3">
        <v>-75</v>
      </c>
      <c r="AF67" s="47" t="s">
        <v>109</v>
      </c>
      <c r="AG67" s="3">
        <v>10</v>
      </c>
      <c r="AH67" s="3">
        <v>10</v>
      </c>
      <c r="AI67" s="3"/>
      <c r="AJ67" s="3"/>
      <c r="AK67" s="3"/>
      <c r="AL67" s="3"/>
      <c r="AM67" s="54" t="s">
        <v>110</v>
      </c>
      <c r="AN67" s="3"/>
      <c r="AO67" s="3" t="s">
        <v>296</v>
      </c>
      <c r="AP67" s="50" t="s">
        <v>297</v>
      </c>
      <c r="AQ67" s="3"/>
      <c r="AR67" s="3"/>
      <c r="AS67" s="3"/>
      <c r="AT67" s="3">
        <v>155</v>
      </c>
      <c r="AU67" s="3">
        <v>400</v>
      </c>
      <c r="AV67" s="3">
        <v>400</v>
      </c>
      <c r="AW67" s="3">
        <v>3</v>
      </c>
      <c r="AX67" s="3"/>
      <c r="AY67" s="3"/>
      <c r="AZ67" s="3"/>
    </row>
    <row r="68" spans="1:52" customFormat="1" ht="15" customHeight="1">
      <c r="A68" s="41" t="s">
        <v>136</v>
      </c>
      <c r="B68" s="41" t="s">
        <v>107</v>
      </c>
      <c r="C68" s="41" t="s">
        <v>143</v>
      </c>
      <c r="D68" s="104">
        <v>1</v>
      </c>
      <c r="E68" s="55" t="s">
        <v>5</v>
      </c>
      <c r="F68" s="146" t="s">
        <v>516</v>
      </c>
      <c r="G68" s="48">
        <v>30</v>
      </c>
      <c r="H68" s="48">
        <v>30</v>
      </c>
      <c r="I68" s="51">
        <f t="shared" ref="I68:J70" si="17">130/24</f>
        <v>5.416666666666667</v>
      </c>
      <c r="J68" s="51">
        <f t="shared" si="17"/>
        <v>5.416666666666667</v>
      </c>
      <c r="K68" s="52">
        <f>$C$2</f>
        <v>8.9899999999999994E-2</v>
      </c>
      <c r="L68" s="44">
        <v>0.2</v>
      </c>
      <c r="M68" s="44">
        <v>1</v>
      </c>
      <c r="N68" s="3"/>
      <c r="O68" s="3"/>
      <c r="P68" s="3"/>
      <c r="Q68" s="3"/>
      <c r="R68" s="3"/>
      <c r="S68" s="3"/>
      <c r="T68" s="45">
        <f t="shared" si="15"/>
        <v>4.9444999999999997</v>
      </c>
      <c r="U68" s="45">
        <v>55</v>
      </c>
      <c r="V68" s="45">
        <f t="shared" si="16"/>
        <v>5.3939999999999992</v>
      </c>
      <c r="W68" s="45">
        <v>60</v>
      </c>
      <c r="X68" s="45">
        <v>5.2</v>
      </c>
      <c r="Y68" s="45">
        <v>60</v>
      </c>
      <c r="Z68" s="108">
        <f t="shared" si="3"/>
        <v>1.0516735767013854</v>
      </c>
      <c r="AA68" s="57">
        <v>0.99997999999999998</v>
      </c>
      <c r="AB68" s="57">
        <v>0.99997999999999998</v>
      </c>
      <c r="AC68" s="47" t="s">
        <v>80</v>
      </c>
      <c r="AD68" s="3"/>
      <c r="AE68" s="3">
        <v>-75</v>
      </c>
      <c r="AF68" s="47" t="s">
        <v>109</v>
      </c>
      <c r="AG68" s="3">
        <v>10</v>
      </c>
      <c r="AH68" s="3">
        <v>10</v>
      </c>
      <c r="AI68" s="3"/>
      <c r="AJ68" s="3"/>
      <c r="AK68" s="3"/>
      <c r="AL68" s="3"/>
      <c r="AM68" s="54" t="s">
        <v>110</v>
      </c>
      <c r="AN68" s="3"/>
      <c r="AO68" s="3" t="s">
        <v>296</v>
      </c>
      <c r="AP68" s="50" t="s">
        <v>297</v>
      </c>
      <c r="AQ68" s="3"/>
      <c r="AR68" s="3"/>
      <c r="AS68" s="3"/>
      <c r="AT68" s="3">
        <v>275</v>
      </c>
      <c r="AU68" s="3">
        <v>400</v>
      </c>
      <c r="AV68" s="3">
        <v>400</v>
      </c>
      <c r="AW68" s="3">
        <v>3</v>
      </c>
      <c r="AX68" s="3"/>
      <c r="AY68" s="3"/>
      <c r="AZ68" s="3"/>
    </row>
    <row r="69" spans="1:52" customFormat="1" ht="15" customHeight="1">
      <c r="A69" s="41" t="s">
        <v>136</v>
      </c>
      <c r="B69" s="41" t="s">
        <v>107</v>
      </c>
      <c r="C69" s="41" t="s">
        <v>144</v>
      </c>
      <c r="D69" s="104">
        <v>0</v>
      </c>
      <c r="E69" s="55" t="s">
        <v>5</v>
      </c>
      <c r="F69" s="146" t="s">
        <v>516</v>
      </c>
      <c r="G69" s="48">
        <v>45</v>
      </c>
      <c r="H69" s="48">
        <v>45</v>
      </c>
      <c r="I69" s="51">
        <f t="shared" si="17"/>
        <v>5.416666666666667</v>
      </c>
      <c r="J69" s="51">
        <f t="shared" si="17"/>
        <v>5.416666666666667</v>
      </c>
      <c r="K69" s="52">
        <f>$C$2</f>
        <v>8.9899999999999994E-2</v>
      </c>
      <c r="L69" s="44">
        <v>0.25</v>
      </c>
      <c r="M69" s="44">
        <v>1</v>
      </c>
      <c r="N69" s="3"/>
      <c r="O69" s="3"/>
      <c r="P69" s="3"/>
      <c r="Q69" s="3"/>
      <c r="R69" s="3"/>
      <c r="S69" s="3"/>
      <c r="T69" s="45">
        <f>U69*K69</f>
        <v>4.9444999999999997</v>
      </c>
      <c r="U69" s="45">
        <v>55</v>
      </c>
      <c r="V69" s="45">
        <f t="shared" si="16"/>
        <v>5.3939999999999992</v>
      </c>
      <c r="W69" s="45">
        <v>60</v>
      </c>
      <c r="X69" s="45">
        <v>5.2</v>
      </c>
      <c r="Y69" s="45">
        <v>60</v>
      </c>
      <c r="Z69" s="108">
        <f t="shared" si="3"/>
        <v>1.0516735767013854</v>
      </c>
      <c r="AA69" s="57">
        <v>0.99997999999999998</v>
      </c>
      <c r="AB69" s="57">
        <v>0.99997999999999998</v>
      </c>
      <c r="AC69" s="47" t="s">
        <v>80</v>
      </c>
      <c r="AD69" s="3"/>
      <c r="AE69" s="3">
        <v>-75</v>
      </c>
      <c r="AF69" s="47" t="s">
        <v>109</v>
      </c>
      <c r="AG69" s="3">
        <v>10</v>
      </c>
      <c r="AH69" s="3">
        <v>10</v>
      </c>
      <c r="AI69" s="3"/>
      <c r="AJ69" s="3"/>
      <c r="AK69" s="3"/>
      <c r="AL69" s="3"/>
      <c r="AM69" s="3" t="s">
        <v>145</v>
      </c>
      <c r="AN69" s="3"/>
      <c r="AO69" s="3" t="s">
        <v>296</v>
      </c>
      <c r="AP69" s="50" t="s">
        <v>297</v>
      </c>
      <c r="AQ69" s="3"/>
      <c r="AR69" s="3"/>
      <c r="AS69" s="3"/>
      <c r="AT69" s="3"/>
      <c r="AU69" s="3">
        <v>400</v>
      </c>
      <c r="AV69" s="3">
        <v>400</v>
      </c>
      <c r="AW69" s="3">
        <v>3</v>
      </c>
      <c r="AX69" s="3"/>
      <c r="AY69" s="3"/>
      <c r="AZ69" s="3"/>
    </row>
    <row r="70" spans="1:52" customFormat="1" ht="15" customHeight="1">
      <c r="A70" s="41" t="s">
        <v>136</v>
      </c>
      <c r="B70" s="41" t="s">
        <v>107</v>
      </c>
      <c r="C70" s="41" t="s">
        <v>146</v>
      </c>
      <c r="D70" s="104">
        <v>1</v>
      </c>
      <c r="E70" s="55" t="s">
        <v>5</v>
      </c>
      <c r="F70" s="146" t="s">
        <v>516</v>
      </c>
      <c r="G70" s="48">
        <v>60</v>
      </c>
      <c r="H70" s="48">
        <v>60</v>
      </c>
      <c r="I70" s="51">
        <f t="shared" si="17"/>
        <v>5.416666666666667</v>
      </c>
      <c r="J70" s="51">
        <f t="shared" si="17"/>
        <v>5.416666666666667</v>
      </c>
      <c r="K70" s="43">
        <f t="shared" ref="K70:K75" si="18">I70/G70</f>
        <v>9.0277777777777776E-2</v>
      </c>
      <c r="L70" s="44">
        <v>0.12</v>
      </c>
      <c r="M70" s="44">
        <v>1</v>
      </c>
      <c r="N70" s="3"/>
      <c r="O70" s="3"/>
      <c r="P70" s="3"/>
      <c r="Q70" s="3"/>
      <c r="R70" s="3"/>
      <c r="S70" s="3"/>
      <c r="T70" s="45">
        <f>U70*K70</f>
        <v>4.9652777777777777</v>
      </c>
      <c r="U70" s="45">
        <v>55</v>
      </c>
      <c r="V70" s="45">
        <f t="shared" si="16"/>
        <v>5.416666666666667</v>
      </c>
      <c r="W70" s="45">
        <v>60</v>
      </c>
      <c r="X70" s="45">
        <v>5.2</v>
      </c>
      <c r="Y70" s="45">
        <v>60</v>
      </c>
      <c r="Z70" s="108">
        <f t="shared" si="3"/>
        <v>1.0472727272727274</v>
      </c>
      <c r="AA70" s="57">
        <v>0.99997999999999998</v>
      </c>
      <c r="AB70" s="57">
        <v>0.99997999999999998</v>
      </c>
      <c r="AC70" s="47" t="s">
        <v>80</v>
      </c>
      <c r="AD70" s="3"/>
      <c r="AE70" s="3">
        <v>-75</v>
      </c>
      <c r="AF70" s="47" t="s">
        <v>109</v>
      </c>
      <c r="AG70" s="3">
        <v>10</v>
      </c>
      <c r="AH70" s="3">
        <v>10</v>
      </c>
      <c r="AI70" s="3"/>
      <c r="AJ70" s="3"/>
      <c r="AK70" s="3"/>
      <c r="AL70" s="3"/>
      <c r="AM70" s="54" t="s">
        <v>110</v>
      </c>
      <c r="AN70" s="3"/>
      <c r="AO70" s="3" t="s">
        <v>296</v>
      </c>
      <c r="AP70" s="50" t="s">
        <v>297</v>
      </c>
      <c r="AQ70" s="3"/>
      <c r="AR70" s="3"/>
      <c r="AS70" s="3"/>
      <c r="AT70" s="3">
        <v>550</v>
      </c>
      <c r="AU70" s="3">
        <v>400</v>
      </c>
      <c r="AV70" s="3">
        <v>400</v>
      </c>
      <c r="AW70" s="3">
        <v>3</v>
      </c>
      <c r="AX70" s="3"/>
      <c r="AY70" s="3"/>
      <c r="AZ70" s="3"/>
    </row>
    <row r="71" spans="1:52" customFormat="1" ht="15" customHeight="1">
      <c r="A71" s="41" t="s">
        <v>136</v>
      </c>
      <c r="B71" s="41" t="s">
        <v>107</v>
      </c>
      <c r="C71" s="41" t="s">
        <v>147</v>
      </c>
      <c r="D71" s="104">
        <v>1</v>
      </c>
      <c r="E71" s="55" t="s">
        <v>5</v>
      </c>
      <c r="F71" s="146" t="s">
        <v>516</v>
      </c>
      <c r="G71" s="48">
        <v>70</v>
      </c>
      <c r="H71" s="48">
        <v>70</v>
      </c>
      <c r="I71" s="51">
        <f>160/24</f>
        <v>6.666666666666667</v>
      </c>
      <c r="J71" s="51">
        <f>160/24</f>
        <v>6.666666666666667</v>
      </c>
      <c r="K71" s="43">
        <f t="shared" si="18"/>
        <v>9.5238095238095247E-2</v>
      </c>
      <c r="L71" s="44">
        <v>0.12</v>
      </c>
      <c r="M71" s="44">
        <v>1</v>
      </c>
      <c r="N71" s="3"/>
      <c r="O71" s="3"/>
      <c r="P71" s="3"/>
      <c r="Q71" s="3"/>
      <c r="R71" s="3"/>
      <c r="S71" s="3"/>
      <c r="T71" s="45">
        <f>U71*K71</f>
        <v>5.2380952380952381</v>
      </c>
      <c r="U71" s="45">
        <v>55</v>
      </c>
      <c r="V71" s="45">
        <f t="shared" si="16"/>
        <v>5.7142857142857144</v>
      </c>
      <c r="W71" s="45">
        <v>60</v>
      </c>
      <c r="X71" s="45">
        <v>5.4</v>
      </c>
      <c r="Y71" s="45">
        <v>60</v>
      </c>
      <c r="Z71" s="108">
        <f t="shared" si="3"/>
        <v>1.030909090909091</v>
      </c>
      <c r="AA71" s="57">
        <v>0.99997999999999998</v>
      </c>
      <c r="AB71" s="57">
        <v>0.99997999999999998</v>
      </c>
      <c r="AC71" s="47" t="s">
        <v>80</v>
      </c>
      <c r="AD71" s="3"/>
      <c r="AE71" s="3">
        <v>-75</v>
      </c>
      <c r="AF71" s="47" t="s">
        <v>109</v>
      </c>
      <c r="AG71" s="3">
        <v>10</v>
      </c>
      <c r="AH71" s="3">
        <v>10</v>
      </c>
      <c r="AI71" s="3"/>
      <c r="AJ71" s="3"/>
      <c r="AK71" s="3"/>
      <c r="AL71" s="3"/>
      <c r="AM71" s="54" t="s">
        <v>110</v>
      </c>
      <c r="AN71" s="3"/>
      <c r="AO71" s="3" t="s">
        <v>296</v>
      </c>
      <c r="AP71" s="50" t="s">
        <v>297</v>
      </c>
      <c r="AQ71" s="3"/>
      <c r="AR71" s="3"/>
      <c r="AS71" s="3"/>
      <c r="AT71" s="3">
        <v>675</v>
      </c>
      <c r="AU71" s="3">
        <v>400</v>
      </c>
      <c r="AV71" s="3">
        <v>400</v>
      </c>
      <c r="AW71" s="3">
        <v>3</v>
      </c>
      <c r="AX71" s="3"/>
      <c r="AY71" s="3"/>
      <c r="AZ71" s="3"/>
    </row>
    <row r="72" spans="1:52" customFormat="1" ht="15" customHeight="1">
      <c r="A72" s="41" t="s">
        <v>136</v>
      </c>
      <c r="B72" s="41" t="s">
        <v>107</v>
      </c>
      <c r="C72" s="41" t="s">
        <v>148</v>
      </c>
      <c r="D72" s="104">
        <v>1</v>
      </c>
      <c r="E72" s="55" t="s">
        <v>5</v>
      </c>
      <c r="F72" s="146" t="s">
        <v>516</v>
      </c>
      <c r="G72" s="48">
        <v>100</v>
      </c>
      <c r="H72" s="48">
        <v>100</v>
      </c>
      <c r="I72" s="51">
        <f>215/24</f>
        <v>8.9583333333333339</v>
      </c>
      <c r="J72" s="51">
        <f>215/24</f>
        <v>8.9583333333333339</v>
      </c>
      <c r="K72" s="43">
        <f t="shared" si="18"/>
        <v>8.9583333333333334E-2</v>
      </c>
      <c r="L72" s="44">
        <v>0.06</v>
      </c>
      <c r="M72" s="44">
        <v>1</v>
      </c>
      <c r="N72" s="3"/>
      <c r="O72" s="3"/>
      <c r="P72" s="3"/>
      <c r="Q72" s="3"/>
      <c r="R72" s="3"/>
      <c r="S72" s="3"/>
      <c r="T72" s="45">
        <f>U72*K72</f>
        <v>4.927083333333333</v>
      </c>
      <c r="U72" s="45">
        <v>55</v>
      </c>
      <c r="V72" s="45">
        <f>W72*K72</f>
        <v>5.375</v>
      </c>
      <c r="W72" s="45">
        <v>60</v>
      </c>
      <c r="X72" s="45">
        <v>5.4</v>
      </c>
      <c r="Y72" s="45">
        <v>60</v>
      </c>
      <c r="Z72" s="108">
        <f t="shared" si="3"/>
        <v>1.0959830866807612</v>
      </c>
      <c r="AA72" s="57">
        <v>0.99997999999999998</v>
      </c>
      <c r="AB72" s="57">
        <v>0.99997999999999998</v>
      </c>
      <c r="AC72" s="47" t="s">
        <v>80</v>
      </c>
      <c r="AD72" s="3"/>
      <c r="AE72" s="3">
        <v>-75</v>
      </c>
      <c r="AF72" s="47" t="s">
        <v>109</v>
      </c>
      <c r="AG72" s="3">
        <v>10</v>
      </c>
      <c r="AH72" s="3">
        <v>10</v>
      </c>
      <c r="AI72" s="3"/>
      <c r="AJ72" s="3"/>
      <c r="AK72" s="3"/>
      <c r="AL72" s="3"/>
      <c r="AM72" s="54" t="s">
        <v>110</v>
      </c>
      <c r="AN72" s="3"/>
      <c r="AO72" s="3" t="s">
        <v>296</v>
      </c>
      <c r="AP72" s="50" t="s">
        <v>297</v>
      </c>
      <c r="AQ72" s="3"/>
      <c r="AR72" s="3"/>
      <c r="AS72" s="3"/>
      <c r="AT72" s="3">
        <v>800</v>
      </c>
      <c r="AU72" s="3">
        <v>400</v>
      </c>
      <c r="AV72" s="3">
        <v>400</v>
      </c>
      <c r="AW72" s="3">
        <v>3</v>
      </c>
      <c r="AX72" s="3"/>
      <c r="AY72" s="3"/>
      <c r="AZ72" s="3"/>
    </row>
    <row r="73" spans="1:52" customFormat="1" ht="15" customHeight="1">
      <c r="A73" s="41" t="s">
        <v>136</v>
      </c>
      <c r="B73" s="41" t="s">
        <v>517</v>
      </c>
      <c r="C73" s="41" t="s">
        <v>149</v>
      </c>
      <c r="D73" s="104">
        <v>0</v>
      </c>
      <c r="E73" s="55" t="s">
        <v>5</v>
      </c>
      <c r="F73" s="146" t="s">
        <v>515</v>
      </c>
      <c r="G73" s="48">
        <v>30</v>
      </c>
      <c r="H73" s="48">
        <v>30</v>
      </c>
      <c r="I73" s="3">
        <v>2.7</v>
      </c>
      <c r="J73" s="3">
        <v>2.7</v>
      </c>
      <c r="K73" s="43">
        <f t="shared" si="18"/>
        <v>9.0000000000000011E-2</v>
      </c>
      <c r="L73" s="3"/>
      <c r="M73" s="3"/>
      <c r="N73" s="3"/>
      <c r="O73" s="3"/>
      <c r="P73" s="3"/>
      <c r="Q73" s="68">
        <v>0.85199999999999998</v>
      </c>
      <c r="R73" s="58">
        <v>0.84970000000000001</v>
      </c>
      <c r="S73" s="58">
        <v>0.754</v>
      </c>
      <c r="T73" s="45">
        <v>4.1500000000000004</v>
      </c>
      <c r="U73" s="51">
        <f t="shared" ref="U73:U82" si="19">T73/K73</f>
        <v>46.111111111111107</v>
      </c>
      <c r="V73" s="45">
        <v>4.17</v>
      </c>
      <c r="W73" s="51">
        <f t="shared" ref="W73:W81" si="20">V73/K73</f>
        <v>46.333333333333329</v>
      </c>
      <c r="X73" s="45">
        <v>4.6900000000000004</v>
      </c>
      <c r="Y73" s="45">
        <v>52.2</v>
      </c>
      <c r="Z73" s="108">
        <f t="shared" si="3"/>
        <v>1.1301204819277109</v>
      </c>
      <c r="AA73" s="57">
        <v>0.99997999999999998</v>
      </c>
      <c r="AB73" s="57">
        <v>0.99997999999999998</v>
      </c>
      <c r="AC73" s="3"/>
      <c r="AD73" s="3"/>
      <c r="AE73" s="3">
        <v>-70</v>
      </c>
      <c r="AF73" s="3"/>
      <c r="AG73" s="3">
        <v>35</v>
      </c>
      <c r="AH73" s="3">
        <v>35</v>
      </c>
      <c r="AI73" s="3"/>
      <c r="AJ73" s="3"/>
      <c r="AK73" s="3"/>
      <c r="AL73" s="3"/>
      <c r="AM73" s="3" t="s">
        <v>150</v>
      </c>
      <c r="AN73" s="3"/>
      <c r="AO73" s="3">
        <v>0.9</v>
      </c>
      <c r="AP73" s="50">
        <f t="shared" ref="AP73:AP79" si="21">AO73/K73</f>
        <v>9.9999999999999982</v>
      </c>
      <c r="AQ73" s="3"/>
      <c r="AR73" s="3">
        <v>40</v>
      </c>
      <c r="AS73" s="3"/>
      <c r="AT73" s="3"/>
      <c r="AU73" s="3">
        <v>400</v>
      </c>
      <c r="AV73" s="3">
        <v>400</v>
      </c>
      <c r="AW73" s="3">
        <v>3</v>
      </c>
      <c r="AX73" s="3"/>
      <c r="AY73" s="3"/>
      <c r="AZ73" s="3"/>
    </row>
    <row r="74" spans="1:52" customFormat="1" ht="15" customHeight="1">
      <c r="A74" s="41" t="s">
        <v>136</v>
      </c>
      <c r="B74" s="41" t="s">
        <v>517</v>
      </c>
      <c r="C74" s="41" t="s">
        <v>151</v>
      </c>
      <c r="D74" s="104">
        <v>0</v>
      </c>
      <c r="E74" s="55" t="s">
        <v>5</v>
      </c>
      <c r="F74" s="146" t="s">
        <v>515</v>
      </c>
      <c r="G74" s="48">
        <v>60</v>
      </c>
      <c r="H74" s="48">
        <v>60</v>
      </c>
      <c r="I74" s="3">
        <v>5.4</v>
      </c>
      <c r="J74" s="3">
        <v>5.4</v>
      </c>
      <c r="K74" s="43">
        <f t="shared" si="18"/>
        <v>9.0000000000000011E-2</v>
      </c>
      <c r="L74" s="3"/>
      <c r="M74" s="3"/>
      <c r="N74" s="3"/>
      <c r="O74" s="3"/>
      <c r="P74" s="3"/>
      <c r="Q74" s="68">
        <v>0.85199999999999998</v>
      </c>
      <c r="R74" s="58">
        <v>0.84970000000000001</v>
      </c>
      <c r="S74" s="58">
        <v>0.754</v>
      </c>
      <c r="T74" s="45">
        <v>4.1500000000000004</v>
      </c>
      <c r="U74" s="51">
        <f t="shared" si="19"/>
        <v>46.111111111111107</v>
      </c>
      <c r="V74" s="45">
        <v>4.17</v>
      </c>
      <c r="W74" s="51">
        <f t="shared" si="20"/>
        <v>46.333333333333329</v>
      </c>
      <c r="X74" s="45">
        <v>4.6900000000000004</v>
      </c>
      <c r="Y74" s="45">
        <v>52.2</v>
      </c>
      <c r="Z74" s="108">
        <f t="shared" si="3"/>
        <v>1.1301204819277109</v>
      </c>
      <c r="AA74" s="57">
        <v>0.99997999999999998</v>
      </c>
      <c r="AB74" s="57">
        <v>0.99997999999999998</v>
      </c>
      <c r="AC74" s="3"/>
      <c r="AD74" s="3"/>
      <c r="AE74" s="3">
        <v>-70</v>
      </c>
      <c r="AF74" s="3"/>
      <c r="AG74" s="3">
        <v>35</v>
      </c>
      <c r="AH74" s="3">
        <v>35</v>
      </c>
      <c r="AI74" s="3"/>
      <c r="AJ74" s="3"/>
      <c r="AK74" s="3"/>
      <c r="AL74" s="3"/>
      <c r="AM74" s="3" t="s">
        <v>150</v>
      </c>
      <c r="AN74" s="3"/>
      <c r="AO74" s="3">
        <v>0.9</v>
      </c>
      <c r="AP74" s="50">
        <f t="shared" si="21"/>
        <v>9.9999999999999982</v>
      </c>
      <c r="AQ74" s="3"/>
      <c r="AR74" s="3">
        <v>80</v>
      </c>
      <c r="AS74" s="3"/>
      <c r="AT74" s="3"/>
      <c r="AU74" s="3">
        <v>400</v>
      </c>
      <c r="AV74" s="3">
        <v>400</v>
      </c>
      <c r="AW74" s="3">
        <v>3</v>
      </c>
      <c r="AX74" s="3"/>
      <c r="AY74" s="3"/>
      <c r="AZ74" s="3"/>
    </row>
    <row r="75" spans="1:52" customFormat="1" ht="15" customHeight="1">
      <c r="A75" s="41" t="s">
        <v>136</v>
      </c>
      <c r="B75" s="41" t="s">
        <v>517</v>
      </c>
      <c r="C75" s="41" t="s">
        <v>152</v>
      </c>
      <c r="D75" s="104">
        <v>1</v>
      </c>
      <c r="E75" s="55" t="s">
        <v>5</v>
      </c>
      <c r="F75" s="146" t="s">
        <v>515</v>
      </c>
      <c r="G75" s="48">
        <v>90</v>
      </c>
      <c r="H75" s="48">
        <v>90</v>
      </c>
      <c r="I75" s="3">
        <v>8.1</v>
      </c>
      <c r="J75" s="3">
        <v>8.1</v>
      </c>
      <c r="K75" s="43">
        <f t="shared" si="18"/>
        <v>0.09</v>
      </c>
      <c r="L75" s="58">
        <v>0.125</v>
      </c>
      <c r="M75" s="44">
        <v>1</v>
      </c>
      <c r="N75" s="3" t="s">
        <v>298</v>
      </c>
      <c r="O75" s="3" t="s">
        <v>299</v>
      </c>
      <c r="P75" s="3"/>
      <c r="Q75" s="68"/>
      <c r="R75" s="58">
        <v>0.74</v>
      </c>
      <c r="S75" s="58"/>
      <c r="T75" s="51">
        <f>U75*K75</f>
        <v>4.7699999999999996</v>
      </c>
      <c r="U75" s="45">
        <v>53</v>
      </c>
      <c r="V75" s="51">
        <f>W75*K75</f>
        <v>4.7699999999999996</v>
      </c>
      <c r="W75" s="45">
        <v>53</v>
      </c>
      <c r="X75" s="45">
        <f>Y75*K75</f>
        <v>5.13</v>
      </c>
      <c r="Y75" s="45">
        <v>57</v>
      </c>
      <c r="Z75" s="108">
        <f t="shared" si="3"/>
        <v>1.0754716981132075</v>
      </c>
      <c r="AA75" s="57">
        <v>0.99997999999999998</v>
      </c>
      <c r="AB75" s="57">
        <v>0.99997999999999998</v>
      </c>
      <c r="AC75" s="3"/>
      <c r="AD75" s="3" t="s">
        <v>153</v>
      </c>
      <c r="AE75" s="3"/>
      <c r="AF75" s="3"/>
      <c r="AG75" s="3">
        <v>30</v>
      </c>
      <c r="AH75" s="3">
        <v>30</v>
      </c>
      <c r="AI75" s="3"/>
      <c r="AJ75" s="3"/>
      <c r="AK75" s="3"/>
      <c r="AL75" s="3"/>
      <c r="AM75" s="3"/>
      <c r="AN75" s="3"/>
      <c r="AO75" s="50">
        <f>AP75*K75</f>
        <v>3.0059999999999998</v>
      </c>
      <c r="AP75" s="50">
        <v>33.4</v>
      </c>
      <c r="AQ75" s="3"/>
      <c r="AR75" s="3"/>
      <c r="AS75" s="3"/>
      <c r="AT75" s="3"/>
      <c r="AU75" s="3">
        <v>400</v>
      </c>
      <c r="AV75" s="3">
        <v>400</v>
      </c>
      <c r="AW75" s="3">
        <v>3</v>
      </c>
      <c r="AX75" s="3"/>
      <c r="AY75" s="3"/>
      <c r="AZ75" s="3"/>
    </row>
    <row r="76" spans="1:52" customFormat="1" ht="15" customHeight="1">
      <c r="A76" s="41" t="s">
        <v>136</v>
      </c>
      <c r="B76" s="41" t="s">
        <v>517</v>
      </c>
      <c r="C76" s="41" t="s">
        <v>154</v>
      </c>
      <c r="D76" s="104">
        <v>1</v>
      </c>
      <c r="E76" s="55" t="s">
        <v>5</v>
      </c>
      <c r="F76" s="146" t="s">
        <v>515</v>
      </c>
      <c r="G76" s="48">
        <v>180</v>
      </c>
      <c r="H76" s="48">
        <v>180</v>
      </c>
      <c r="I76" s="3">
        <v>16.2</v>
      </c>
      <c r="J76" s="3">
        <v>16.2</v>
      </c>
      <c r="K76" s="52">
        <f>J76/H76</f>
        <v>0.09</v>
      </c>
      <c r="L76" s="58">
        <v>0.125</v>
      </c>
      <c r="M76" s="44">
        <v>1</v>
      </c>
      <c r="N76" s="3" t="s">
        <v>298</v>
      </c>
      <c r="O76" s="3" t="s">
        <v>299</v>
      </c>
      <c r="P76" s="3"/>
      <c r="R76" s="58">
        <v>0.74</v>
      </c>
      <c r="T76" s="51">
        <f>U76*K76</f>
        <v>4.7699999999999996</v>
      </c>
      <c r="U76" s="45">
        <v>53</v>
      </c>
      <c r="V76" s="51">
        <f>W76*K76</f>
        <v>4.7699999999999996</v>
      </c>
      <c r="W76" s="45">
        <v>53</v>
      </c>
      <c r="X76" s="45">
        <f>Y76*K76</f>
        <v>5.13</v>
      </c>
      <c r="Y76" s="45">
        <v>57</v>
      </c>
      <c r="Z76" s="108">
        <f t="shared" ref="Z76:Z139" si="22">X76/T76</f>
        <v>1.0754716981132075</v>
      </c>
      <c r="AA76" s="57">
        <v>0.99997999999999998</v>
      </c>
      <c r="AB76" s="57">
        <v>0.99997999999999998</v>
      </c>
      <c r="AC76" s="3"/>
      <c r="AD76" s="3" t="s">
        <v>153</v>
      </c>
      <c r="AE76" s="3"/>
      <c r="AF76" s="3"/>
      <c r="AG76" s="3">
        <v>30</v>
      </c>
      <c r="AH76" s="3">
        <v>30</v>
      </c>
      <c r="AI76" s="3"/>
      <c r="AJ76" s="3"/>
      <c r="AK76" s="3"/>
      <c r="AL76" s="3"/>
      <c r="AM76" s="3"/>
      <c r="AN76" s="3"/>
      <c r="AO76" s="50">
        <f>AP76*K76</f>
        <v>3.0059999999999998</v>
      </c>
      <c r="AP76">
        <v>33.4</v>
      </c>
      <c r="AQ76" s="50"/>
      <c r="AR76" s="3"/>
      <c r="AS76" s="3"/>
      <c r="AT76" s="3"/>
      <c r="AU76" s="3">
        <v>400</v>
      </c>
      <c r="AV76" s="3">
        <v>400</v>
      </c>
      <c r="AW76" s="3">
        <v>3</v>
      </c>
      <c r="AX76" s="3"/>
      <c r="AY76" s="3"/>
      <c r="AZ76" s="3"/>
    </row>
    <row r="77" spans="1:52" customFormat="1" ht="15" customHeight="1">
      <c r="A77" s="41" t="s">
        <v>136</v>
      </c>
      <c r="B77" s="41" t="s">
        <v>517</v>
      </c>
      <c r="C77" s="41" t="s">
        <v>155</v>
      </c>
      <c r="D77" s="104">
        <v>1</v>
      </c>
      <c r="E77" s="55" t="s">
        <v>5</v>
      </c>
      <c r="F77" s="146" t="s">
        <v>515</v>
      </c>
      <c r="G77" s="48">
        <v>1200</v>
      </c>
      <c r="H77" s="48">
        <v>1200</v>
      </c>
      <c r="I77" s="3">
        <v>107</v>
      </c>
      <c r="J77" s="3">
        <v>107</v>
      </c>
      <c r="K77" s="52">
        <f>I77/G77</f>
        <v>8.9166666666666672E-2</v>
      </c>
      <c r="L77" s="44">
        <v>0.25</v>
      </c>
      <c r="M77" s="44">
        <v>1</v>
      </c>
      <c r="N77" s="3" t="s">
        <v>200</v>
      </c>
      <c r="O77" s="3" t="s">
        <v>301</v>
      </c>
      <c r="P77" s="3"/>
      <c r="R77" s="58">
        <v>0.75900000000000001</v>
      </c>
      <c r="S77" s="58"/>
      <c r="T77" s="51">
        <f>U77*K77</f>
        <v>4.6277499999999998</v>
      </c>
      <c r="U77" s="45">
        <v>51.9</v>
      </c>
      <c r="V77" s="51">
        <f>W77*K77</f>
        <v>4.6277499999999998</v>
      </c>
      <c r="W77" s="45">
        <v>51.9</v>
      </c>
      <c r="X77" s="45">
        <f>Y77*K77</f>
        <v>4.877416666666667</v>
      </c>
      <c r="Y77" s="45">
        <v>54.7</v>
      </c>
      <c r="Z77" s="108">
        <f t="shared" si="22"/>
        <v>1.0539499036608864</v>
      </c>
      <c r="AA77" s="57">
        <v>0.99997999999999998</v>
      </c>
      <c r="AB77" s="57">
        <v>0.99997999999999998</v>
      </c>
      <c r="AC77" s="3"/>
      <c r="AD77" s="3" t="s">
        <v>156</v>
      </c>
      <c r="AE77" s="3"/>
      <c r="AF77" s="3"/>
      <c r="AG77" s="3">
        <v>35</v>
      </c>
      <c r="AH77" s="3">
        <v>35</v>
      </c>
      <c r="AI77" s="3"/>
      <c r="AJ77" s="3"/>
      <c r="AK77" s="3"/>
      <c r="AL77" s="3"/>
      <c r="AM77" s="3" t="s">
        <v>157</v>
      </c>
      <c r="AN77" s="3"/>
      <c r="AO77" s="50">
        <f t="shared" ref="AO77" si="23">AP77*K77</f>
        <v>0.84708333333333341</v>
      </c>
      <c r="AP77" s="50">
        <v>9.5</v>
      </c>
      <c r="AQ77" s="3"/>
      <c r="AR77" s="3"/>
      <c r="AS77" s="3"/>
      <c r="AT77" s="3"/>
      <c r="AU77" s="3"/>
      <c r="AV77" s="3"/>
      <c r="AW77" s="3"/>
      <c r="AX77" s="3">
        <v>10.5</v>
      </c>
      <c r="AY77" s="3"/>
      <c r="AZ77" s="3"/>
    </row>
    <row r="78" spans="1:52" customFormat="1" ht="15" customHeight="1">
      <c r="A78" s="41" t="s">
        <v>136</v>
      </c>
      <c r="B78" s="69" t="s">
        <v>158</v>
      </c>
      <c r="C78" s="41" t="s">
        <v>159</v>
      </c>
      <c r="D78" s="104">
        <v>0</v>
      </c>
      <c r="E78" s="55" t="s">
        <v>5</v>
      </c>
      <c r="F78" s="146" t="s">
        <v>515</v>
      </c>
      <c r="G78" s="48">
        <v>2000</v>
      </c>
      <c r="H78" s="48">
        <v>2000</v>
      </c>
      <c r="I78" s="61">
        <f t="shared" ref="I78:I83" si="24">G78*K78</f>
        <v>179.79999999999998</v>
      </c>
      <c r="J78" s="61">
        <f t="shared" ref="J78:J83" si="25">H78*K78</f>
        <v>179.79999999999998</v>
      </c>
      <c r="K78" s="52">
        <f t="shared" ref="K78:K83" si="26">$C$2</f>
        <v>8.9899999999999994E-2</v>
      </c>
      <c r="L78" s="44">
        <v>0.1</v>
      </c>
      <c r="M78" s="44">
        <v>1</v>
      </c>
      <c r="R78" s="70">
        <v>0.82</v>
      </c>
      <c r="S78" s="58"/>
      <c r="T78" s="45">
        <v>4.5</v>
      </c>
      <c r="U78" s="51">
        <f t="shared" si="19"/>
        <v>50.055617352614021</v>
      </c>
      <c r="V78" s="45">
        <v>4.5</v>
      </c>
      <c r="W78" s="51">
        <f t="shared" si="20"/>
        <v>50.055617352614021</v>
      </c>
      <c r="X78" s="126"/>
      <c r="Y78" s="126"/>
      <c r="Z78" s="108">
        <f t="shared" si="22"/>
        <v>0</v>
      </c>
      <c r="AA78" s="68">
        <v>0.999</v>
      </c>
      <c r="AB78" s="71">
        <v>0.99999000000000005</v>
      </c>
      <c r="AG78" s="3"/>
      <c r="AH78" s="3"/>
      <c r="AO78" s="3">
        <v>1</v>
      </c>
      <c r="AP78" s="50">
        <f t="shared" si="21"/>
        <v>11.123470522803116</v>
      </c>
    </row>
    <row r="79" spans="1:52" customFormat="1" ht="15" customHeight="1">
      <c r="A79" s="41" t="s">
        <v>136</v>
      </c>
      <c r="B79" s="69" t="s">
        <v>158</v>
      </c>
      <c r="C79" s="41" t="s">
        <v>160</v>
      </c>
      <c r="D79" s="104">
        <v>1</v>
      </c>
      <c r="E79" s="55" t="s">
        <v>5</v>
      </c>
      <c r="F79" s="146" t="s">
        <v>515</v>
      </c>
      <c r="G79" s="48">
        <v>4000</v>
      </c>
      <c r="H79" s="48">
        <v>4000</v>
      </c>
      <c r="I79" s="61">
        <f t="shared" si="24"/>
        <v>359.59999999999997</v>
      </c>
      <c r="J79" s="61">
        <f t="shared" si="25"/>
        <v>359.59999999999997</v>
      </c>
      <c r="K79" s="52">
        <f t="shared" si="26"/>
        <v>8.9899999999999994E-2</v>
      </c>
      <c r="L79" s="44">
        <v>0.1</v>
      </c>
      <c r="M79" s="44">
        <v>1</v>
      </c>
      <c r="N79" s="3"/>
      <c r="O79" s="3"/>
      <c r="P79" s="3"/>
      <c r="R79" s="70">
        <v>0.82</v>
      </c>
      <c r="S79" s="70"/>
      <c r="T79" s="45">
        <v>4.5</v>
      </c>
      <c r="U79" s="51">
        <f t="shared" si="19"/>
        <v>50.055617352614021</v>
      </c>
      <c r="V79" s="45">
        <v>4.5</v>
      </c>
      <c r="W79" s="51">
        <f t="shared" si="20"/>
        <v>50.055617352614021</v>
      </c>
      <c r="X79" s="45"/>
      <c r="Y79" s="45"/>
      <c r="Z79" s="108">
        <f t="shared" si="22"/>
        <v>0</v>
      </c>
      <c r="AA79" s="68">
        <v>0.999</v>
      </c>
      <c r="AB79" s="71">
        <v>0.99999000000000005</v>
      </c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>
        <v>1</v>
      </c>
      <c r="AP79" s="50">
        <f t="shared" si="21"/>
        <v>11.123470522803116</v>
      </c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customFormat="1" ht="15" customHeight="1">
      <c r="A80" s="41" t="s">
        <v>136</v>
      </c>
      <c r="B80" s="41" t="s">
        <v>161</v>
      </c>
      <c r="C80" s="41" t="s">
        <v>162</v>
      </c>
      <c r="D80" s="104">
        <v>1</v>
      </c>
      <c r="E80" s="55" t="s">
        <v>5</v>
      </c>
      <c r="F80" s="146" t="s">
        <v>515</v>
      </c>
      <c r="G80" s="48">
        <v>2174</v>
      </c>
      <c r="H80" s="48">
        <v>2174</v>
      </c>
      <c r="I80" s="61">
        <f t="shared" si="24"/>
        <v>195.4426</v>
      </c>
      <c r="J80" s="61">
        <f t="shared" si="25"/>
        <v>195.4426</v>
      </c>
      <c r="K80" s="52">
        <f t="shared" si="26"/>
        <v>8.9899999999999994E-2</v>
      </c>
      <c r="L80" s="44">
        <v>0.25</v>
      </c>
      <c r="M80" s="44">
        <v>1</v>
      </c>
      <c r="N80" s="3"/>
      <c r="O80" s="3"/>
      <c r="P80" s="3"/>
      <c r="R80" s="3"/>
      <c r="S80" s="3"/>
      <c r="T80" s="45">
        <v>4.18</v>
      </c>
      <c r="U80" s="51">
        <f t="shared" si="19"/>
        <v>46.496106785317018</v>
      </c>
      <c r="V80" s="45">
        <v>4.54</v>
      </c>
      <c r="W80" s="51">
        <f t="shared" si="20"/>
        <v>50.500556173526142</v>
      </c>
      <c r="X80" s="45">
        <v>4.4349999999999996</v>
      </c>
      <c r="Y80" s="51">
        <f>X80/K80</f>
        <v>49.332591768631815</v>
      </c>
      <c r="Z80" s="108">
        <f t="shared" si="22"/>
        <v>1.0610047846889952</v>
      </c>
      <c r="AA80" s="66">
        <v>0.998</v>
      </c>
      <c r="AB80" s="66">
        <v>0.998</v>
      </c>
      <c r="AC80" s="3"/>
      <c r="AD80" s="3"/>
      <c r="AE80" s="3"/>
      <c r="AF80" s="3"/>
      <c r="AG80" s="3">
        <v>30</v>
      </c>
      <c r="AH80" s="3">
        <v>30</v>
      </c>
      <c r="AI80" s="3"/>
      <c r="AJ80" s="3"/>
      <c r="AK80" s="3"/>
      <c r="AL80" s="3"/>
      <c r="AM80" s="3"/>
      <c r="AN80" s="3"/>
      <c r="AO80" s="67">
        <f>1850/G80</f>
        <v>0.85096596136154556</v>
      </c>
      <c r="AP80" s="50">
        <f>AO80/K80</f>
        <v>9.4656947871139661</v>
      </c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4" customFormat="1" ht="15" customHeight="1">
      <c r="A81" s="41" t="s">
        <v>163</v>
      </c>
      <c r="B81" s="41" t="s">
        <v>161</v>
      </c>
      <c r="C81" s="41" t="s">
        <v>164</v>
      </c>
      <c r="D81" s="104">
        <v>1</v>
      </c>
      <c r="E81" s="55" t="s">
        <v>5</v>
      </c>
      <c r="F81" s="146" t="s">
        <v>515</v>
      </c>
      <c r="G81" s="48">
        <v>750</v>
      </c>
      <c r="H81" s="48">
        <v>750</v>
      </c>
      <c r="I81" s="61">
        <f t="shared" si="24"/>
        <v>67.424999999999997</v>
      </c>
      <c r="J81" s="61">
        <f t="shared" si="25"/>
        <v>67.424999999999997</v>
      </c>
      <c r="K81" s="52">
        <f t="shared" si="26"/>
        <v>8.9899999999999994E-2</v>
      </c>
      <c r="L81" s="44">
        <v>0.05</v>
      </c>
      <c r="M81" s="44">
        <v>1</v>
      </c>
      <c r="N81" s="3"/>
      <c r="O81" s="3"/>
      <c r="P81" s="3"/>
      <c r="S81" s="70">
        <v>0.84</v>
      </c>
      <c r="T81" s="45">
        <v>3</v>
      </c>
      <c r="U81" s="51">
        <f t="shared" si="19"/>
        <v>33.370411568409345</v>
      </c>
      <c r="V81" s="45">
        <v>3</v>
      </c>
      <c r="W81" s="51">
        <f t="shared" si="20"/>
        <v>33.370411568409345</v>
      </c>
      <c r="X81" s="45">
        <v>3.6</v>
      </c>
      <c r="Y81" s="51">
        <f>X81/K81</f>
        <v>40.044493882091217</v>
      </c>
      <c r="Z81" s="108">
        <f t="shared" si="22"/>
        <v>1.2</v>
      </c>
      <c r="AA81" s="66">
        <v>0.999</v>
      </c>
      <c r="AB81" s="66">
        <v>0.999</v>
      </c>
      <c r="AC81" s="3"/>
      <c r="AD81" s="3"/>
      <c r="AE81" s="3"/>
      <c r="AF81" s="3"/>
      <c r="AG81" s="3">
        <v>0</v>
      </c>
      <c r="AH81" s="3">
        <v>0</v>
      </c>
      <c r="AI81" s="3"/>
      <c r="AJ81" s="3"/>
      <c r="AK81" s="3">
        <v>3.5</v>
      </c>
      <c r="AL81" s="3">
        <v>5.5</v>
      </c>
      <c r="AM81" s="3"/>
      <c r="AN81" s="3"/>
      <c r="AO81" s="67"/>
      <c r="AP81" s="50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4" customFormat="1" ht="15" customHeight="1">
      <c r="A82" s="41" t="s">
        <v>163</v>
      </c>
      <c r="B82" s="41" t="s">
        <v>165</v>
      </c>
      <c r="C82" s="41" t="s">
        <v>166</v>
      </c>
      <c r="D82" s="104">
        <v>1</v>
      </c>
      <c r="E82" s="55" t="s">
        <v>5</v>
      </c>
      <c r="F82" s="146" t="s">
        <v>515</v>
      </c>
      <c r="G82" s="48"/>
      <c r="H82" s="48">
        <v>32000</v>
      </c>
      <c r="I82" s="61">
        <f t="shared" si="24"/>
        <v>0</v>
      </c>
      <c r="J82" s="61">
        <f t="shared" si="25"/>
        <v>2876.7999999999997</v>
      </c>
      <c r="K82" s="52">
        <f t="shared" si="26"/>
        <v>8.9899999999999994E-2</v>
      </c>
      <c r="L82" s="44">
        <v>0.1</v>
      </c>
      <c r="M82" s="44">
        <v>1</v>
      </c>
      <c r="N82" s="3"/>
      <c r="O82" s="3"/>
      <c r="P82" s="3"/>
      <c r="Q82" s="3"/>
      <c r="R82" s="3"/>
      <c r="S82" s="3"/>
      <c r="T82" s="45">
        <v>3.1</v>
      </c>
      <c r="U82" s="51">
        <f t="shared" si="19"/>
        <v>34.482758620689658</v>
      </c>
      <c r="V82" s="51"/>
      <c r="W82" s="45"/>
      <c r="X82" s="45"/>
      <c r="Y82" s="45"/>
      <c r="Z82" s="108">
        <f t="shared" si="22"/>
        <v>0</v>
      </c>
      <c r="AA82" s="57">
        <v>0.99999000000000005</v>
      </c>
      <c r="AB82" s="57">
        <v>0.99999000000000005</v>
      </c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72" t="s">
        <v>167</v>
      </c>
      <c r="AN82" s="3"/>
      <c r="AO82" s="50" t="e">
        <f>27000/G82</f>
        <v>#DIV/0!</v>
      </c>
      <c r="AP82" s="50" t="e">
        <f>27000/I82</f>
        <v>#DIV/0!</v>
      </c>
      <c r="AQ82" s="3"/>
      <c r="AR82" s="3"/>
      <c r="AS82" s="3"/>
      <c r="AT82" s="3"/>
      <c r="AU82" s="3">
        <v>6000</v>
      </c>
      <c r="AV82" s="3">
        <v>24000</v>
      </c>
      <c r="AW82" s="3"/>
      <c r="AX82" s="3">
        <v>24</v>
      </c>
      <c r="AY82" s="3"/>
      <c r="AZ82" s="3"/>
    </row>
    <row r="83" spans="1:54" customFormat="1" ht="15" customHeight="1">
      <c r="A83" s="41" t="s">
        <v>163</v>
      </c>
      <c r="B83" s="41" t="s">
        <v>165</v>
      </c>
      <c r="C83" s="41" t="s">
        <v>168</v>
      </c>
      <c r="D83" s="104">
        <v>1</v>
      </c>
      <c r="E83" s="55" t="s">
        <v>5</v>
      </c>
      <c r="F83" s="146" t="s">
        <v>515</v>
      </c>
      <c r="G83" s="48">
        <v>800</v>
      </c>
      <c r="H83" s="48">
        <v>800</v>
      </c>
      <c r="I83" s="61">
        <f t="shared" si="24"/>
        <v>71.92</v>
      </c>
      <c r="J83" s="61">
        <f t="shared" si="25"/>
        <v>71.92</v>
      </c>
      <c r="K83" s="52">
        <f t="shared" si="26"/>
        <v>8.9899999999999994E-2</v>
      </c>
      <c r="L83" s="44">
        <v>0.1</v>
      </c>
      <c r="M83" s="44">
        <v>1</v>
      </c>
      <c r="N83" s="3"/>
      <c r="O83" s="3"/>
      <c r="P83" s="3"/>
      <c r="Q83" s="3"/>
      <c r="R83" s="3"/>
      <c r="S83" s="3"/>
      <c r="T83" s="45"/>
      <c r="U83" s="45"/>
      <c r="V83" s="45"/>
      <c r="W83" s="45"/>
      <c r="X83" s="45"/>
      <c r="Y83" s="45"/>
      <c r="Z83" s="108" t="e">
        <f t="shared" si="22"/>
        <v>#DIV/0!</v>
      </c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4" customFormat="1" ht="15" customHeight="1">
      <c r="A84" s="73" t="s">
        <v>163</v>
      </c>
      <c r="B84" s="73" t="s">
        <v>169</v>
      </c>
      <c r="C84" s="73" t="s">
        <v>170</v>
      </c>
      <c r="D84" s="105">
        <v>1</v>
      </c>
      <c r="E84" s="55" t="s">
        <v>5</v>
      </c>
      <c r="F84" s="146" t="s">
        <v>516</v>
      </c>
      <c r="G84" s="74">
        <v>356</v>
      </c>
      <c r="H84" s="74">
        <v>356</v>
      </c>
      <c r="I84" s="74">
        <v>32</v>
      </c>
      <c r="J84" s="74">
        <v>32</v>
      </c>
      <c r="K84" s="43">
        <f>I84/G84</f>
        <v>8.98876404494382E-2</v>
      </c>
      <c r="L84" s="62"/>
      <c r="M84" s="62"/>
      <c r="N84" s="62">
        <v>10</v>
      </c>
      <c r="O84" s="62"/>
      <c r="P84" s="62"/>
      <c r="S84" s="58"/>
      <c r="T84" s="45"/>
      <c r="U84" s="45"/>
      <c r="V84" s="45"/>
      <c r="W84" s="45"/>
      <c r="X84" s="45">
        <f>Y84*K84</f>
        <v>3.3707865168539324</v>
      </c>
      <c r="Y84" s="45">
        <v>37.5</v>
      </c>
      <c r="Z84" s="108" t="e">
        <f t="shared" si="22"/>
        <v>#DIV/0!</v>
      </c>
      <c r="AA84" s="66">
        <v>0.999</v>
      </c>
      <c r="AB84" s="66">
        <v>0.999</v>
      </c>
      <c r="AC84" s="3"/>
      <c r="AD84" s="3"/>
      <c r="AE84" s="62"/>
      <c r="AF84" s="62"/>
      <c r="AI84" s="62"/>
      <c r="AJ84" s="62"/>
      <c r="AK84" s="62">
        <v>4.5</v>
      </c>
      <c r="AL84" s="62">
        <v>5.5</v>
      </c>
      <c r="AM84" s="3"/>
      <c r="AN84" s="3"/>
      <c r="AO84" s="50">
        <f>AP84*K84</f>
        <v>0.9438202247191011</v>
      </c>
      <c r="AP84" s="3">
        <v>10.5</v>
      </c>
      <c r="AQ84" s="3"/>
      <c r="AR84" s="3"/>
      <c r="AS84" s="3"/>
      <c r="AT84" s="3"/>
      <c r="AU84" s="3" t="s">
        <v>171</v>
      </c>
      <c r="AV84" s="3" t="s">
        <v>171</v>
      </c>
      <c r="AW84" s="3"/>
      <c r="AX84" s="3"/>
      <c r="AY84" s="3"/>
      <c r="AZ84" s="3"/>
      <c r="BA84" s="55" t="s">
        <v>172</v>
      </c>
      <c r="BB84" s="62" t="s">
        <v>173</v>
      </c>
    </row>
    <row r="85" spans="1:54" customFormat="1" ht="15" customHeight="1">
      <c r="A85" s="73" t="s">
        <v>163</v>
      </c>
      <c r="B85" s="73" t="s">
        <v>169</v>
      </c>
      <c r="C85" s="73" t="s">
        <v>174</v>
      </c>
      <c r="D85" s="105">
        <v>1</v>
      </c>
      <c r="E85" s="55" t="s">
        <v>5</v>
      </c>
      <c r="F85" s="146" t="s">
        <v>516</v>
      </c>
      <c r="G85" s="74">
        <v>712</v>
      </c>
      <c r="H85" s="74">
        <v>712</v>
      </c>
      <c r="I85" s="74">
        <v>64</v>
      </c>
      <c r="J85" s="74">
        <v>64</v>
      </c>
      <c r="K85" s="43">
        <f>I85/G85</f>
        <v>8.98876404494382E-2</v>
      </c>
      <c r="L85" s="62"/>
      <c r="M85" s="62"/>
      <c r="N85" s="62">
        <v>10</v>
      </c>
      <c r="O85" s="62"/>
      <c r="P85" s="62"/>
      <c r="R85" s="70"/>
      <c r="S85" s="58"/>
      <c r="T85" s="45"/>
      <c r="U85" s="45"/>
      <c r="V85" s="45"/>
      <c r="W85" s="45"/>
      <c r="X85" s="45">
        <f t="shared" ref="X85:X87" si="27">Y85*K85</f>
        <v>3.3707865168539324</v>
      </c>
      <c r="Y85" s="45">
        <v>37.5</v>
      </c>
      <c r="Z85" s="108" t="e">
        <f t="shared" si="22"/>
        <v>#DIV/0!</v>
      </c>
      <c r="AA85" s="66">
        <v>0.999</v>
      </c>
      <c r="AB85" s="66">
        <v>0.999</v>
      </c>
      <c r="AC85" s="3"/>
      <c r="AD85" s="3"/>
      <c r="AE85" s="62"/>
      <c r="AF85" s="62"/>
      <c r="AI85" s="62"/>
      <c r="AJ85" s="62"/>
      <c r="AK85" s="62">
        <v>4.5</v>
      </c>
      <c r="AL85" s="62">
        <v>5.5</v>
      </c>
      <c r="AM85" s="3"/>
      <c r="AN85" s="3"/>
      <c r="AO85" s="50">
        <f>AP85*K85</f>
        <v>0.9438202247191011</v>
      </c>
      <c r="AP85" s="3">
        <v>10.5</v>
      </c>
      <c r="AQ85" s="3"/>
      <c r="AR85" s="3"/>
      <c r="AS85" s="3"/>
      <c r="AT85" s="3"/>
      <c r="AU85" s="3" t="s">
        <v>171</v>
      </c>
      <c r="AV85" s="3" t="s">
        <v>171</v>
      </c>
      <c r="AW85" s="3"/>
      <c r="AX85" s="3"/>
      <c r="AY85" s="3"/>
      <c r="AZ85" s="3"/>
      <c r="BA85" s="55"/>
      <c r="BB85" s="62" t="s">
        <v>173</v>
      </c>
    </row>
    <row r="86" spans="1:54" customFormat="1" ht="15" customHeight="1">
      <c r="A86" s="73" t="s">
        <v>163</v>
      </c>
      <c r="B86" s="73" t="s">
        <v>169</v>
      </c>
      <c r="C86" s="73" t="s">
        <v>302</v>
      </c>
      <c r="D86" s="105">
        <v>0</v>
      </c>
      <c r="E86" s="55" t="s">
        <v>5</v>
      </c>
      <c r="F86" s="146" t="s">
        <v>516</v>
      </c>
      <c r="G86" s="65">
        <v>14957</v>
      </c>
      <c r="H86" s="65">
        <v>14957</v>
      </c>
      <c r="I86" s="65">
        <v>1344</v>
      </c>
      <c r="J86" s="65">
        <v>1344</v>
      </c>
      <c r="K86" s="43">
        <f>I86/G86</f>
        <v>8.9857591763054093E-2</v>
      </c>
      <c r="L86" s="62"/>
      <c r="M86" s="62"/>
      <c r="N86" s="62">
        <v>10</v>
      </c>
      <c r="O86" s="62"/>
      <c r="P86" s="62"/>
      <c r="R86" s="70"/>
      <c r="S86" s="70"/>
      <c r="T86" s="45"/>
      <c r="U86" s="45"/>
      <c r="V86" s="45"/>
      <c r="W86" s="45"/>
      <c r="X86" s="45">
        <f t="shared" si="27"/>
        <v>3.3696596911145287</v>
      </c>
      <c r="Y86" s="45">
        <v>37.5</v>
      </c>
      <c r="Z86" s="108" t="e">
        <f t="shared" si="22"/>
        <v>#DIV/0!</v>
      </c>
      <c r="AA86" s="66">
        <v>0.999</v>
      </c>
      <c r="AB86" s="66">
        <v>0.999</v>
      </c>
      <c r="AC86" s="3"/>
      <c r="AD86" s="3"/>
      <c r="AE86" s="3"/>
      <c r="AF86" s="3"/>
      <c r="AI86" s="3"/>
      <c r="AJ86" s="3"/>
      <c r="AK86" s="3">
        <v>4.5</v>
      </c>
      <c r="AL86" s="3">
        <v>5.5</v>
      </c>
      <c r="AM86" s="3"/>
      <c r="AN86" s="3"/>
      <c r="AO86" s="50">
        <f>AP86*K86</f>
        <v>0.94350471351206799</v>
      </c>
      <c r="AP86" s="3">
        <v>10.5</v>
      </c>
      <c r="AQ86" s="3"/>
      <c r="AR86" s="3"/>
      <c r="AS86" s="3"/>
      <c r="AT86" s="3"/>
      <c r="AU86" s="3" t="s">
        <v>171</v>
      </c>
      <c r="AV86" s="3" t="s">
        <v>171</v>
      </c>
      <c r="AW86" s="3"/>
      <c r="AX86" s="3"/>
      <c r="AY86" s="3"/>
      <c r="AZ86" s="3"/>
      <c r="BA86" s="55"/>
      <c r="BB86" s="62" t="s">
        <v>173</v>
      </c>
    </row>
    <row r="87" spans="1:54" customFormat="1" ht="15" customHeight="1">
      <c r="A87" s="73" t="s">
        <v>163</v>
      </c>
      <c r="B87" s="73" t="s">
        <v>169</v>
      </c>
      <c r="C87" s="73" t="s">
        <v>303</v>
      </c>
      <c r="D87" s="105">
        <v>0</v>
      </c>
      <c r="E87" s="55" t="s">
        <v>5</v>
      </c>
      <c r="F87" s="146" t="s">
        <v>516</v>
      </c>
      <c r="G87" s="65">
        <v>297002</v>
      </c>
      <c r="H87" s="65">
        <v>297002</v>
      </c>
      <c r="I87" s="65">
        <v>26685</v>
      </c>
      <c r="J87" s="65">
        <v>26685</v>
      </c>
      <c r="K87" s="43">
        <f>I87/G87</f>
        <v>8.9847879812257156E-2</v>
      </c>
      <c r="L87" s="62"/>
      <c r="M87" s="62"/>
      <c r="N87" s="62">
        <v>10</v>
      </c>
      <c r="O87" s="62"/>
      <c r="P87" s="62"/>
      <c r="R87" s="3"/>
      <c r="S87" s="3"/>
      <c r="T87" s="56"/>
      <c r="U87" s="56"/>
      <c r="V87" s="56"/>
      <c r="W87" s="56"/>
      <c r="X87" s="45">
        <f t="shared" si="27"/>
        <v>3.3692954929596435</v>
      </c>
      <c r="Y87" s="45">
        <v>37.5</v>
      </c>
      <c r="Z87" s="108" t="e">
        <f t="shared" si="22"/>
        <v>#DIV/0!</v>
      </c>
      <c r="AA87" s="76">
        <v>0.999</v>
      </c>
      <c r="AB87" s="76">
        <v>0.999</v>
      </c>
      <c r="AC87" s="62"/>
      <c r="AD87" s="62"/>
      <c r="AE87" s="62"/>
      <c r="AF87" s="62"/>
      <c r="AI87" s="62"/>
      <c r="AJ87" s="62"/>
      <c r="AK87" s="62">
        <v>4.5</v>
      </c>
      <c r="AL87" s="62">
        <v>5.5</v>
      </c>
      <c r="AM87" s="3"/>
      <c r="AN87" s="3"/>
      <c r="AO87" s="50">
        <f>AP87*K87</f>
        <v>0.94340273802870012</v>
      </c>
      <c r="AP87" s="3">
        <v>10.5</v>
      </c>
      <c r="AQ87" s="3"/>
      <c r="AR87" s="3"/>
      <c r="AS87" s="3"/>
      <c r="AT87" s="3"/>
      <c r="AU87" s="3" t="s">
        <v>171</v>
      </c>
      <c r="AV87" s="3" t="s">
        <v>171</v>
      </c>
      <c r="AW87" s="3"/>
      <c r="AX87" s="3"/>
      <c r="AY87" s="3"/>
      <c r="AZ87" s="3"/>
      <c r="BA87" s="55"/>
      <c r="BB87" s="62" t="s">
        <v>173</v>
      </c>
    </row>
    <row r="88" spans="1:54" s="82" customFormat="1" ht="15" customHeight="1">
      <c r="A88" s="77" t="s">
        <v>136</v>
      </c>
      <c r="B88" s="73" t="s">
        <v>175</v>
      </c>
      <c r="C88" s="73" t="s">
        <v>176</v>
      </c>
      <c r="D88" s="105">
        <v>1</v>
      </c>
      <c r="E88" s="55" t="s">
        <v>5</v>
      </c>
      <c r="F88" s="146" t="s">
        <v>515</v>
      </c>
      <c r="G88" s="65">
        <v>200</v>
      </c>
      <c r="H88" s="65">
        <v>200</v>
      </c>
      <c r="I88" s="65">
        <f>432/24</f>
        <v>18</v>
      </c>
      <c r="J88" s="65">
        <f>432/24</f>
        <v>18</v>
      </c>
      <c r="K88" s="43">
        <f>I88/G88</f>
        <v>0.09</v>
      </c>
      <c r="L88" s="78">
        <v>0.2</v>
      </c>
      <c r="M88" s="78">
        <v>1</v>
      </c>
      <c r="N88" s="62"/>
      <c r="O88" s="62"/>
      <c r="P88" s="62"/>
      <c r="Q88"/>
      <c r="R88" s="70"/>
      <c r="S88" s="58">
        <v>0.69399999999999995</v>
      </c>
      <c r="T88" s="56">
        <v>4.59</v>
      </c>
      <c r="U88" s="56">
        <f>T88/K88</f>
        <v>51</v>
      </c>
      <c r="V88" s="56">
        <v>4.59</v>
      </c>
      <c r="W88" s="56"/>
      <c r="X88" s="56"/>
      <c r="Y88" s="98"/>
      <c r="Z88" s="108">
        <f t="shared" si="22"/>
        <v>0</v>
      </c>
      <c r="AA88" s="81">
        <v>0.99999000000000005</v>
      </c>
      <c r="AB88" s="81">
        <v>0.99999000000000005</v>
      </c>
      <c r="AC88" s="62"/>
      <c r="AD88" s="62"/>
      <c r="AE88" s="62"/>
      <c r="AF88" s="62"/>
      <c r="AG88" s="62">
        <v>30</v>
      </c>
      <c r="AH88" s="62">
        <v>30</v>
      </c>
      <c r="AI88" s="62"/>
      <c r="AJ88" s="62"/>
      <c r="AK88" s="62"/>
      <c r="AL88" s="80"/>
      <c r="AM88" s="80"/>
      <c r="AN88" s="80"/>
      <c r="AO88" s="63">
        <f>328/G88</f>
        <v>1.64</v>
      </c>
      <c r="AP88" s="63">
        <f>AO88/K88</f>
        <v>18.222222222222221</v>
      </c>
      <c r="AQ88" s="62"/>
      <c r="AR88" s="62"/>
      <c r="AS88" s="62"/>
      <c r="AT88" s="62">
        <v>1200</v>
      </c>
      <c r="AU88" s="62"/>
      <c r="AV88" s="62"/>
      <c r="AW88" s="62"/>
      <c r="AX88" s="62"/>
      <c r="AY88" s="80"/>
      <c r="AZ88" s="80"/>
      <c r="BA88" s="55" t="s">
        <v>177</v>
      </c>
      <c r="BB88" s="62" t="s">
        <v>173</v>
      </c>
    </row>
    <row r="89" spans="1:54" s="82" customFormat="1" ht="15" customHeight="1">
      <c r="A89" s="77" t="s">
        <v>136</v>
      </c>
      <c r="B89" s="73" t="s">
        <v>175</v>
      </c>
      <c r="C89" s="73" t="s">
        <v>178</v>
      </c>
      <c r="D89" s="105">
        <v>1</v>
      </c>
      <c r="E89" s="55" t="s">
        <v>5</v>
      </c>
      <c r="F89" s="146" t="s">
        <v>515</v>
      </c>
      <c r="G89" s="65">
        <v>400</v>
      </c>
      <c r="H89" s="65">
        <v>400</v>
      </c>
      <c r="I89" s="65">
        <f>864/24</f>
        <v>36</v>
      </c>
      <c r="J89" s="65">
        <f>864/24</f>
        <v>36</v>
      </c>
      <c r="K89" s="43">
        <f t="shared" ref="K89:K91" si="28">I89/G89</f>
        <v>0.09</v>
      </c>
      <c r="L89" s="78">
        <v>0.1</v>
      </c>
      <c r="M89" s="78">
        <v>1</v>
      </c>
      <c r="N89" s="62"/>
      <c r="O89" s="62"/>
      <c r="P89" s="62"/>
      <c r="Q89" s="3"/>
      <c r="R89" s="3"/>
      <c r="S89" s="58">
        <v>0.69399999999999995</v>
      </c>
      <c r="T89" s="56">
        <v>4.59</v>
      </c>
      <c r="U89" s="56">
        <f>T89/K89</f>
        <v>51</v>
      </c>
      <c r="V89" s="56">
        <v>4.59</v>
      </c>
      <c r="W89" s="56"/>
      <c r="X89" s="56"/>
      <c r="Y89" s="98"/>
      <c r="Z89" s="108">
        <f t="shared" si="22"/>
        <v>0</v>
      </c>
      <c r="AA89" s="81">
        <v>0.99999000000000005</v>
      </c>
      <c r="AB89" s="81">
        <v>0.99999000000000005</v>
      </c>
      <c r="AC89" s="62"/>
      <c r="AD89" s="62"/>
      <c r="AE89" s="62"/>
      <c r="AF89" s="62"/>
      <c r="AG89" s="62">
        <v>30</v>
      </c>
      <c r="AH89" s="62">
        <v>30</v>
      </c>
      <c r="AI89" s="62"/>
      <c r="AJ89" s="62"/>
      <c r="AK89" s="62"/>
      <c r="AL89" s="80"/>
      <c r="AM89" s="80"/>
      <c r="AN89" s="80"/>
      <c r="AO89" s="63">
        <f>656/G89</f>
        <v>1.64</v>
      </c>
      <c r="AP89" s="63">
        <f>AO89/K89</f>
        <v>18.222222222222221</v>
      </c>
      <c r="AQ89" s="62"/>
      <c r="AR89" s="62"/>
      <c r="AS89" s="62"/>
      <c r="AT89" s="62">
        <v>2400</v>
      </c>
      <c r="AU89" s="62"/>
      <c r="AV89" s="62"/>
      <c r="AW89" s="62"/>
      <c r="AX89" s="62"/>
      <c r="AY89" s="80"/>
      <c r="AZ89" s="80"/>
      <c r="BA89" s="83"/>
      <c r="BB89" s="62"/>
    </row>
    <row r="90" spans="1:54" s="82" customFormat="1" ht="15" customHeight="1">
      <c r="A90" s="77" t="s">
        <v>136</v>
      </c>
      <c r="B90" s="73" t="s">
        <v>175</v>
      </c>
      <c r="C90" s="73" t="s">
        <v>179</v>
      </c>
      <c r="D90" s="105">
        <v>1</v>
      </c>
      <c r="E90" s="55" t="s">
        <v>5</v>
      </c>
      <c r="F90" s="146" t="s">
        <v>515</v>
      </c>
      <c r="G90" s="65">
        <v>800</v>
      </c>
      <c r="H90" s="65">
        <v>800</v>
      </c>
      <c r="I90" s="65">
        <f>1728/24</f>
        <v>72</v>
      </c>
      <c r="J90" s="65">
        <f>1728/24</f>
        <v>72</v>
      </c>
      <c r="K90" s="43">
        <f t="shared" si="28"/>
        <v>0.09</v>
      </c>
      <c r="L90" s="78">
        <v>0.05</v>
      </c>
      <c r="M90" s="78">
        <v>1</v>
      </c>
      <c r="N90" s="62"/>
      <c r="O90" s="62"/>
      <c r="P90" s="62"/>
      <c r="Q90" s="3"/>
      <c r="R90" s="3"/>
      <c r="S90" s="58">
        <v>0.69399999999999995</v>
      </c>
      <c r="T90" s="56">
        <v>4.59</v>
      </c>
      <c r="U90" s="56">
        <f>T90/K90</f>
        <v>51</v>
      </c>
      <c r="V90" s="56">
        <v>4.59</v>
      </c>
      <c r="W90" s="56"/>
      <c r="X90" s="56"/>
      <c r="Y90" s="98"/>
      <c r="Z90" s="108">
        <f t="shared" si="22"/>
        <v>0</v>
      </c>
      <c r="AA90" s="81">
        <v>0.99999000000000005</v>
      </c>
      <c r="AB90" s="81">
        <v>0.99999000000000005</v>
      </c>
      <c r="AC90" s="62"/>
      <c r="AD90" s="62"/>
      <c r="AE90" s="62"/>
      <c r="AF90" s="62"/>
      <c r="AG90" s="62">
        <v>30</v>
      </c>
      <c r="AH90" s="62">
        <v>30</v>
      </c>
      <c r="AI90" s="62"/>
      <c r="AJ90" s="62"/>
      <c r="AK90" s="62"/>
      <c r="AL90" s="80"/>
      <c r="AM90" s="80"/>
      <c r="AN90" s="80"/>
      <c r="AO90" s="63">
        <f>1312/G90</f>
        <v>1.64</v>
      </c>
      <c r="AP90" s="63">
        <f>AO90/K90</f>
        <v>18.222222222222221</v>
      </c>
      <c r="AQ90" s="62"/>
      <c r="AR90" s="62"/>
      <c r="AS90" s="62"/>
      <c r="AT90" s="62">
        <v>4800</v>
      </c>
      <c r="AU90" s="62"/>
      <c r="AV90" s="62"/>
      <c r="AW90" s="62"/>
      <c r="AX90" s="62"/>
      <c r="AY90" s="80"/>
      <c r="AZ90" s="80"/>
      <c r="BA90" s="83"/>
      <c r="BB90" s="62"/>
    </row>
    <row r="91" spans="1:54" s="82" customFormat="1" ht="15" customHeight="1">
      <c r="A91" s="77" t="s">
        <v>136</v>
      </c>
      <c r="B91" s="73" t="s">
        <v>175</v>
      </c>
      <c r="C91" s="73" t="s">
        <v>180</v>
      </c>
      <c r="D91" s="105">
        <v>1</v>
      </c>
      <c r="E91" s="55" t="s">
        <v>5</v>
      </c>
      <c r="F91" s="146" t="s">
        <v>515</v>
      </c>
      <c r="G91" s="65">
        <v>1600</v>
      </c>
      <c r="H91" s="65">
        <v>1600</v>
      </c>
      <c r="I91" s="65">
        <f>3456/24</f>
        <v>144</v>
      </c>
      <c r="J91" s="65">
        <f>3456/24</f>
        <v>144</v>
      </c>
      <c r="K91" s="43">
        <f t="shared" si="28"/>
        <v>0.09</v>
      </c>
      <c r="L91" s="78">
        <v>0.05</v>
      </c>
      <c r="M91" s="78">
        <v>1</v>
      </c>
      <c r="N91" s="62"/>
      <c r="O91" s="62"/>
      <c r="P91" s="62"/>
      <c r="Q91" s="3"/>
      <c r="R91" s="3"/>
      <c r="S91" s="58">
        <v>0.69399999999999995</v>
      </c>
      <c r="T91" s="56">
        <v>4.59</v>
      </c>
      <c r="U91" s="56">
        <f>T91/K91</f>
        <v>51</v>
      </c>
      <c r="V91" s="56">
        <v>4.59</v>
      </c>
      <c r="W91" s="56"/>
      <c r="X91" s="56"/>
      <c r="Y91" s="98"/>
      <c r="Z91" s="108">
        <f t="shared" si="22"/>
        <v>0</v>
      </c>
      <c r="AA91" s="81">
        <v>0.99999000000000005</v>
      </c>
      <c r="AB91" s="81">
        <v>0.99999000000000005</v>
      </c>
      <c r="AC91" s="62"/>
      <c r="AD91" s="62"/>
      <c r="AE91" s="62"/>
      <c r="AF91" s="62"/>
      <c r="AG91" s="62">
        <v>30</v>
      </c>
      <c r="AH91" s="62">
        <v>30</v>
      </c>
      <c r="AI91" s="62"/>
      <c r="AJ91" s="62"/>
      <c r="AK91" s="62"/>
      <c r="AL91" s="80"/>
      <c r="AM91" s="80"/>
      <c r="AN91" s="80"/>
      <c r="AO91" s="63">
        <f>2624/G91</f>
        <v>1.64</v>
      </c>
      <c r="AP91" s="63">
        <f>AO91/K91</f>
        <v>18.222222222222221</v>
      </c>
      <c r="AQ91" s="62"/>
      <c r="AR91" s="62"/>
      <c r="AS91" s="62"/>
      <c r="AT91" s="62">
        <v>9600</v>
      </c>
      <c r="AU91" s="62"/>
      <c r="AV91" s="62"/>
      <c r="AW91" s="62"/>
      <c r="AX91" s="62"/>
      <c r="AY91" s="80"/>
      <c r="AZ91" s="80"/>
      <c r="BA91" s="83"/>
      <c r="BB91" s="62"/>
    </row>
    <row r="92" spans="1:54" s="82" customFormat="1" ht="15" customHeight="1">
      <c r="A92" s="77" t="s">
        <v>136</v>
      </c>
      <c r="B92" s="73" t="s">
        <v>175</v>
      </c>
      <c r="C92" s="73" t="s">
        <v>181</v>
      </c>
      <c r="D92" s="105">
        <v>1</v>
      </c>
      <c r="E92" s="55" t="s">
        <v>5</v>
      </c>
      <c r="F92" s="146" t="s">
        <v>515</v>
      </c>
      <c r="G92" s="65">
        <v>2000</v>
      </c>
      <c r="H92" s="65">
        <v>2000</v>
      </c>
      <c r="I92" s="65">
        <f>4320/24</f>
        <v>180</v>
      </c>
      <c r="J92" s="65">
        <f>4320/24</f>
        <v>180</v>
      </c>
      <c r="K92" s="43">
        <f>I92/G92</f>
        <v>0.09</v>
      </c>
      <c r="L92" s="78">
        <v>0.05</v>
      </c>
      <c r="M92" s="78">
        <v>1</v>
      </c>
      <c r="N92" s="62"/>
      <c r="O92" s="62"/>
      <c r="P92" s="62"/>
      <c r="Q92"/>
      <c r="R92"/>
      <c r="S92" s="58">
        <v>0.69399999999999995</v>
      </c>
      <c r="T92" s="56">
        <v>4.59</v>
      </c>
      <c r="U92" s="56">
        <f>T92/K92</f>
        <v>51</v>
      </c>
      <c r="V92" s="56">
        <v>4.59</v>
      </c>
      <c r="W92" s="56"/>
      <c r="X92" s="56"/>
      <c r="Y92" s="98"/>
      <c r="Z92" s="108">
        <f t="shared" si="22"/>
        <v>0</v>
      </c>
      <c r="AA92" s="81">
        <v>0.99999000000000005</v>
      </c>
      <c r="AB92" s="81">
        <v>0.99999000000000005</v>
      </c>
      <c r="AC92" s="62"/>
      <c r="AD92" s="62"/>
      <c r="AE92" s="62"/>
      <c r="AF92" s="62"/>
      <c r="AG92" s="62">
        <v>30</v>
      </c>
      <c r="AH92" s="62">
        <v>30</v>
      </c>
      <c r="AI92" s="62"/>
      <c r="AJ92" s="62"/>
      <c r="AK92" s="62"/>
      <c r="AL92" s="80"/>
      <c r="AM92" s="80"/>
      <c r="AN92" s="80"/>
      <c r="AO92" s="63">
        <f>3280/G92</f>
        <v>1.64</v>
      </c>
      <c r="AP92" s="63">
        <f>AO92/K92</f>
        <v>18.222222222222221</v>
      </c>
      <c r="AQ92" s="62"/>
      <c r="AR92" s="62"/>
      <c r="AS92" s="62"/>
      <c r="AT92" s="62">
        <v>12000</v>
      </c>
      <c r="AU92" s="62"/>
      <c r="AV92" s="62"/>
      <c r="AW92" s="62"/>
      <c r="AX92" s="62"/>
      <c r="AY92" s="80"/>
      <c r="AZ92" s="80"/>
      <c r="BA92" s="83"/>
      <c r="BB92" s="62"/>
    </row>
    <row r="93" spans="1:54" customFormat="1" ht="15" customHeight="1">
      <c r="A93" s="73" t="s">
        <v>75</v>
      </c>
      <c r="B93" s="73" t="s">
        <v>182</v>
      </c>
      <c r="C93" s="73"/>
      <c r="D93" s="105">
        <v>1</v>
      </c>
      <c r="E93" s="55" t="s">
        <v>5</v>
      </c>
      <c r="F93" s="146" t="s">
        <v>515</v>
      </c>
      <c r="G93" s="107">
        <f>I93/K93</f>
        <v>255.83982202447166</v>
      </c>
      <c r="H93" s="61">
        <f>I93/K93</f>
        <v>255.83982202447166</v>
      </c>
      <c r="I93" s="65">
        <v>23</v>
      </c>
      <c r="J93" s="65">
        <v>23</v>
      </c>
      <c r="K93" s="43">
        <f>$C$2</f>
        <v>8.9899999999999994E-2</v>
      </c>
      <c r="L93" s="62"/>
      <c r="M93" s="62"/>
      <c r="N93" s="62"/>
      <c r="O93" s="62"/>
      <c r="P93" s="62"/>
      <c r="T93" s="45"/>
      <c r="U93" s="56"/>
      <c r="V93" s="51">
        <f>W93*K93</f>
        <v>4.4950000000000001</v>
      </c>
      <c r="W93" s="56">
        <v>50</v>
      </c>
      <c r="X93" s="56"/>
      <c r="Y93" s="45"/>
      <c r="Z93" s="108" t="e">
        <f t="shared" si="22"/>
        <v>#DIV/0!</v>
      </c>
      <c r="AA93" s="78"/>
      <c r="AB93" s="78"/>
      <c r="AC93" s="62"/>
      <c r="AD93" s="62"/>
      <c r="AE93" s="62"/>
      <c r="AF93" s="62"/>
      <c r="AG93" s="62">
        <v>30</v>
      </c>
      <c r="AH93" s="62"/>
      <c r="AI93" s="62"/>
      <c r="AJ93" s="62"/>
      <c r="AK93" s="62"/>
      <c r="AL93" s="3"/>
      <c r="AM93" s="3"/>
      <c r="AN93" s="3"/>
      <c r="AO93" s="63"/>
      <c r="AP93" s="62"/>
      <c r="AQ93" s="62"/>
      <c r="AR93" s="62"/>
      <c r="AS93" s="62"/>
      <c r="AT93" s="62">
        <v>1250</v>
      </c>
      <c r="AU93" s="62"/>
      <c r="AV93" s="62"/>
      <c r="AW93" s="62"/>
      <c r="AX93" s="62"/>
      <c r="AY93" s="3"/>
      <c r="AZ93" s="3"/>
      <c r="BA93" s="55" t="s">
        <v>183</v>
      </c>
      <c r="BB93" s="62" t="s">
        <v>173</v>
      </c>
    </row>
    <row r="94" spans="1:54" customFormat="1" ht="15" customHeight="1">
      <c r="A94" s="73" t="s">
        <v>136</v>
      </c>
      <c r="B94" s="73" t="s">
        <v>184</v>
      </c>
      <c r="C94" s="73" t="s">
        <v>185</v>
      </c>
      <c r="D94" s="105">
        <v>0</v>
      </c>
      <c r="E94" s="83"/>
      <c r="F94" s="146"/>
      <c r="G94" s="65">
        <v>2000</v>
      </c>
      <c r="H94" s="65">
        <v>2000</v>
      </c>
      <c r="I94" s="85">
        <f>$K$92*G94</f>
        <v>180</v>
      </c>
      <c r="J94" s="85">
        <f>$K$92*H94</f>
        <v>180</v>
      </c>
      <c r="K94" s="52">
        <f>$C$2</f>
        <v>8.9899999999999994E-2</v>
      </c>
      <c r="L94" s="78">
        <v>0.15</v>
      </c>
      <c r="M94" s="78">
        <v>1</v>
      </c>
      <c r="N94" s="62"/>
      <c r="O94" s="62"/>
      <c r="P94" s="62"/>
      <c r="T94" s="98"/>
      <c r="U94" s="56"/>
      <c r="V94" s="131"/>
      <c r="W94" s="96"/>
      <c r="X94" s="56">
        <v>4.4000000000000004</v>
      </c>
      <c r="Y94" s="132">
        <f>X94/K94</f>
        <v>48.943270300333708</v>
      </c>
      <c r="Z94" s="108" t="e">
        <f t="shared" si="22"/>
        <v>#DIV/0!</v>
      </c>
      <c r="AA94" s="86">
        <v>0.99750000000000005</v>
      </c>
      <c r="AB94" s="81">
        <v>0.99999000000000005</v>
      </c>
      <c r="AC94" s="62"/>
      <c r="AD94" s="62"/>
      <c r="AE94" s="62"/>
      <c r="AF94" s="62"/>
      <c r="AG94" s="62">
        <v>0.5</v>
      </c>
      <c r="AH94" s="62">
        <v>0.5</v>
      </c>
      <c r="AI94" s="62"/>
      <c r="AJ94" s="62"/>
      <c r="AK94" s="62"/>
      <c r="AL94" s="3"/>
      <c r="AM94" s="3"/>
      <c r="AN94" s="3"/>
      <c r="AO94" s="63">
        <v>0.9</v>
      </c>
      <c r="AP94" s="62"/>
      <c r="AQ94" s="62"/>
      <c r="AR94" s="62"/>
      <c r="AS94" s="62"/>
      <c r="AT94" s="62"/>
      <c r="AU94" s="62"/>
      <c r="AV94" s="62"/>
      <c r="AW94" s="62"/>
      <c r="AX94" s="62"/>
      <c r="AY94" s="80"/>
      <c r="AZ94" s="3"/>
      <c r="BA94" s="55" t="s">
        <v>186</v>
      </c>
      <c r="BB94" s="62" t="s">
        <v>173</v>
      </c>
    </row>
    <row r="95" spans="1:54" customFormat="1" ht="15" customHeight="1">
      <c r="A95" s="73" t="s">
        <v>136</v>
      </c>
      <c r="B95" s="73" t="s">
        <v>184</v>
      </c>
      <c r="C95" s="73" t="s">
        <v>187</v>
      </c>
      <c r="D95" s="105">
        <v>0</v>
      </c>
      <c r="E95" s="83"/>
      <c r="F95" s="146"/>
      <c r="G95" s="65">
        <v>20000</v>
      </c>
      <c r="H95" s="65">
        <v>20000</v>
      </c>
      <c r="I95" s="85">
        <f>K95*G95</f>
        <v>1797.9999999999998</v>
      </c>
      <c r="J95" s="85">
        <f>K95*H95</f>
        <v>1797.9999999999998</v>
      </c>
      <c r="K95" s="52">
        <f>$C$2</f>
        <v>8.9899999999999994E-2</v>
      </c>
      <c r="L95" s="78">
        <v>0.15</v>
      </c>
      <c r="M95" s="78">
        <v>1</v>
      </c>
      <c r="N95" s="62"/>
      <c r="O95" s="62"/>
      <c r="P95" s="62"/>
      <c r="T95" s="98"/>
      <c r="U95" s="56"/>
      <c r="V95" s="131"/>
      <c r="W95" s="96"/>
      <c r="X95" s="56">
        <v>4.4000000000000004</v>
      </c>
      <c r="Y95" s="132">
        <f>X95/K95</f>
        <v>48.943270300333708</v>
      </c>
      <c r="Z95" s="108" t="e">
        <f t="shared" si="22"/>
        <v>#DIV/0!</v>
      </c>
      <c r="AA95" s="86">
        <v>0.99750000000000005</v>
      </c>
      <c r="AB95" s="81">
        <v>0.99999000000000005</v>
      </c>
      <c r="AC95" s="62"/>
      <c r="AD95" s="62"/>
      <c r="AE95" s="62"/>
      <c r="AF95" s="62"/>
      <c r="AG95" s="62">
        <v>0.5</v>
      </c>
      <c r="AH95" s="62">
        <v>0.5</v>
      </c>
      <c r="AI95" s="62"/>
      <c r="AJ95" s="62"/>
      <c r="AK95" s="62"/>
      <c r="AL95" s="3"/>
      <c r="AM95" s="3"/>
      <c r="AN95" s="3"/>
      <c r="AO95" s="63">
        <v>0.9</v>
      </c>
      <c r="AP95" s="62"/>
      <c r="AQ95" s="62"/>
      <c r="AR95" s="62"/>
      <c r="AS95" s="62"/>
      <c r="AT95" s="62"/>
      <c r="AU95" s="62"/>
      <c r="AV95" s="62"/>
      <c r="AW95" s="62"/>
      <c r="AX95" s="62"/>
      <c r="AY95" s="80"/>
      <c r="AZ95" s="3"/>
      <c r="BA95" s="55" t="s">
        <v>186</v>
      </c>
      <c r="BB95" s="62" t="s">
        <v>173</v>
      </c>
    </row>
    <row r="96" spans="1:54" customFormat="1" ht="15" customHeight="1">
      <c r="A96" s="73" t="s">
        <v>75</v>
      </c>
      <c r="B96" s="73" t="s">
        <v>188</v>
      </c>
      <c r="C96" s="73" t="s">
        <v>189</v>
      </c>
      <c r="D96" s="105">
        <v>1</v>
      </c>
      <c r="E96" s="55" t="s">
        <v>5</v>
      </c>
      <c r="F96" s="146" t="s">
        <v>516</v>
      </c>
      <c r="G96" s="85">
        <f>I96/K96</f>
        <v>21134.593993325918</v>
      </c>
      <c r="H96" s="85">
        <f>J96/K96</f>
        <v>21134.593993325918</v>
      </c>
      <c r="I96" s="65">
        <v>1900</v>
      </c>
      <c r="J96" s="65">
        <v>1900</v>
      </c>
      <c r="K96" s="52">
        <f>$C$2</f>
        <v>8.9899999999999994E-2</v>
      </c>
      <c r="L96" s="62"/>
      <c r="M96" s="62"/>
      <c r="N96" s="62" t="s">
        <v>190</v>
      </c>
      <c r="O96" s="62"/>
      <c r="P96" s="62">
        <v>1</v>
      </c>
      <c r="T96" s="87">
        <f>U96*K96</f>
        <v>4.5848999999999993</v>
      </c>
      <c r="U96" s="56">
        <v>51</v>
      </c>
      <c r="V96" s="87">
        <f>W96*K96</f>
        <v>4.8545999999999996</v>
      </c>
      <c r="W96" s="56">
        <v>54</v>
      </c>
      <c r="X96" s="56"/>
      <c r="Y96" s="98"/>
      <c r="Z96" s="108">
        <f t="shared" si="22"/>
        <v>0</v>
      </c>
      <c r="AA96" s="76">
        <v>0.999</v>
      </c>
      <c r="AB96" s="78"/>
      <c r="AC96" s="62"/>
      <c r="AD96" s="62"/>
      <c r="AE96" s="62"/>
      <c r="AF96" s="62"/>
      <c r="AG96" s="62">
        <v>30</v>
      </c>
      <c r="AH96" s="62">
        <v>30</v>
      </c>
      <c r="AI96" s="62"/>
      <c r="AJ96" s="62"/>
      <c r="AK96" s="62"/>
      <c r="AL96" s="80"/>
      <c r="AM96" s="80"/>
      <c r="AN96" s="80"/>
      <c r="AO96" s="50">
        <f>AP96*K96</f>
        <v>1.3484999999999998</v>
      </c>
      <c r="AP96" s="62">
        <v>15</v>
      </c>
      <c r="AQ96" s="62"/>
      <c r="AR96" s="62"/>
      <c r="AS96" s="62"/>
      <c r="AT96" s="62">
        <v>110000</v>
      </c>
      <c r="AU96" s="62"/>
      <c r="AV96" s="62"/>
      <c r="AW96" s="62">
        <v>3</v>
      </c>
      <c r="AX96" s="62" t="s">
        <v>304</v>
      </c>
      <c r="AY96" s="62"/>
      <c r="AZ96" s="62"/>
      <c r="BA96" s="55"/>
      <c r="BB96" s="62" t="s">
        <v>173</v>
      </c>
    </row>
    <row r="97" spans="1:54" customFormat="1" ht="15" customHeight="1">
      <c r="A97" s="73" t="s">
        <v>136</v>
      </c>
      <c r="B97" s="73" t="s">
        <v>191</v>
      </c>
      <c r="C97" s="73" t="s">
        <v>192</v>
      </c>
      <c r="D97" s="105">
        <v>1</v>
      </c>
      <c r="E97" s="55" t="s">
        <v>5</v>
      </c>
      <c r="F97" s="146" t="s">
        <v>518</v>
      </c>
      <c r="G97" s="85">
        <f>I97/K97</f>
        <v>10567.296996662959</v>
      </c>
      <c r="H97" s="85">
        <f>J97/K97</f>
        <v>10567.296996662959</v>
      </c>
      <c r="I97" s="65">
        <v>950</v>
      </c>
      <c r="J97" s="65">
        <v>950</v>
      </c>
      <c r="K97" s="52">
        <f>$C$2</f>
        <v>8.9899999999999994E-2</v>
      </c>
      <c r="L97" s="78">
        <v>0</v>
      </c>
      <c r="M97" s="78">
        <v>1</v>
      </c>
      <c r="N97" s="62" t="s">
        <v>193</v>
      </c>
      <c r="O97" s="62" t="s">
        <v>194</v>
      </c>
      <c r="P97" s="62"/>
      <c r="T97" s="87">
        <f>U97*K97</f>
        <v>3.7757999999999998</v>
      </c>
      <c r="U97" s="56">
        <v>42</v>
      </c>
      <c r="V97" s="87">
        <f>W97*K97</f>
        <v>4.5848999999999993</v>
      </c>
      <c r="W97" s="96">
        <v>51</v>
      </c>
      <c r="X97" s="56"/>
      <c r="Y97" s="132"/>
      <c r="Z97" s="108">
        <f t="shared" si="22"/>
        <v>0</v>
      </c>
      <c r="AA97" s="81">
        <v>0.99850000000000005</v>
      </c>
      <c r="AB97" s="81">
        <v>0.99950000000000006</v>
      </c>
      <c r="AC97" s="62"/>
      <c r="AD97" s="62"/>
      <c r="AE97" s="62"/>
      <c r="AF97" s="62"/>
      <c r="AI97" s="62">
        <v>70</v>
      </c>
      <c r="AJ97" s="62">
        <v>80</v>
      </c>
      <c r="AK97" s="62">
        <v>0.1</v>
      </c>
      <c r="AL97" s="62">
        <v>0.3</v>
      </c>
      <c r="AM97" s="3"/>
      <c r="AN97" s="3"/>
      <c r="AO97" s="50">
        <f>AP97*K97</f>
        <v>0.89899999999999991</v>
      </c>
      <c r="AP97" s="62">
        <v>10</v>
      </c>
      <c r="AQ97" s="62"/>
      <c r="AR97" s="62"/>
      <c r="AS97" s="62"/>
      <c r="AT97" s="62"/>
      <c r="AU97" s="62"/>
      <c r="AV97" s="62"/>
      <c r="AW97" s="62"/>
      <c r="AX97" s="62"/>
      <c r="AY97" s="62"/>
      <c r="AZ97" s="62">
        <v>20</v>
      </c>
      <c r="BA97" s="55" t="s">
        <v>195</v>
      </c>
      <c r="BB97" s="62" t="s">
        <v>173</v>
      </c>
    </row>
    <row r="98" spans="1:54" customFormat="1" ht="15" customHeight="1">
      <c r="A98" s="73" t="s">
        <v>136</v>
      </c>
      <c r="B98" s="73" t="s">
        <v>196</v>
      </c>
      <c r="C98" s="73"/>
      <c r="D98" s="105">
        <v>1</v>
      </c>
      <c r="E98" s="75"/>
      <c r="F98" s="146"/>
      <c r="G98" s="97">
        <v>2200</v>
      </c>
      <c r="H98" s="65">
        <v>2200</v>
      </c>
      <c r="I98" s="62">
        <v>198</v>
      </c>
      <c r="J98" s="62">
        <v>198</v>
      </c>
      <c r="K98" s="88">
        <f>I98/G98</f>
        <v>0.09</v>
      </c>
      <c r="L98" s="62"/>
      <c r="M98" s="62"/>
      <c r="N98" s="62"/>
      <c r="O98" s="62"/>
      <c r="P98" s="62"/>
      <c r="T98" s="45"/>
      <c r="U98" s="56"/>
      <c r="V98" s="45"/>
      <c r="W98" s="56"/>
      <c r="X98" s="56"/>
      <c r="Y98" s="45"/>
      <c r="Z98" s="108" t="e">
        <f t="shared" si="22"/>
        <v>#DIV/0!</v>
      </c>
      <c r="AA98" s="78"/>
      <c r="AB98" s="78"/>
      <c r="AC98" s="62"/>
      <c r="AD98" s="62"/>
      <c r="AE98" s="62"/>
      <c r="AF98" s="62"/>
      <c r="AG98" s="62">
        <v>15</v>
      </c>
      <c r="AH98" s="62">
        <v>15</v>
      </c>
      <c r="AI98" s="62"/>
      <c r="AJ98" s="62"/>
      <c r="AK98" s="62"/>
      <c r="AL98" s="62"/>
      <c r="AM98" s="62"/>
      <c r="AN98" s="62"/>
      <c r="AO98" s="63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55" t="s">
        <v>197</v>
      </c>
      <c r="BB98" s="62" t="s">
        <v>173</v>
      </c>
    </row>
    <row r="99" spans="1:54" customFormat="1" ht="15" customHeight="1">
      <c r="A99" s="73" t="s">
        <v>136</v>
      </c>
      <c r="B99" s="73" t="s">
        <v>198</v>
      </c>
      <c r="C99" s="73" t="s">
        <v>199</v>
      </c>
      <c r="D99" s="105">
        <v>1</v>
      </c>
      <c r="E99" s="55" t="s">
        <v>5</v>
      </c>
      <c r="F99" s="146" t="s">
        <v>515</v>
      </c>
      <c r="G99" s="97">
        <v>200</v>
      </c>
      <c r="H99" s="65">
        <v>200</v>
      </c>
      <c r="I99" s="89">
        <f t="shared" ref="I99:I115" si="29">K99*G99</f>
        <v>17.98</v>
      </c>
      <c r="J99" s="89">
        <f t="shared" ref="J99:J115" si="30">K99*H99</f>
        <v>17.98</v>
      </c>
      <c r="K99" s="52">
        <f t="shared" ref="K99:K106" si="31">$C$2</f>
        <v>8.9899999999999994E-2</v>
      </c>
      <c r="L99" s="78">
        <v>0.2</v>
      </c>
      <c r="M99" s="78">
        <v>1</v>
      </c>
      <c r="N99" s="62"/>
      <c r="O99" s="62" t="s">
        <v>200</v>
      </c>
      <c r="P99" s="62" t="s">
        <v>201</v>
      </c>
      <c r="T99" s="45">
        <v>4.6500000000000004</v>
      </c>
      <c r="U99" s="56">
        <f>T99/K99</f>
        <v>51.724137931034491</v>
      </c>
      <c r="V99" s="45">
        <v>4.6500000000000004</v>
      </c>
      <c r="W99" s="56">
        <f>V99/K99</f>
        <v>51.724137931034491</v>
      </c>
      <c r="X99" s="56">
        <v>5.0999999999999996</v>
      </c>
      <c r="Y99" s="87">
        <f>X99/K99</f>
        <v>56.729699666295886</v>
      </c>
      <c r="Z99" s="108">
        <f t="shared" si="22"/>
        <v>1.096774193548387</v>
      </c>
      <c r="AA99" s="81">
        <v>0.99997999999999998</v>
      </c>
      <c r="AB99" s="81"/>
      <c r="AC99" s="62"/>
      <c r="AD99" s="62"/>
      <c r="AE99" s="62"/>
      <c r="AF99" s="62"/>
      <c r="AG99" s="62">
        <v>27</v>
      </c>
      <c r="AH99" s="62">
        <v>30</v>
      </c>
      <c r="AI99" s="62">
        <v>-20</v>
      </c>
      <c r="AJ99" s="62">
        <v>35</v>
      </c>
      <c r="AK99" s="62"/>
      <c r="AL99" s="62"/>
      <c r="AM99" s="62"/>
      <c r="AN99" s="62"/>
      <c r="AO99" s="63">
        <v>1</v>
      </c>
      <c r="AP99" s="62">
        <f>AO99/K99</f>
        <v>11.123470522803116</v>
      </c>
      <c r="AQ99" s="62"/>
      <c r="AR99" s="62"/>
      <c r="AS99" s="62"/>
      <c r="AT99" s="62"/>
      <c r="AU99" s="62"/>
      <c r="AV99" s="62"/>
      <c r="AW99" s="62"/>
      <c r="AX99" s="62"/>
      <c r="AY99" s="62"/>
      <c r="AZ99" s="62">
        <v>20</v>
      </c>
      <c r="BA99" s="55" t="s">
        <v>202</v>
      </c>
      <c r="BB99" s="62" t="s">
        <v>173</v>
      </c>
    </row>
    <row r="100" spans="1:54" customFormat="1" ht="15" customHeight="1">
      <c r="A100" s="73" t="s">
        <v>136</v>
      </c>
      <c r="B100" s="73" t="s">
        <v>198</v>
      </c>
      <c r="C100" s="73" t="s">
        <v>203</v>
      </c>
      <c r="D100" s="105">
        <v>1</v>
      </c>
      <c r="E100" s="55" t="s">
        <v>5</v>
      </c>
      <c r="F100" s="146" t="s">
        <v>515</v>
      </c>
      <c r="G100" s="97">
        <v>400</v>
      </c>
      <c r="H100" s="65">
        <v>400</v>
      </c>
      <c r="I100" s="89">
        <f t="shared" si="29"/>
        <v>35.96</v>
      </c>
      <c r="J100" s="89">
        <f t="shared" si="30"/>
        <v>35.96</v>
      </c>
      <c r="K100" s="52">
        <f t="shared" si="31"/>
        <v>8.9899999999999994E-2</v>
      </c>
      <c r="L100" s="78">
        <v>0.2</v>
      </c>
      <c r="M100" s="78">
        <v>1</v>
      </c>
      <c r="N100" s="62"/>
      <c r="O100" s="62" t="s">
        <v>200</v>
      </c>
      <c r="P100" s="62" t="s">
        <v>201</v>
      </c>
      <c r="T100" s="45">
        <v>4.6500000000000004</v>
      </c>
      <c r="U100" s="56">
        <f t="shared" ref="U100:U102" si="32">T100/K100</f>
        <v>51.724137931034491</v>
      </c>
      <c r="V100" s="45">
        <v>4.6500000000000004</v>
      </c>
      <c r="W100" s="56">
        <f t="shared" ref="W100:W111" si="33">V100/K100</f>
        <v>51.724137931034491</v>
      </c>
      <c r="X100" s="56">
        <v>5</v>
      </c>
      <c r="Y100" s="87">
        <f>X100/K100</f>
        <v>55.61735261401558</v>
      </c>
      <c r="Z100" s="108">
        <f t="shared" si="22"/>
        <v>1.075268817204301</v>
      </c>
      <c r="AA100" s="81">
        <v>0.99997999999999998</v>
      </c>
      <c r="AB100" s="81"/>
      <c r="AC100" s="62"/>
      <c r="AD100" s="62"/>
      <c r="AE100" s="62"/>
      <c r="AF100" s="62"/>
      <c r="AG100" s="62">
        <v>27</v>
      </c>
      <c r="AH100" s="62">
        <v>30</v>
      </c>
      <c r="AI100" s="62">
        <v>-20</v>
      </c>
      <c r="AJ100" s="62">
        <v>35</v>
      </c>
      <c r="AK100" s="62"/>
      <c r="AL100" s="62"/>
      <c r="AM100" s="62"/>
      <c r="AN100" s="62"/>
      <c r="AO100" s="63">
        <v>1</v>
      </c>
      <c r="AP100" s="62">
        <f t="shared" ref="AP100:AP102" si="34">AO100/K100</f>
        <v>11.123470522803116</v>
      </c>
      <c r="AQ100" s="62"/>
      <c r="AR100" s="62"/>
      <c r="AS100" s="62"/>
      <c r="AT100" s="62"/>
      <c r="AU100" s="62"/>
      <c r="AV100" s="62"/>
      <c r="AW100" s="62"/>
      <c r="AX100" s="62"/>
      <c r="AY100" s="62"/>
      <c r="AZ100" s="62">
        <v>20</v>
      </c>
      <c r="BA100" s="55" t="s">
        <v>202</v>
      </c>
      <c r="BB100" s="62" t="s">
        <v>173</v>
      </c>
    </row>
    <row r="101" spans="1:54" customFormat="1" ht="15" customHeight="1">
      <c r="A101" s="73" t="s">
        <v>136</v>
      </c>
      <c r="B101" s="73" t="s">
        <v>198</v>
      </c>
      <c r="C101" s="73" t="s">
        <v>204</v>
      </c>
      <c r="D101" s="105">
        <v>1</v>
      </c>
      <c r="E101" s="55" t="s">
        <v>5</v>
      </c>
      <c r="F101" s="146" t="s">
        <v>515</v>
      </c>
      <c r="G101" s="97">
        <v>800</v>
      </c>
      <c r="H101" s="65">
        <v>800</v>
      </c>
      <c r="I101" s="89">
        <f t="shared" si="29"/>
        <v>71.92</v>
      </c>
      <c r="J101" s="89">
        <f t="shared" si="30"/>
        <v>71.92</v>
      </c>
      <c r="K101" s="52">
        <f t="shared" si="31"/>
        <v>8.9899999999999994E-2</v>
      </c>
      <c r="L101" s="78">
        <v>0.2</v>
      </c>
      <c r="M101" s="78">
        <v>1</v>
      </c>
      <c r="N101" s="62"/>
      <c r="O101" s="62" t="s">
        <v>200</v>
      </c>
      <c r="P101" s="62" t="s">
        <v>201</v>
      </c>
      <c r="T101" s="45">
        <v>4.6500000000000004</v>
      </c>
      <c r="U101" s="56">
        <f t="shared" si="32"/>
        <v>51.724137931034491</v>
      </c>
      <c r="V101" s="45">
        <v>4.6500000000000004</v>
      </c>
      <c r="W101" s="56">
        <f t="shared" si="33"/>
        <v>51.724137931034491</v>
      </c>
      <c r="X101" s="56">
        <v>5</v>
      </c>
      <c r="Y101" s="87">
        <f>X101/K101</f>
        <v>55.61735261401558</v>
      </c>
      <c r="Z101" s="108">
        <f t="shared" si="22"/>
        <v>1.075268817204301</v>
      </c>
      <c r="AA101" s="81">
        <v>0.99997999999999998</v>
      </c>
      <c r="AB101" s="81"/>
      <c r="AC101" s="62"/>
      <c r="AD101" s="62"/>
      <c r="AE101" s="62"/>
      <c r="AF101" s="62"/>
      <c r="AG101" s="62">
        <v>27</v>
      </c>
      <c r="AH101" s="62">
        <v>30</v>
      </c>
      <c r="AI101" s="62">
        <v>-20</v>
      </c>
      <c r="AJ101" s="62">
        <v>35</v>
      </c>
      <c r="AK101" s="62"/>
      <c r="AL101" s="62"/>
      <c r="AM101" s="62"/>
      <c r="AN101" s="62"/>
      <c r="AO101" s="63">
        <v>1</v>
      </c>
      <c r="AP101" s="62">
        <f t="shared" si="34"/>
        <v>11.123470522803116</v>
      </c>
      <c r="AQ101" s="62"/>
      <c r="AR101" s="62"/>
      <c r="AS101" s="62"/>
      <c r="AT101" s="62"/>
      <c r="AU101" s="62"/>
      <c r="AV101" s="62"/>
      <c r="AW101" s="62"/>
      <c r="AX101" s="62"/>
      <c r="AY101" s="62"/>
      <c r="AZ101" s="62">
        <v>20</v>
      </c>
      <c r="BA101" s="55" t="s">
        <v>202</v>
      </c>
      <c r="BB101" s="62" t="s">
        <v>173</v>
      </c>
    </row>
    <row r="102" spans="1:54" customFormat="1" ht="15" customHeight="1">
      <c r="A102" s="73" t="s">
        <v>136</v>
      </c>
      <c r="B102" s="73" t="s">
        <v>198</v>
      </c>
      <c r="C102" s="73" t="s">
        <v>205</v>
      </c>
      <c r="D102" s="105">
        <v>1</v>
      </c>
      <c r="E102" s="55" t="s">
        <v>5</v>
      </c>
      <c r="F102" s="146" t="s">
        <v>515</v>
      </c>
      <c r="G102" s="97">
        <v>3200</v>
      </c>
      <c r="H102" s="65">
        <v>3200</v>
      </c>
      <c r="I102" s="89">
        <f t="shared" si="29"/>
        <v>287.68</v>
      </c>
      <c r="J102" s="89">
        <f t="shared" si="30"/>
        <v>287.68</v>
      </c>
      <c r="K102" s="52">
        <f t="shared" si="31"/>
        <v>8.9899999999999994E-2</v>
      </c>
      <c r="L102" s="78">
        <v>0.1</v>
      </c>
      <c r="M102" s="78">
        <v>1</v>
      </c>
      <c r="N102" s="62"/>
      <c r="O102" s="62" t="s">
        <v>200</v>
      </c>
      <c r="P102" s="62" t="s">
        <v>201</v>
      </c>
      <c r="T102" s="45">
        <v>4.6500000000000004</v>
      </c>
      <c r="U102" s="56">
        <f t="shared" si="32"/>
        <v>51.724137931034491</v>
      </c>
      <c r="V102" s="45">
        <v>4.6500000000000004</v>
      </c>
      <c r="W102" s="56">
        <f t="shared" si="33"/>
        <v>51.724137931034491</v>
      </c>
      <c r="X102" s="56">
        <v>5</v>
      </c>
      <c r="Y102" s="87">
        <f>X102/K102</f>
        <v>55.61735261401558</v>
      </c>
      <c r="Z102" s="108">
        <f t="shared" si="22"/>
        <v>1.075268817204301</v>
      </c>
      <c r="AA102" s="81">
        <v>0.99997999999999998</v>
      </c>
      <c r="AB102" s="81"/>
      <c r="AC102" s="62"/>
      <c r="AD102" s="62"/>
      <c r="AE102" s="62"/>
      <c r="AF102" s="62"/>
      <c r="AG102" s="62">
        <v>27</v>
      </c>
      <c r="AH102" s="62">
        <v>30</v>
      </c>
      <c r="AI102" s="62">
        <v>-20</v>
      </c>
      <c r="AJ102" s="62">
        <v>35</v>
      </c>
      <c r="AK102" s="62"/>
      <c r="AL102" s="62"/>
      <c r="AM102" s="62"/>
      <c r="AN102" s="62"/>
      <c r="AO102" s="63">
        <v>1</v>
      </c>
      <c r="AP102" s="62">
        <f t="shared" si="34"/>
        <v>11.123470522803116</v>
      </c>
      <c r="AQ102" s="62"/>
      <c r="AR102" s="62"/>
      <c r="AS102" s="62"/>
      <c r="AT102" s="62"/>
      <c r="AU102" s="62"/>
      <c r="AV102" s="62"/>
      <c r="AW102" s="62"/>
      <c r="AX102" s="62"/>
      <c r="AY102" s="62"/>
      <c r="AZ102" s="62">
        <v>20</v>
      </c>
      <c r="BA102" s="55" t="s">
        <v>202</v>
      </c>
      <c r="BB102" s="62" t="s">
        <v>173</v>
      </c>
    </row>
    <row r="103" spans="1:54" customFormat="1" ht="15" customHeight="1">
      <c r="A103" s="73" t="s">
        <v>136</v>
      </c>
      <c r="B103" s="73" t="s">
        <v>206</v>
      </c>
      <c r="C103" s="73" t="s">
        <v>207</v>
      </c>
      <c r="D103" s="105">
        <v>0</v>
      </c>
      <c r="E103" s="55" t="s">
        <v>5</v>
      </c>
      <c r="F103" s="146" t="s">
        <v>519</v>
      </c>
      <c r="G103" s="65">
        <v>800</v>
      </c>
      <c r="H103" s="65">
        <v>800</v>
      </c>
      <c r="I103" s="89">
        <f t="shared" si="29"/>
        <v>71.92</v>
      </c>
      <c r="J103" s="89">
        <f t="shared" si="30"/>
        <v>71.92</v>
      </c>
      <c r="K103" s="52">
        <f t="shared" si="31"/>
        <v>8.9899999999999994E-2</v>
      </c>
      <c r="L103" s="78">
        <v>0.25</v>
      </c>
      <c r="M103" s="78">
        <v>1.1499999999999999</v>
      </c>
      <c r="N103" s="62"/>
      <c r="O103" s="62"/>
      <c r="P103" s="62"/>
      <c r="T103" s="56">
        <v>3.9</v>
      </c>
      <c r="U103" s="87">
        <f>T103/K103</f>
        <v>43.381535038932149</v>
      </c>
      <c r="V103" s="56">
        <v>4.4000000000000004</v>
      </c>
      <c r="W103" s="87">
        <f t="shared" si="33"/>
        <v>48.943270300333708</v>
      </c>
      <c r="X103" s="45"/>
      <c r="Y103" s="45"/>
      <c r="Z103" s="108">
        <f t="shared" si="22"/>
        <v>0</v>
      </c>
      <c r="AA103" s="81">
        <v>0.99999000000000005</v>
      </c>
      <c r="AB103" s="81">
        <v>0.99999000000000005</v>
      </c>
      <c r="AC103" s="62" t="s">
        <v>193</v>
      </c>
      <c r="AD103" s="62" t="s">
        <v>193</v>
      </c>
      <c r="AE103" s="62"/>
      <c r="AF103" s="62"/>
      <c r="AG103" s="62">
        <v>16</v>
      </c>
      <c r="AH103" s="62">
        <v>16</v>
      </c>
      <c r="AI103" s="62">
        <v>5</v>
      </c>
      <c r="AJ103" s="62">
        <v>40</v>
      </c>
      <c r="AK103" s="62"/>
      <c r="AL103" s="62"/>
      <c r="AM103" s="62"/>
      <c r="AN103" s="62"/>
      <c r="AO103" s="63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>
        <v>22</v>
      </c>
      <c r="BA103" s="55" t="s">
        <v>208</v>
      </c>
      <c r="BB103" s="62" t="s">
        <v>173</v>
      </c>
    </row>
    <row r="104" spans="1:54" customFormat="1" ht="15" customHeight="1">
      <c r="A104" s="73" t="s">
        <v>136</v>
      </c>
      <c r="B104" s="73" t="s">
        <v>206</v>
      </c>
      <c r="C104" s="73" t="s">
        <v>209</v>
      </c>
      <c r="D104" s="105">
        <v>0</v>
      </c>
      <c r="E104" s="55" t="s">
        <v>5</v>
      </c>
      <c r="F104" s="146" t="s">
        <v>519</v>
      </c>
      <c r="G104" s="65">
        <v>1000</v>
      </c>
      <c r="H104" s="65">
        <v>1000</v>
      </c>
      <c r="I104" s="89">
        <f t="shared" si="29"/>
        <v>89.899999999999991</v>
      </c>
      <c r="J104" s="89">
        <f t="shared" si="30"/>
        <v>89.899999999999991</v>
      </c>
      <c r="K104" s="52">
        <f t="shared" si="31"/>
        <v>8.9899999999999994E-2</v>
      </c>
      <c r="L104" s="78">
        <v>0.25</v>
      </c>
      <c r="M104" s="78">
        <v>1.1499999999999999</v>
      </c>
      <c r="N104" s="62"/>
      <c r="O104" s="62"/>
      <c r="P104" s="62"/>
      <c r="T104" s="56">
        <v>3.9</v>
      </c>
      <c r="U104" s="87">
        <f>T104/K104</f>
        <v>43.381535038932149</v>
      </c>
      <c r="V104" s="56">
        <v>4.4000000000000004</v>
      </c>
      <c r="W104" s="87">
        <f t="shared" si="33"/>
        <v>48.943270300333708</v>
      </c>
      <c r="X104" s="45"/>
      <c r="Y104" s="45"/>
      <c r="Z104" s="108">
        <f t="shared" si="22"/>
        <v>0</v>
      </c>
      <c r="AA104" s="81">
        <v>0.99999000000000005</v>
      </c>
      <c r="AB104" s="81">
        <v>0.99999000000000005</v>
      </c>
      <c r="AC104" s="62" t="s">
        <v>193</v>
      </c>
      <c r="AD104" s="62" t="s">
        <v>193</v>
      </c>
      <c r="AE104" s="62"/>
      <c r="AF104" s="62"/>
      <c r="AG104" s="62">
        <v>16</v>
      </c>
      <c r="AH104" s="62">
        <v>16</v>
      </c>
      <c r="AI104" s="62">
        <v>5</v>
      </c>
      <c r="AJ104" s="62">
        <v>40</v>
      </c>
      <c r="AK104" s="62"/>
      <c r="AL104" s="62"/>
      <c r="AM104" s="62"/>
      <c r="AN104" s="62"/>
      <c r="AO104" s="63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>
        <v>22</v>
      </c>
      <c r="BA104" s="55" t="s">
        <v>208</v>
      </c>
      <c r="BB104" s="62" t="s">
        <v>173</v>
      </c>
    </row>
    <row r="105" spans="1:54" customFormat="1" ht="15" customHeight="1">
      <c r="A105" s="73" t="s">
        <v>136</v>
      </c>
      <c r="B105" s="73" t="s">
        <v>206</v>
      </c>
      <c r="C105" s="73" t="s">
        <v>210</v>
      </c>
      <c r="D105" s="105">
        <v>0</v>
      </c>
      <c r="E105" s="55" t="s">
        <v>5</v>
      </c>
      <c r="F105" s="146" t="s">
        <v>519</v>
      </c>
      <c r="G105" s="65">
        <v>1500</v>
      </c>
      <c r="H105" s="65">
        <v>1500</v>
      </c>
      <c r="I105" s="89">
        <f t="shared" si="29"/>
        <v>134.85</v>
      </c>
      <c r="J105" s="89">
        <f t="shared" si="30"/>
        <v>134.85</v>
      </c>
      <c r="K105" s="52">
        <f t="shared" si="31"/>
        <v>8.9899999999999994E-2</v>
      </c>
      <c r="L105" s="78">
        <v>0.25</v>
      </c>
      <c r="M105" s="78">
        <v>1.1499999999999999</v>
      </c>
      <c r="N105" s="62"/>
      <c r="O105" s="62"/>
      <c r="P105" s="62"/>
      <c r="T105" s="56">
        <v>3.9</v>
      </c>
      <c r="U105" s="87">
        <f>T105/K105</f>
        <v>43.381535038932149</v>
      </c>
      <c r="V105" s="56">
        <v>4.4000000000000004</v>
      </c>
      <c r="W105" s="87">
        <f t="shared" si="33"/>
        <v>48.943270300333708</v>
      </c>
      <c r="X105" s="45"/>
      <c r="Y105" s="45"/>
      <c r="Z105" s="108">
        <f t="shared" si="22"/>
        <v>0</v>
      </c>
      <c r="AA105" s="81">
        <v>0.99999000000000005</v>
      </c>
      <c r="AB105" s="81">
        <v>0.99999000000000005</v>
      </c>
      <c r="AC105" s="62" t="s">
        <v>193</v>
      </c>
      <c r="AD105" s="62" t="s">
        <v>193</v>
      </c>
      <c r="AE105" s="62"/>
      <c r="AF105" s="62"/>
      <c r="AG105" s="62">
        <v>16</v>
      </c>
      <c r="AH105" s="62">
        <v>16</v>
      </c>
      <c r="AI105" s="62">
        <v>5</v>
      </c>
      <c r="AJ105" s="62">
        <v>40</v>
      </c>
      <c r="AK105" s="62"/>
      <c r="AL105" s="62"/>
      <c r="AM105" s="62"/>
      <c r="AN105" s="62"/>
      <c r="AO105" s="63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>
        <v>22</v>
      </c>
      <c r="BA105" s="55" t="s">
        <v>208</v>
      </c>
      <c r="BB105" s="62" t="s">
        <v>173</v>
      </c>
    </row>
    <row r="106" spans="1:54" customFormat="1" ht="15" customHeight="1">
      <c r="A106" s="73" t="s">
        <v>136</v>
      </c>
      <c r="B106" s="73" t="s">
        <v>206</v>
      </c>
      <c r="C106" s="73" t="s">
        <v>305</v>
      </c>
      <c r="D106" s="105">
        <v>1</v>
      </c>
      <c r="E106" s="55" t="s">
        <v>5</v>
      </c>
      <c r="F106" s="146" t="s">
        <v>519</v>
      </c>
      <c r="G106" s="65">
        <v>1000</v>
      </c>
      <c r="H106" s="65">
        <v>1000</v>
      </c>
      <c r="I106" s="89">
        <f>G106*K106</f>
        <v>89.899999999999991</v>
      </c>
      <c r="J106" s="89">
        <f>H106*K106</f>
        <v>89.899999999999991</v>
      </c>
      <c r="K106" s="52">
        <f t="shared" si="31"/>
        <v>8.9899999999999994E-2</v>
      </c>
      <c r="L106" s="78">
        <v>0.3</v>
      </c>
      <c r="M106" s="78">
        <v>1.1000000000000001</v>
      </c>
      <c r="N106" s="62"/>
      <c r="O106" s="62"/>
      <c r="P106" s="62"/>
      <c r="T106" s="56"/>
      <c r="U106" s="87"/>
      <c r="V106" s="56">
        <v>4.3</v>
      </c>
      <c r="W106" s="87">
        <f t="shared" si="33"/>
        <v>47.830923248053395</v>
      </c>
      <c r="X106" s="45"/>
      <c r="Y106" s="45"/>
      <c r="Z106" s="108" t="e">
        <f t="shared" si="22"/>
        <v>#DIV/0!</v>
      </c>
      <c r="AA106" s="81">
        <v>0.99999000000000005</v>
      </c>
      <c r="AB106" s="81">
        <v>0.99999000000000005</v>
      </c>
      <c r="AC106" s="62">
        <v>1</v>
      </c>
      <c r="AD106" s="62"/>
      <c r="AE106" s="62"/>
      <c r="AF106" s="62"/>
      <c r="AG106" s="62">
        <v>16</v>
      </c>
      <c r="AH106" s="62">
        <v>16</v>
      </c>
      <c r="AI106" s="62"/>
      <c r="AJ106" s="62"/>
      <c r="AK106" s="62"/>
      <c r="AL106" s="62"/>
      <c r="AM106" s="62"/>
      <c r="AN106" s="62"/>
      <c r="AO106" s="63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55"/>
      <c r="BB106" s="62"/>
    </row>
    <row r="107" spans="1:54" customFormat="1" ht="15" customHeight="1">
      <c r="A107" s="73" t="s">
        <v>136</v>
      </c>
      <c r="B107" s="73" t="s">
        <v>206</v>
      </c>
      <c r="C107" s="73" t="s">
        <v>306</v>
      </c>
      <c r="D107" s="105">
        <v>1</v>
      </c>
      <c r="E107" s="55" t="s">
        <v>5</v>
      </c>
      <c r="F107" s="146" t="s">
        <v>519</v>
      </c>
      <c r="G107" s="65">
        <v>1000</v>
      </c>
      <c r="H107" s="65">
        <v>1000</v>
      </c>
      <c r="I107" s="89">
        <f>G107*K107</f>
        <v>89.899999999999991</v>
      </c>
      <c r="J107" s="89">
        <f>H107*K107</f>
        <v>89.899999999999991</v>
      </c>
      <c r="K107" s="52">
        <v>8.9899999999999994E-2</v>
      </c>
      <c r="L107" s="78">
        <v>0.3</v>
      </c>
      <c r="M107" s="78">
        <v>1.1000000000000001</v>
      </c>
      <c r="N107" s="62"/>
      <c r="O107" s="62"/>
      <c r="P107" s="62"/>
      <c r="T107" s="56"/>
      <c r="U107" s="87"/>
      <c r="V107" s="56">
        <v>4.0999999999999996</v>
      </c>
      <c r="W107" s="87">
        <f t="shared" si="33"/>
        <v>45.606229143492769</v>
      </c>
      <c r="X107" s="45"/>
      <c r="Y107" s="45"/>
      <c r="Z107" s="108" t="e">
        <f t="shared" si="22"/>
        <v>#DIV/0!</v>
      </c>
      <c r="AA107" s="81">
        <v>0.99999000000000005</v>
      </c>
      <c r="AB107" s="81">
        <v>0.99999000000000005</v>
      </c>
      <c r="AC107" s="62">
        <v>1</v>
      </c>
      <c r="AD107" s="62"/>
      <c r="AE107" s="62"/>
      <c r="AF107" s="62"/>
      <c r="AG107" s="62">
        <v>16</v>
      </c>
      <c r="AH107" s="62">
        <v>16</v>
      </c>
      <c r="AI107" s="62"/>
      <c r="AJ107" s="62"/>
      <c r="AK107" s="62"/>
      <c r="AL107" s="62"/>
      <c r="AM107" s="62"/>
      <c r="AN107" s="62"/>
      <c r="AO107" s="63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55"/>
      <c r="BB107" s="62"/>
    </row>
    <row r="108" spans="1:54" customFormat="1" ht="15" customHeight="1">
      <c r="A108" s="73" t="s">
        <v>136</v>
      </c>
      <c r="B108" s="73" t="s">
        <v>206</v>
      </c>
      <c r="C108" s="73" t="s">
        <v>307</v>
      </c>
      <c r="D108" s="105">
        <v>1</v>
      </c>
      <c r="E108" s="55" t="s">
        <v>5</v>
      </c>
      <c r="F108" s="146" t="s">
        <v>519</v>
      </c>
      <c r="G108" s="65">
        <v>1200</v>
      </c>
      <c r="H108" s="65">
        <v>1200</v>
      </c>
      <c r="I108" s="89">
        <f t="shared" ref="I108:I111" si="35">G108*K108</f>
        <v>107.88</v>
      </c>
      <c r="J108" s="89">
        <f t="shared" ref="J108:J111" si="36">H108*K108</f>
        <v>107.88</v>
      </c>
      <c r="K108" s="52">
        <v>8.9899999999999994E-2</v>
      </c>
      <c r="L108" s="78">
        <v>0.3</v>
      </c>
      <c r="M108" s="78">
        <v>1.1000000000000001</v>
      </c>
      <c r="N108" s="62"/>
      <c r="O108" s="62"/>
      <c r="P108" s="62"/>
      <c r="T108" s="56">
        <v>4.0999999999999996</v>
      </c>
      <c r="U108" s="87">
        <f t="shared" ref="U108:U111" si="37">T108/K108</f>
        <v>45.606229143492769</v>
      </c>
      <c r="V108" s="56">
        <v>4.3</v>
      </c>
      <c r="W108" s="87">
        <f t="shared" si="33"/>
        <v>47.830923248053395</v>
      </c>
      <c r="X108" s="45"/>
      <c r="Y108" s="45"/>
      <c r="Z108" s="108">
        <f t="shared" si="22"/>
        <v>0</v>
      </c>
      <c r="AA108" s="81">
        <v>0.99999000000000005</v>
      </c>
      <c r="AB108" s="81">
        <v>0.99999000000000005</v>
      </c>
      <c r="AC108" s="62">
        <v>1</v>
      </c>
      <c r="AD108" s="62"/>
      <c r="AE108" s="62"/>
      <c r="AF108" s="62"/>
      <c r="AG108" s="62">
        <v>16</v>
      </c>
      <c r="AH108" s="62">
        <v>16</v>
      </c>
      <c r="AI108" s="62"/>
      <c r="AJ108" s="62"/>
      <c r="AK108" s="62"/>
      <c r="AL108" s="62"/>
      <c r="AM108" s="62"/>
      <c r="AN108" s="62"/>
      <c r="AO108" s="63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55"/>
      <c r="BB108" s="62"/>
    </row>
    <row r="109" spans="1:54" customFormat="1" ht="15" customHeight="1">
      <c r="A109" s="73" t="s">
        <v>136</v>
      </c>
      <c r="B109" s="73" t="s">
        <v>206</v>
      </c>
      <c r="C109" s="73" t="s">
        <v>308</v>
      </c>
      <c r="D109" s="106">
        <v>1</v>
      </c>
      <c r="E109" s="55" t="s">
        <v>5</v>
      </c>
      <c r="F109" s="146" t="s">
        <v>519</v>
      </c>
      <c r="G109" s="65">
        <v>1500</v>
      </c>
      <c r="H109" s="65">
        <v>1500</v>
      </c>
      <c r="I109" s="89">
        <f t="shared" si="35"/>
        <v>134.85</v>
      </c>
      <c r="J109" s="89">
        <f t="shared" si="36"/>
        <v>134.85</v>
      </c>
      <c r="K109" s="52">
        <v>8.9899999999999994E-2</v>
      </c>
      <c r="L109" s="78">
        <v>0.3</v>
      </c>
      <c r="M109" s="78">
        <v>1.1000000000000001</v>
      </c>
      <c r="N109" s="62"/>
      <c r="O109" s="62"/>
      <c r="P109" s="62"/>
      <c r="T109" s="56">
        <v>4.0999999999999996</v>
      </c>
      <c r="U109" s="87">
        <f t="shared" si="37"/>
        <v>45.606229143492769</v>
      </c>
      <c r="V109" s="56">
        <v>4.3</v>
      </c>
      <c r="W109" s="87">
        <f t="shared" si="33"/>
        <v>47.830923248053395</v>
      </c>
      <c r="X109" s="45"/>
      <c r="Y109" s="45"/>
      <c r="Z109" s="108">
        <f t="shared" si="22"/>
        <v>0</v>
      </c>
      <c r="AA109" s="81">
        <v>0.99999000000000005</v>
      </c>
      <c r="AB109" s="81">
        <v>0.99999000000000005</v>
      </c>
      <c r="AC109" s="62">
        <v>1</v>
      </c>
      <c r="AD109" s="62"/>
      <c r="AE109" s="62"/>
      <c r="AF109" s="62"/>
      <c r="AG109" s="62">
        <v>16</v>
      </c>
      <c r="AH109" s="62">
        <v>16</v>
      </c>
      <c r="AI109" s="62"/>
      <c r="AJ109" s="62"/>
      <c r="AK109" s="62"/>
      <c r="AL109" s="62"/>
      <c r="AM109" s="62"/>
      <c r="AN109" s="62"/>
      <c r="AO109" s="63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55"/>
      <c r="BB109" s="62"/>
    </row>
    <row r="110" spans="1:54" customFormat="1" ht="15" customHeight="1">
      <c r="A110" s="73" t="s">
        <v>136</v>
      </c>
      <c r="B110" s="73" t="s">
        <v>206</v>
      </c>
      <c r="C110" s="73" t="s">
        <v>310</v>
      </c>
      <c r="D110" s="105">
        <v>1</v>
      </c>
      <c r="E110" s="55" t="s">
        <v>5</v>
      </c>
      <c r="F110" s="146" t="s">
        <v>519</v>
      </c>
      <c r="G110" s="65">
        <v>2000</v>
      </c>
      <c r="H110" s="65">
        <v>2000</v>
      </c>
      <c r="I110" s="89">
        <f t="shared" si="35"/>
        <v>179.79999999999998</v>
      </c>
      <c r="J110" s="89">
        <f t="shared" si="36"/>
        <v>179.79999999999998</v>
      </c>
      <c r="K110" s="52">
        <v>8.9899999999999994E-2</v>
      </c>
      <c r="L110" s="78">
        <v>0.3</v>
      </c>
      <c r="M110" s="78">
        <v>1.1000000000000001</v>
      </c>
      <c r="N110" s="62"/>
      <c r="O110" s="62"/>
      <c r="P110" s="62"/>
      <c r="T110" s="56">
        <v>4.0999999999999996</v>
      </c>
      <c r="U110" s="87">
        <f t="shared" si="37"/>
        <v>45.606229143492769</v>
      </c>
      <c r="V110" s="56">
        <v>4.3</v>
      </c>
      <c r="W110" s="87">
        <f t="shared" si="33"/>
        <v>47.830923248053395</v>
      </c>
      <c r="X110" s="45"/>
      <c r="Y110" s="45"/>
      <c r="Z110" s="108">
        <f t="shared" si="22"/>
        <v>0</v>
      </c>
      <c r="AA110" s="81">
        <v>0.99999000000000005</v>
      </c>
      <c r="AB110" s="81">
        <v>0.99999000000000005</v>
      </c>
      <c r="AC110" s="62">
        <v>1</v>
      </c>
      <c r="AD110" s="62"/>
      <c r="AE110" s="62"/>
      <c r="AF110" s="62"/>
      <c r="AG110" s="62">
        <v>16</v>
      </c>
      <c r="AH110" s="62">
        <v>16</v>
      </c>
      <c r="AI110" s="62"/>
      <c r="AJ110" s="62"/>
      <c r="AK110" s="62"/>
      <c r="AL110" s="62"/>
      <c r="AM110" s="62"/>
      <c r="AN110" s="62"/>
      <c r="AO110" s="63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55"/>
      <c r="BB110" s="62"/>
    </row>
    <row r="111" spans="1:54" customFormat="1" ht="15" customHeight="1">
      <c r="A111" s="73" t="s">
        <v>136</v>
      </c>
      <c r="B111" s="73" t="s">
        <v>206</v>
      </c>
      <c r="C111" s="73" t="s">
        <v>309</v>
      </c>
      <c r="D111" s="105">
        <v>1</v>
      </c>
      <c r="E111" s="55" t="s">
        <v>5</v>
      </c>
      <c r="F111" s="146" t="s">
        <v>519</v>
      </c>
      <c r="G111" s="65">
        <v>3000</v>
      </c>
      <c r="H111" s="65">
        <v>3000</v>
      </c>
      <c r="I111" s="89">
        <f t="shared" si="35"/>
        <v>269.7</v>
      </c>
      <c r="J111" s="89">
        <f t="shared" si="36"/>
        <v>269.7</v>
      </c>
      <c r="K111" s="52">
        <v>8.9899999999999994E-2</v>
      </c>
      <c r="L111" s="78">
        <v>0.3</v>
      </c>
      <c r="M111" s="78">
        <v>1.1000000000000001</v>
      </c>
      <c r="N111" s="62"/>
      <c r="O111" s="62"/>
      <c r="P111" s="62"/>
      <c r="T111" s="56">
        <v>4.0999999999999996</v>
      </c>
      <c r="U111" s="87">
        <f t="shared" si="37"/>
        <v>45.606229143492769</v>
      </c>
      <c r="V111" s="56">
        <v>4.3</v>
      </c>
      <c r="W111" s="87">
        <f t="shared" si="33"/>
        <v>47.830923248053395</v>
      </c>
      <c r="X111" s="45"/>
      <c r="Y111" s="45"/>
      <c r="Z111" s="108">
        <f t="shared" si="22"/>
        <v>0</v>
      </c>
      <c r="AA111" s="81">
        <v>0.99999000000000005</v>
      </c>
      <c r="AB111" s="81">
        <v>0.99999000000000005</v>
      </c>
      <c r="AC111" s="62">
        <v>1</v>
      </c>
      <c r="AD111" s="62"/>
      <c r="AE111" s="62"/>
      <c r="AF111" s="62"/>
      <c r="AG111" s="62">
        <v>16</v>
      </c>
      <c r="AH111" s="62">
        <v>16</v>
      </c>
      <c r="AI111" s="62"/>
      <c r="AJ111" s="62"/>
      <c r="AK111" s="62"/>
      <c r="AL111" s="62"/>
      <c r="AM111" s="62"/>
      <c r="AN111" s="62"/>
      <c r="AO111" s="63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55"/>
      <c r="BB111" s="62"/>
    </row>
    <row r="112" spans="1:54" customFormat="1" ht="15" customHeight="1">
      <c r="A112" s="73" t="s">
        <v>75</v>
      </c>
      <c r="B112" s="73" t="s">
        <v>211</v>
      </c>
      <c r="C112" s="73" t="s">
        <v>506</v>
      </c>
      <c r="D112" s="105">
        <v>1</v>
      </c>
      <c r="E112" s="55" t="s">
        <v>5</v>
      </c>
      <c r="F112" s="146" t="s">
        <v>519</v>
      </c>
      <c r="G112" s="65">
        <v>1</v>
      </c>
      <c r="H112" s="65">
        <v>100</v>
      </c>
      <c r="I112" s="88">
        <f t="shared" si="29"/>
        <v>8.9899999999999994E-2</v>
      </c>
      <c r="J112" s="89">
        <f t="shared" si="30"/>
        <v>8.99</v>
      </c>
      <c r="K112" s="52">
        <f>$C$2</f>
        <v>8.9899999999999994E-2</v>
      </c>
      <c r="L112" s="78">
        <v>0.1</v>
      </c>
      <c r="M112" s="78">
        <v>1</v>
      </c>
      <c r="N112" s="62"/>
      <c r="O112" s="62"/>
      <c r="P112" s="62"/>
      <c r="T112" s="56"/>
      <c r="U112" s="98"/>
      <c r="V112" s="126"/>
      <c r="W112" s="126"/>
      <c r="X112" s="56">
        <v>5.4</v>
      </c>
      <c r="Y112" s="87">
        <f>X112/K112</f>
        <v>60.066740823136826</v>
      </c>
      <c r="Z112" s="108" t="e">
        <f t="shared" si="22"/>
        <v>#DIV/0!</v>
      </c>
      <c r="AA112" s="76">
        <v>0.999</v>
      </c>
      <c r="AB112" s="78"/>
      <c r="AC112" s="62"/>
      <c r="AD112" s="62" t="s">
        <v>311</v>
      </c>
      <c r="AE112" s="62"/>
      <c r="AF112" s="62"/>
      <c r="AG112" s="62"/>
      <c r="AH112" s="62"/>
      <c r="AI112" s="62"/>
      <c r="AJ112" s="62"/>
      <c r="AK112" s="62">
        <v>0.1</v>
      </c>
      <c r="AL112" s="62">
        <v>3.2</v>
      </c>
      <c r="AM112" s="62"/>
      <c r="AN112" s="62"/>
      <c r="AO112" s="63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55" t="s">
        <v>212</v>
      </c>
      <c r="BB112" s="62" t="s">
        <v>213</v>
      </c>
    </row>
    <row r="113" spans="1:54" customFormat="1" ht="15" customHeight="1">
      <c r="A113" s="73" t="s">
        <v>136</v>
      </c>
      <c r="B113" s="73" t="s">
        <v>211</v>
      </c>
      <c r="C113" s="73" t="s">
        <v>214</v>
      </c>
      <c r="D113" s="105">
        <v>1</v>
      </c>
      <c r="E113" s="55" t="s">
        <v>5</v>
      </c>
      <c r="F113" s="146" t="s">
        <v>519</v>
      </c>
      <c r="G113" s="65">
        <v>16</v>
      </c>
      <c r="H113" s="65">
        <v>1000</v>
      </c>
      <c r="I113" s="88">
        <f t="shared" si="29"/>
        <v>1.4383999999999999</v>
      </c>
      <c r="J113" s="89">
        <f t="shared" si="30"/>
        <v>89.899999999999991</v>
      </c>
      <c r="K113" s="52">
        <f>$C$2</f>
        <v>8.9899999999999994E-2</v>
      </c>
      <c r="L113" s="78">
        <v>0.5</v>
      </c>
      <c r="M113" s="78">
        <v>1</v>
      </c>
      <c r="N113" s="62"/>
      <c r="O113" s="62"/>
      <c r="P113" s="62"/>
      <c r="T113" s="98"/>
      <c r="U113" s="98"/>
      <c r="V113" s="56"/>
      <c r="W113" s="98"/>
      <c r="X113" s="56">
        <v>4.3</v>
      </c>
      <c r="Y113" s="87">
        <f>X113/K113</f>
        <v>47.830923248053395</v>
      </c>
      <c r="Z113" s="108" t="e">
        <f t="shared" si="22"/>
        <v>#DIV/0!</v>
      </c>
      <c r="AA113" s="76">
        <v>0.998</v>
      </c>
      <c r="AB113" s="78"/>
      <c r="AC113" s="62"/>
      <c r="AD113" s="62" t="s">
        <v>311</v>
      </c>
      <c r="AE113" s="62"/>
      <c r="AF113" s="62"/>
      <c r="AG113" s="62"/>
      <c r="AH113" s="62"/>
      <c r="AI113" s="62">
        <v>80</v>
      </c>
      <c r="AJ113" s="62">
        <v>90</v>
      </c>
      <c r="AK113" s="62">
        <v>1.5</v>
      </c>
      <c r="AL113" s="62">
        <v>2</v>
      </c>
      <c r="AM113" s="62"/>
      <c r="AN113" s="62"/>
      <c r="AO113" s="63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55" t="s">
        <v>215</v>
      </c>
      <c r="BB113" s="62" t="s">
        <v>213</v>
      </c>
    </row>
    <row r="114" spans="1:54" customFormat="1" ht="15" customHeight="1">
      <c r="A114" s="73" t="s">
        <v>136</v>
      </c>
      <c r="B114" s="73" t="s">
        <v>211</v>
      </c>
      <c r="C114" s="73" t="s">
        <v>216</v>
      </c>
      <c r="D114" s="105">
        <v>1</v>
      </c>
      <c r="E114" s="55" t="s">
        <v>5</v>
      </c>
      <c r="F114" s="146" t="s">
        <v>519</v>
      </c>
      <c r="G114" s="65">
        <v>5</v>
      </c>
      <c r="H114" s="65">
        <v>15</v>
      </c>
      <c r="I114" s="88">
        <f t="shared" si="29"/>
        <v>0.44949999999999996</v>
      </c>
      <c r="J114" s="89">
        <f t="shared" si="30"/>
        <v>1.3484999999999998</v>
      </c>
      <c r="K114" s="52">
        <f>$C$2</f>
        <v>8.9899999999999994E-2</v>
      </c>
      <c r="L114" s="78">
        <v>0.5</v>
      </c>
      <c r="M114" s="78">
        <v>1</v>
      </c>
      <c r="N114" s="62"/>
      <c r="O114" s="62"/>
      <c r="P114" s="62"/>
      <c r="T114" s="98"/>
      <c r="U114" s="98"/>
      <c r="V114" s="56"/>
      <c r="W114" s="98"/>
      <c r="X114" s="126">
        <v>4.5</v>
      </c>
      <c r="Y114" s="87">
        <f>X114/K114</f>
        <v>50.055617352614021</v>
      </c>
      <c r="Z114" s="108" t="e">
        <f t="shared" si="22"/>
        <v>#DIV/0!</v>
      </c>
      <c r="AA114" s="76">
        <v>0.998</v>
      </c>
      <c r="AB114" s="78"/>
      <c r="AC114" s="62"/>
      <c r="AD114" s="62" t="s">
        <v>311</v>
      </c>
      <c r="AE114" s="62"/>
      <c r="AF114" s="62"/>
      <c r="AG114" s="62"/>
      <c r="AH114" s="62"/>
      <c r="AI114" s="62">
        <v>80</v>
      </c>
      <c r="AJ114" s="62">
        <v>90</v>
      </c>
      <c r="AK114" s="62">
        <v>1.5</v>
      </c>
      <c r="AL114" s="62">
        <v>3.2</v>
      </c>
      <c r="AM114" s="62"/>
      <c r="AN114" s="62"/>
      <c r="AO114" s="63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55" t="s">
        <v>217</v>
      </c>
      <c r="BB114" s="62" t="s">
        <v>213</v>
      </c>
    </row>
    <row r="115" spans="1:54" customFormat="1" ht="15" customHeight="1">
      <c r="A115" s="73" t="s">
        <v>136</v>
      </c>
      <c r="B115" s="73" t="s">
        <v>211</v>
      </c>
      <c r="C115" s="73" t="s">
        <v>218</v>
      </c>
      <c r="D115" s="105">
        <v>1</v>
      </c>
      <c r="E115" s="55" t="s">
        <v>5</v>
      </c>
      <c r="F115" s="146" t="s">
        <v>519</v>
      </c>
      <c r="G115" s="65">
        <v>5</v>
      </c>
      <c r="H115" s="65">
        <v>100</v>
      </c>
      <c r="I115" s="88">
        <f t="shared" si="29"/>
        <v>0.44949999999999996</v>
      </c>
      <c r="J115" s="89">
        <f t="shared" si="30"/>
        <v>8.99</v>
      </c>
      <c r="K115" s="52">
        <f>$C$2</f>
        <v>8.9899999999999994E-2</v>
      </c>
      <c r="L115" s="78">
        <v>0.5</v>
      </c>
      <c r="M115" s="78">
        <v>1</v>
      </c>
      <c r="N115" s="62"/>
      <c r="O115" s="62"/>
      <c r="P115" s="62"/>
      <c r="T115" s="56"/>
      <c r="U115" s="98"/>
      <c r="V115" s="56"/>
      <c r="W115" s="98"/>
      <c r="X115" s="126">
        <v>4.4000000000000004</v>
      </c>
      <c r="Y115" s="87">
        <f>X115/K115</f>
        <v>48.943270300333708</v>
      </c>
      <c r="Z115" s="108" t="e">
        <f t="shared" si="22"/>
        <v>#DIV/0!</v>
      </c>
      <c r="AA115" s="76">
        <v>0.998</v>
      </c>
      <c r="AB115" s="78"/>
      <c r="AC115" s="62"/>
      <c r="AD115" s="62" t="s">
        <v>311</v>
      </c>
      <c r="AE115" s="62"/>
      <c r="AF115" s="62"/>
      <c r="AG115" s="62"/>
      <c r="AH115" s="62"/>
      <c r="AI115" s="62">
        <v>80</v>
      </c>
      <c r="AJ115" s="62">
        <v>90</v>
      </c>
      <c r="AK115" s="62">
        <v>1.5</v>
      </c>
      <c r="AL115" s="62">
        <v>3.2</v>
      </c>
      <c r="AM115" s="62"/>
      <c r="AN115" s="62"/>
      <c r="AO115" s="63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55" t="s">
        <v>219</v>
      </c>
      <c r="BB115" s="62" t="s">
        <v>213</v>
      </c>
    </row>
    <row r="116" spans="1:54" customFormat="1" ht="15" customHeight="1">
      <c r="A116" s="73" t="s">
        <v>75</v>
      </c>
      <c r="B116" s="73" t="s">
        <v>220</v>
      </c>
      <c r="C116" s="73" t="s">
        <v>221</v>
      </c>
      <c r="D116" s="105">
        <v>0</v>
      </c>
      <c r="E116" s="75"/>
      <c r="F116" s="146" t="s">
        <v>515</v>
      </c>
      <c r="G116" s="65">
        <v>50</v>
      </c>
      <c r="H116" s="65">
        <v>50</v>
      </c>
      <c r="I116" s="63">
        <v>4.5</v>
      </c>
      <c r="J116" s="63">
        <v>4.5</v>
      </c>
      <c r="K116" s="88">
        <f t="shared" ref="K116:K124" si="38">I116/H116</f>
        <v>0.09</v>
      </c>
      <c r="L116" s="78">
        <v>0</v>
      </c>
      <c r="M116" s="78">
        <v>1</v>
      </c>
      <c r="N116" s="62"/>
      <c r="O116" s="62"/>
      <c r="P116" s="62"/>
      <c r="T116" s="56">
        <v>4.3</v>
      </c>
      <c r="U116" s="87">
        <f t="shared" ref="U116:U127" si="39">T116/K116</f>
        <v>47.777777777777779</v>
      </c>
      <c r="V116" s="45"/>
      <c r="W116" s="45"/>
      <c r="X116" s="56">
        <v>5</v>
      </c>
      <c r="Y116" s="87">
        <f t="shared" ref="Y116:Y127" si="40">X116/K116</f>
        <v>55.555555555555557</v>
      </c>
      <c r="Z116" s="108">
        <f t="shared" si="22"/>
        <v>1.1627906976744187</v>
      </c>
      <c r="AA116" s="81">
        <v>0.99999000000000005</v>
      </c>
      <c r="AB116" s="78"/>
      <c r="AC116" s="62" t="s">
        <v>190</v>
      </c>
      <c r="AD116" s="62"/>
      <c r="AE116" s="62">
        <v>-70</v>
      </c>
      <c r="AF116" s="62"/>
      <c r="AG116" s="62">
        <v>15</v>
      </c>
      <c r="AH116" s="62">
        <v>15</v>
      </c>
      <c r="AI116" s="62">
        <v>-20</v>
      </c>
      <c r="AJ116" s="62">
        <v>40</v>
      </c>
      <c r="AK116" s="62"/>
      <c r="AL116" s="62"/>
      <c r="AM116" s="91" t="s">
        <v>81</v>
      </c>
      <c r="AN116" s="62"/>
      <c r="AO116" s="63">
        <v>1</v>
      </c>
      <c r="AP116" s="62"/>
      <c r="AQ116" s="62"/>
      <c r="AR116" s="62"/>
      <c r="AS116" s="62"/>
      <c r="AT116" s="62"/>
      <c r="AU116" s="62">
        <v>405</v>
      </c>
      <c r="AV116" s="62">
        <v>425</v>
      </c>
      <c r="AW116" s="62">
        <v>3</v>
      </c>
      <c r="AX116" s="62"/>
      <c r="AY116" s="62"/>
      <c r="AZ116" s="62">
        <v>15</v>
      </c>
      <c r="BA116" s="4" t="s">
        <v>222</v>
      </c>
      <c r="BB116" s="62" t="s">
        <v>173</v>
      </c>
    </row>
    <row r="117" spans="1:54" customFormat="1" ht="15" customHeight="1">
      <c r="A117" s="73" t="s">
        <v>75</v>
      </c>
      <c r="B117" s="73" t="s">
        <v>220</v>
      </c>
      <c r="C117" s="73" t="s">
        <v>221</v>
      </c>
      <c r="D117" s="105">
        <v>0</v>
      </c>
      <c r="E117" s="75"/>
      <c r="F117" s="146" t="s">
        <v>515</v>
      </c>
      <c r="G117" s="65">
        <v>100</v>
      </c>
      <c r="H117" s="65">
        <v>100</v>
      </c>
      <c r="I117" s="63">
        <v>9</v>
      </c>
      <c r="J117" s="63">
        <v>9</v>
      </c>
      <c r="K117" s="88">
        <f t="shared" si="38"/>
        <v>0.09</v>
      </c>
      <c r="L117" s="78">
        <v>0</v>
      </c>
      <c r="M117" s="78">
        <v>1</v>
      </c>
      <c r="N117" s="62"/>
      <c r="O117" s="62"/>
      <c r="P117" s="62"/>
      <c r="T117" s="56">
        <v>4.3</v>
      </c>
      <c r="U117" s="87">
        <f t="shared" si="39"/>
        <v>47.777777777777779</v>
      </c>
      <c r="V117" s="45"/>
      <c r="W117" s="45"/>
      <c r="X117" s="56">
        <v>5</v>
      </c>
      <c r="Y117" s="87">
        <f t="shared" si="40"/>
        <v>55.555555555555557</v>
      </c>
      <c r="Z117" s="108">
        <f t="shared" si="22"/>
        <v>1.1627906976744187</v>
      </c>
      <c r="AA117" s="81">
        <v>0.99999000000000005</v>
      </c>
      <c r="AB117" s="78"/>
      <c r="AC117" s="62" t="s">
        <v>190</v>
      </c>
      <c r="AD117" s="62"/>
      <c r="AE117" s="62">
        <v>-70</v>
      </c>
      <c r="AF117" s="62"/>
      <c r="AG117" s="62">
        <v>15</v>
      </c>
      <c r="AH117" s="62">
        <v>15</v>
      </c>
      <c r="AI117" s="62">
        <v>-20</v>
      </c>
      <c r="AJ117" s="62">
        <v>40</v>
      </c>
      <c r="AK117" s="62"/>
      <c r="AL117" s="62"/>
      <c r="AM117" s="91" t="s">
        <v>81</v>
      </c>
      <c r="AN117" s="62"/>
      <c r="AO117" s="63">
        <v>1</v>
      </c>
      <c r="AP117" s="62"/>
      <c r="AQ117" s="62"/>
      <c r="AR117" s="62"/>
      <c r="AS117" s="62"/>
      <c r="AT117" s="62"/>
      <c r="AU117" s="62">
        <v>405</v>
      </c>
      <c r="AV117" s="62">
        <v>425</v>
      </c>
      <c r="AW117" s="62">
        <v>3</v>
      </c>
      <c r="AX117" s="62"/>
      <c r="AY117" s="62"/>
      <c r="AZ117" s="62">
        <v>15</v>
      </c>
      <c r="BB117" s="62" t="s">
        <v>173</v>
      </c>
    </row>
    <row r="118" spans="1:54" customFormat="1" ht="15" customHeight="1">
      <c r="A118" s="73" t="s">
        <v>75</v>
      </c>
      <c r="B118" s="73" t="s">
        <v>220</v>
      </c>
      <c r="C118" s="73" t="s">
        <v>221</v>
      </c>
      <c r="D118" s="105">
        <v>0</v>
      </c>
      <c r="E118" s="75"/>
      <c r="F118" s="146" t="s">
        <v>515</v>
      </c>
      <c r="G118" s="65">
        <v>300</v>
      </c>
      <c r="H118" s="65">
        <v>300</v>
      </c>
      <c r="I118" s="63">
        <v>27</v>
      </c>
      <c r="J118" s="63">
        <v>27</v>
      </c>
      <c r="K118" s="88">
        <f t="shared" si="38"/>
        <v>0.09</v>
      </c>
      <c r="L118" s="78">
        <v>0</v>
      </c>
      <c r="M118" s="78">
        <v>1</v>
      </c>
      <c r="N118" s="62"/>
      <c r="O118" s="62"/>
      <c r="P118" s="62"/>
      <c r="T118" s="56">
        <v>4.3</v>
      </c>
      <c r="U118" s="87">
        <f t="shared" si="39"/>
        <v>47.777777777777779</v>
      </c>
      <c r="V118" s="45"/>
      <c r="W118" s="45"/>
      <c r="X118" s="56">
        <v>5</v>
      </c>
      <c r="Y118" s="87">
        <f t="shared" si="40"/>
        <v>55.555555555555557</v>
      </c>
      <c r="Z118" s="108">
        <f t="shared" si="22"/>
        <v>1.1627906976744187</v>
      </c>
      <c r="AA118" s="81">
        <v>0.99999000000000005</v>
      </c>
      <c r="AB118" s="78"/>
      <c r="AC118" s="62" t="s">
        <v>190</v>
      </c>
      <c r="AD118" s="62"/>
      <c r="AE118" s="62">
        <v>-70</v>
      </c>
      <c r="AF118" s="62"/>
      <c r="AG118" s="62">
        <v>15</v>
      </c>
      <c r="AH118" s="62">
        <v>15</v>
      </c>
      <c r="AI118" s="62">
        <v>-20</v>
      </c>
      <c r="AJ118" s="62">
        <v>40</v>
      </c>
      <c r="AK118" s="62"/>
      <c r="AL118" s="62"/>
      <c r="AM118" s="91" t="s">
        <v>81</v>
      </c>
      <c r="AN118" s="62"/>
      <c r="AO118" s="63">
        <v>1</v>
      </c>
      <c r="AP118" s="62"/>
      <c r="AQ118" s="62"/>
      <c r="AR118" s="62"/>
      <c r="AS118" s="62"/>
      <c r="AT118" s="62"/>
      <c r="AU118" s="62">
        <v>230</v>
      </c>
      <c r="AV118" s="62">
        <v>425</v>
      </c>
      <c r="AW118" s="56" t="s">
        <v>223</v>
      </c>
      <c r="AX118" s="56"/>
      <c r="AY118" s="62"/>
      <c r="AZ118" s="62">
        <v>15</v>
      </c>
      <c r="BB118" s="62" t="s">
        <v>173</v>
      </c>
    </row>
    <row r="119" spans="1:54" customFormat="1" ht="15" customHeight="1">
      <c r="A119" s="73" t="s">
        <v>136</v>
      </c>
      <c r="B119" s="73" t="s">
        <v>220</v>
      </c>
      <c r="C119" s="73" t="s">
        <v>224</v>
      </c>
      <c r="D119" s="105">
        <v>0</v>
      </c>
      <c r="E119" s="75"/>
      <c r="F119" s="146" t="s">
        <v>515</v>
      </c>
      <c r="G119" s="65">
        <v>200</v>
      </c>
      <c r="H119" s="65">
        <v>200</v>
      </c>
      <c r="I119" s="63">
        <v>18</v>
      </c>
      <c r="J119" s="63">
        <v>18</v>
      </c>
      <c r="K119" s="88">
        <f t="shared" si="38"/>
        <v>0.09</v>
      </c>
      <c r="L119" s="78">
        <v>0.1</v>
      </c>
      <c r="M119" s="78">
        <v>1</v>
      </c>
      <c r="N119" s="62"/>
      <c r="O119" s="62"/>
      <c r="P119" s="62"/>
      <c r="T119" s="56">
        <v>4.3</v>
      </c>
      <c r="U119" s="87">
        <f t="shared" si="39"/>
        <v>47.777777777777779</v>
      </c>
      <c r="V119" s="45"/>
      <c r="W119" s="45"/>
      <c r="X119" s="56">
        <v>5</v>
      </c>
      <c r="Y119" s="87">
        <f t="shared" si="40"/>
        <v>55.555555555555557</v>
      </c>
      <c r="Z119" s="108">
        <f t="shared" si="22"/>
        <v>1.1627906976744187</v>
      </c>
      <c r="AA119" s="81">
        <v>0.99999000000000005</v>
      </c>
      <c r="AB119" s="78"/>
      <c r="AC119" s="62" t="s">
        <v>190</v>
      </c>
      <c r="AD119" s="62"/>
      <c r="AE119" s="62">
        <v>-70</v>
      </c>
      <c r="AF119" s="62"/>
      <c r="AG119" s="62">
        <v>30</v>
      </c>
      <c r="AH119" s="62">
        <v>30</v>
      </c>
      <c r="AI119" s="62">
        <v>5</v>
      </c>
      <c r="AJ119" s="62">
        <v>40</v>
      </c>
      <c r="AK119" s="62"/>
      <c r="AL119" s="62"/>
      <c r="AM119" s="91" t="s">
        <v>225</v>
      </c>
      <c r="AN119" s="62"/>
      <c r="AO119" s="63">
        <v>0.9</v>
      </c>
      <c r="AP119" s="62"/>
      <c r="AQ119" s="62"/>
      <c r="AR119" s="62"/>
      <c r="AS119" s="62"/>
      <c r="AT119" s="62"/>
      <c r="AU119" s="62">
        <v>230</v>
      </c>
      <c r="AV119" s="62">
        <v>410</v>
      </c>
      <c r="AW119" s="56" t="s">
        <v>223</v>
      </c>
      <c r="AX119" s="56"/>
      <c r="AY119" s="62"/>
      <c r="AZ119" s="62">
        <v>15</v>
      </c>
      <c r="BB119" s="62" t="s">
        <v>173</v>
      </c>
    </row>
    <row r="120" spans="1:54" customFormat="1" ht="15" customHeight="1">
      <c r="A120" s="73" t="s">
        <v>136</v>
      </c>
      <c r="B120" s="73" t="s">
        <v>220</v>
      </c>
      <c r="C120" s="73" t="s">
        <v>226</v>
      </c>
      <c r="D120" s="105">
        <v>0</v>
      </c>
      <c r="E120" s="75"/>
      <c r="F120" s="146" t="s">
        <v>515</v>
      </c>
      <c r="G120" s="65">
        <v>1000</v>
      </c>
      <c r="H120" s="65">
        <v>1000</v>
      </c>
      <c r="I120" s="63">
        <v>90</v>
      </c>
      <c r="J120" s="63">
        <v>90</v>
      </c>
      <c r="K120" s="88">
        <f t="shared" si="38"/>
        <v>0.09</v>
      </c>
      <c r="L120" s="78">
        <v>0.1</v>
      </c>
      <c r="M120" s="78">
        <v>1</v>
      </c>
      <c r="N120" s="62"/>
      <c r="O120" s="62"/>
      <c r="P120" s="62"/>
      <c r="T120" s="56">
        <v>4.3</v>
      </c>
      <c r="U120" s="87">
        <f t="shared" si="39"/>
        <v>47.777777777777779</v>
      </c>
      <c r="V120" s="45"/>
      <c r="W120" s="45"/>
      <c r="X120" s="56">
        <v>5</v>
      </c>
      <c r="Y120" s="87">
        <f t="shared" si="40"/>
        <v>55.555555555555557</v>
      </c>
      <c r="Z120" s="108">
        <f t="shared" si="22"/>
        <v>1.1627906976744187</v>
      </c>
      <c r="AA120" s="81">
        <v>0.99999000000000005</v>
      </c>
      <c r="AB120" s="78"/>
      <c r="AC120" s="62" t="s">
        <v>190</v>
      </c>
      <c r="AD120" s="62"/>
      <c r="AE120" s="62">
        <v>-70</v>
      </c>
      <c r="AF120" s="62"/>
      <c r="AG120" s="62">
        <v>20</v>
      </c>
      <c r="AH120" s="62">
        <v>20</v>
      </c>
      <c r="AI120" s="62">
        <v>5</v>
      </c>
      <c r="AJ120" s="62">
        <v>40</v>
      </c>
      <c r="AK120" s="62"/>
      <c r="AL120" s="62"/>
      <c r="AM120" s="91" t="s">
        <v>225</v>
      </c>
      <c r="AN120" s="62"/>
      <c r="AO120" s="63">
        <v>0.9</v>
      </c>
      <c r="AP120" s="62"/>
      <c r="AQ120" s="62"/>
      <c r="AR120" s="62"/>
      <c r="AS120" s="62"/>
      <c r="AT120" s="62"/>
      <c r="AU120" s="62">
        <v>230</v>
      </c>
      <c r="AV120" s="62">
        <v>410</v>
      </c>
      <c r="AW120" s="56" t="s">
        <v>223</v>
      </c>
      <c r="AX120" s="56"/>
      <c r="AY120" s="62"/>
      <c r="AZ120" s="62">
        <v>15</v>
      </c>
      <c r="BB120" s="62" t="s">
        <v>173</v>
      </c>
    </row>
    <row r="121" spans="1:54" customFormat="1" ht="15" customHeight="1">
      <c r="A121" s="73" t="s">
        <v>136</v>
      </c>
      <c r="B121" s="73" t="s">
        <v>220</v>
      </c>
      <c r="C121" s="73" t="s">
        <v>227</v>
      </c>
      <c r="D121" s="105">
        <v>0</v>
      </c>
      <c r="E121" s="75"/>
      <c r="F121" s="146" t="s">
        <v>515</v>
      </c>
      <c r="G121" s="65">
        <v>2000</v>
      </c>
      <c r="H121" s="65">
        <v>2000</v>
      </c>
      <c r="I121" s="63">
        <v>180</v>
      </c>
      <c r="J121" s="63">
        <v>180</v>
      </c>
      <c r="K121" s="88">
        <f t="shared" si="38"/>
        <v>0.09</v>
      </c>
      <c r="L121" s="78">
        <v>0.1</v>
      </c>
      <c r="M121" s="78">
        <v>1</v>
      </c>
      <c r="N121" s="62"/>
      <c r="O121" s="62"/>
      <c r="P121" s="62"/>
      <c r="T121" s="56">
        <v>4.3</v>
      </c>
      <c r="U121" s="87">
        <f t="shared" si="39"/>
        <v>47.777777777777779</v>
      </c>
      <c r="V121" s="45"/>
      <c r="W121" s="45"/>
      <c r="X121" s="56">
        <v>5</v>
      </c>
      <c r="Y121" s="87">
        <f t="shared" si="40"/>
        <v>55.555555555555557</v>
      </c>
      <c r="Z121" s="108">
        <f t="shared" si="22"/>
        <v>1.1627906976744187</v>
      </c>
      <c r="AA121" s="81">
        <v>0.99999000000000005</v>
      </c>
      <c r="AB121" s="78"/>
      <c r="AC121" s="62" t="s">
        <v>190</v>
      </c>
      <c r="AD121" s="62"/>
      <c r="AE121" s="62">
        <v>-70</v>
      </c>
      <c r="AF121" s="62"/>
      <c r="AG121" s="62">
        <v>20</v>
      </c>
      <c r="AH121" s="62">
        <v>20</v>
      </c>
      <c r="AI121" s="62">
        <v>5</v>
      </c>
      <c r="AJ121" s="62">
        <v>40</v>
      </c>
      <c r="AK121" s="62"/>
      <c r="AL121" s="62"/>
      <c r="AM121" s="91" t="s">
        <v>225</v>
      </c>
      <c r="AN121" s="62"/>
      <c r="AO121" s="63">
        <v>0.9</v>
      </c>
      <c r="AP121" s="62"/>
      <c r="AQ121" s="62"/>
      <c r="AR121" s="62"/>
      <c r="AS121" s="62"/>
      <c r="AT121" s="62"/>
      <c r="AU121" s="62">
        <v>230</v>
      </c>
      <c r="AV121" s="62">
        <v>410</v>
      </c>
      <c r="AW121" s="56" t="s">
        <v>223</v>
      </c>
      <c r="AX121" s="56"/>
      <c r="AY121" s="62"/>
      <c r="AZ121" s="62">
        <v>15</v>
      </c>
      <c r="BB121" s="62" t="s">
        <v>173</v>
      </c>
    </row>
    <row r="122" spans="1:54" customFormat="1" ht="15" customHeight="1">
      <c r="A122" s="73" t="s">
        <v>136</v>
      </c>
      <c r="B122" s="73" t="s">
        <v>220</v>
      </c>
      <c r="C122" s="73" t="s">
        <v>228</v>
      </c>
      <c r="D122" s="105">
        <v>0</v>
      </c>
      <c r="E122" s="75"/>
      <c r="F122" s="146" t="s">
        <v>515</v>
      </c>
      <c r="G122" s="65">
        <v>20</v>
      </c>
      <c r="H122" s="65">
        <v>20</v>
      </c>
      <c r="I122" s="63">
        <v>1.8</v>
      </c>
      <c r="J122" s="63">
        <v>1.8</v>
      </c>
      <c r="K122" s="88">
        <f t="shared" si="38"/>
        <v>0.09</v>
      </c>
      <c r="L122" s="78">
        <v>0.1</v>
      </c>
      <c r="M122" s="78">
        <v>1</v>
      </c>
      <c r="N122" s="62"/>
      <c r="O122" s="62"/>
      <c r="P122" s="62"/>
      <c r="T122" s="56">
        <v>4.3</v>
      </c>
      <c r="U122" s="87">
        <f t="shared" si="39"/>
        <v>47.777777777777779</v>
      </c>
      <c r="V122" s="45"/>
      <c r="W122" s="45"/>
      <c r="X122" s="56">
        <v>5</v>
      </c>
      <c r="Y122" s="87">
        <f t="shared" si="40"/>
        <v>55.555555555555557</v>
      </c>
      <c r="Z122" s="108">
        <f t="shared" si="22"/>
        <v>1.1627906976744187</v>
      </c>
      <c r="AA122" s="81">
        <v>0.99999000000000005</v>
      </c>
      <c r="AB122" s="78"/>
      <c r="AC122" s="62" t="s">
        <v>190</v>
      </c>
      <c r="AD122" s="62"/>
      <c r="AE122" s="62">
        <v>-70</v>
      </c>
      <c r="AF122" s="62"/>
      <c r="AG122" s="62">
        <v>30</v>
      </c>
      <c r="AH122" s="62">
        <v>30</v>
      </c>
      <c r="AI122" s="62">
        <v>-40</v>
      </c>
      <c r="AJ122" s="62">
        <v>50</v>
      </c>
      <c r="AK122" s="62"/>
      <c r="AL122" s="62"/>
      <c r="AM122" s="91" t="s">
        <v>225</v>
      </c>
      <c r="AN122" s="62"/>
      <c r="AO122" s="63">
        <v>0.9</v>
      </c>
      <c r="AP122" s="62"/>
      <c r="AQ122" s="62"/>
      <c r="AR122" s="62"/>
      <c r="AS122" s="62"/>
      <c r="AT122" s="62"/>
      <c r="AU122" s="62">
        <v>390</v>
      </c>
      <c r="AV122" s="62">
        <v>410</v>
      </c>
      <c r="AW122" s="65">
        <v>3</v>
      </c>
      <c r="AX122" s="65"/>
      <c r="AY122" s="62"/>
      <c r="AZ122" s="62">
        <v>15</v>
      </c>
      <c r="BA122" s="4" t="s">
        <v>229</v>
      </c>
      <c r="BB122" s="62" t="s">
        <v>173</v>
      </c>
    </row>
    <row r="123" spans="1:54" customFormat="1" ht="15" customHeight="1">
      <c r="A123" s="73" t="s">
        <v>136</v>
      </c>
      <c r="B123" s="73" t="s">
        <v>220</v>
      </c>
      <c r="C123" s="73" t="s">
        <v>230</v>
      </c>
      <c r="D123" s="105">
        <v>0</v>
      </c>
      <c r="E123" s="75"/>
      <c r="F123" s="146" t="s">
        <v>515</v>
      </c>
      <c r="G123" s="65">
        <v>100</v>
      </c>
      <c r="H123" s="65">
        <v>100</v>
      </c>
      <c r="I123" s="63">
        <v>9</v>
      </c>
      <c r="J123" s="63">
        <v>9</v>
      </c>
      <c r="K123" s="88">
        <f t="shared" si="38"/>
        <v>0.09</v>
      </c>
      <c r="L123" s="78">
        <v>0.1</v>
      </c>
      <c r="M123" s="78">
        <v>1</v>
      </c>
      <c r="N123" s="62"/>
      <c r="O123" s="62"/>
      <c r="P123" s="62"/>
      <c r="T123" s="56">
        <v>4.3</v>
      </c>
      <c r="U123" s="87">
        <f t="shared" si="39"/>
        <v>47.777777777777779</v>
      </c>
      <c r="V123" s="45"/>
      <c r="W123" s="45"/>
      <c r="X123" s="56">
        <v>5</v>
      </c>
      <c r="Y123" s="87">
        <f t="shared" si="40"/>
        <v>55.555555555555557</v>
      </c>
      <c r="Z123" s="108">
        <f t="shared" si="22"/>
        <v>1.1627906976744187</v>
      </c>
      <c r="AA123" s="81">
        <v>0.99999000000000005</v>
      </c>
      <c r="AB123" s="78"/>
      <c r="AC123" s="62" t="s">
        <v>190</v>
      </c>
      <c r="AD123" s="62"/>
      <c r="AE123" s="62">
        <v>-70</v>
      </c>
      <c r="AF123" s="62"/>
      <c r="AG123" s="62">
        <v>30</v>
      </c>
      <c r="AH123" s="62">
        <v>30</v>
      </c>
      <c r="AI123" s="62">
        <v>-40</v>
      </c>
      <c r="AJ123" s="62">
        <v>50</v>
      </c>
      <c r="AK123" s="62"/>
      <c r="AL123" s="62"/>
      <c r="AM123" s="91" t="s">
        <v>225</v>
      </c>
      <c r="AN123" s="62"/>
      <c r="AO123" s="63">
        <v>0.9</v>
      </c>
      <c r="AP123" s="62"/>
      <c r="AQ123" s="62"/>
      <c r="AR123" s="62"/>
      <c r="AS123" s="62"/>
      <c r="AT123" s="62"/>
      <c r="AU123" s="62">
        <v>390</v>
      </c>
      <c r="AV123" s="62">
        <v>410</v>
      </c>
      <c r="AW123" s="65">
        <v>3</v>
      </c>
      <c r="AX123" s="65"/>
      <c r="AY123" s="62"/>
      <c r="AZ123" s="62">
        <v>15</v>
      </c>
      <c r="BB123" s="62" t="s">
        <v>173</v>
      </c>
    </row>
    <row r="124" spans="1:54" customFormat="1" ht="15" customHeight="1">
      <c r="A124" s="73" t="s">
        <v>136</v>
      </c>
      <c r="B124" s="73" t="s">
        <v>220</v>
      </c>
      <c r="C124" s="73" t="s">
        <v>231</v>
      </c>
      <c r="D124" s="105">
        <v>0</v>
      </c>
      <c r="E124" s="75"/>
      <c r="F124" s="146" t="s">
        <v>515</v>
      </c>
      <c r="G124" s="65">
        <v>1000</v>
      </c>
      <c r="H124" s="65">
        <v>1000</v>
      </c>
      <c r="I124" s="63">
        <v>90</v>
      </c>
      <c r="J124" s="63">
        <v>90</v>
      </c>
      <c r="K124" s="88">
        <f t="shared" si="38"/>
        <v>0.09</v>
      </c>
      <c r="L124" s="78">
        <v>0.1</v>
      </c>
      <c r="M124" s="78">
        <v>1</v>
      </c>
      <c r="N124" s="62"/>
      <c r="O124" s="62"/>
      <c r="P124" s="62"/>
      <c r="T124" s="56">
        <v>4.3</v>
      </c>
      <c r="U124" s="87">
        <f t="shared" si="39"/>
        <v>47.777777777777779</v>
      </c>
      <c r="V124" s="45"/>
      <c r="W124" s="45"/>
      <c r="X124" s="56">
        <v>5</v>
      </c>
      <c r="Y124" s="87">
        <f t="shared" si="40"/>
        <v>55.555555555555557</v>
      </c>
      <c r="Z124" s="108">
        <f t="shared" si="22"/>
        <v>1.1627906976744187</v>
      </c>
      <c r="AA124" s="81">
        <v>0.99999000000000005</v>
      </c>
      <c r="AB124" s="78"/>
      <c r="AC124" s="62" t="s">
        <v>190</v>
      </c>
      <c r="AD124" s="62"/>
      <c r="AE124" s="62">
        <v>-70</v>
      </c>
      <c r="AF124" s="62"/>
      <c r="AG124" s="62">
        <v>20</v>
      </c>
      <c r="AH124" s="62">
        <v>20</v>
      </c>
      <c r="AI124" s="62">
        <v>-40</v>
      </c>
      <c r="AJ124" s="62">
        <v>50</v>
      </c>
      <c r="AK124" s="62"/>
      <c r="AL124" s="62"/>
      <c r="AM124" s="91" t="s">
        <v>225</v>
      </c>
      <c r="AN124" s="62"/>
      <c r="AO124" s="63">
        <v>0.9</v>
      </c>
      <c r="AP124" s="62"/>
      <c r="AQ124" s="62"/>
      <c r="AR124" s="62"/>
      <c r="AS124" s="62"/>
      <c r="AT124" s="62"/>
      <c r="AU124" s="62">
        <v>390</v>
      </c>
      <c r="AV124" s="62">
        <v>410</v>
      </c>
      <c r="AW124" s="65">
        <v>3</v>
      </c>
      <c r="AX124" s="65"/>
      <c r="AY124" s="62"/>
      <c r="AZ124" s="62">
        <v>15</v>
      </c>
      <c r="BB124" s="62" t="s">
        <v>173</v>
      </c>
    </row>
    <row r="125" spans="1:54" customFormat="1" ht="15" customHeight="1">
      <c r="A125" s="73" t="s">
        <v>136</v>
      </c>
      <c r="B125" s="73" t="s">
        <v>220</v>
      </c>
      <c r="C125" s="73" t="s">
        <v>232</v>
      </c>
      <c r="D125" s="105">
        <v>0</v>
      </c>
      <c r="E125" s="75"/>
      <c r="F125" s="146" t="s">
        <v>515</v>
      </c>
      <c r="G125" s="65">
        <v>5</v>
      </c>
      <c r="H125" s="65">
        <v>5</v>
      </c>
      <c r="I125" s="63"/>
      <c r="J125" s="63"/>
      <c r="K125" s="52">
        <f>$C$2</f>
        <v>8.9899999999999994E-2</v>
      </c>
      <c r="L125" s="78">
        <v>0.5</v>
      </c>
      <c r="M125" s="78">
        <v>1</v>
      </c>
      <c r="N125" s="62"/>
      <c r="O125" s="62"/>
      <c r="P125" s="62"/>
      <c r="T125" s="56">
        <v>4.5</v>
      </c>
      <c r="U125" s="87">
        <f t="shared" si="39"/>
        <v>50.055617352614021</v>
      </c>
      <c r="V125" s="45"/>
      <c r="W125" s="45"/>
      <c r="X125" s="56">
        <v>5.2</v>
      </c>
      <c r="Y125" s="87">
        <f t="shared" si="40"/>
        <v>57.842046718576199</v>
      </c>
      <c r="Z125" s="108">
        <f t="shared" si="22"/>
        <v>1.1555555555555557</v>
      </c>
      <c r="AA125" s="81">
        <v>0.99999000000000005</v>
      </c>
      <c r="AB125" s="78"/>
      <c r="AC125" s="92"/>
      <c r="AD125" s="62"/>
      <c r="AE125" s="62">
        <v>-60</v>
      </c>
      <c r="AF125" s="62"/>
      <c r="AG125" s="62">
        <v>30</v>
      </c>
      <c r="AH125" s="62">
        <v>30</v>
      </c>
      <c r="AI125" s="62">
        <v>5</v>
      </c>
      <c r="AJ125" s="62">
        <v>40</v>
      </c>
      <c r="AK125" s="62"/>
      <c r="AL125" s="62"/>
      <c r="AM125" s="91" t="s">
        <v>225</v>
      </c>
      <c r="AN125" s="62"/>
      <c r="AO125" s="63">
        <v>0.9</v>
      </c>
      <c r="AP125" s="62"/>
      <c r="AQ125" s="62"/>
      <c r="AR125" s="62"/>
      <c r="AS125" s="62"/>
      <c r="AT125" s="62"/>
      <c r="AU125" s="62">
        <v>390</v>
      </c>
      <c r="AV125" s="62">
        <v>410</v>
      </c>
      <c r="AW125" s="65">
        <v>3</v>
      </c>
      <c r="AX125" s="65"/>
      <c r="AY125" s="62"/>
      <c r="AZ125" s="62">
        <v>15</v>
      </c>
      <c r="BA125" s="4" t="s">
        <v>233</v>
      </c>
      <c r="BB125" s="62" t="s">
        <v>173</v>
      </c>
    </row>
    <row r="126" spans="1:54" customFormat="1" ht="15" customHeight="1">
      <c r="A126" s="73" t="s">
        <v>136</v>
      </c>
      <c r="B126" s="73" t="s">
        <v>220</v>
      </c>
      <c r="C126" s="73" t="s">
        <v>234</v>
      </c>
      <c r="D126" s="105">
        <v>0</v>
      </c>
      <c r="E126" s="75"/>
      <c r="F126" s="146" t="s">
        <v>515</v>
      </c>
      <c r="G126" s="65">
        <v>10</v>
      </c>
      <c r="H126" s="65">
        <v>10</v>
      </c>
      <c r="I126" s="63"/>
      <c r="J126" s="63"/>
      <c r="K126" s="52">
        <f>$C$2</f>
        <v>8.9899999999999994E-2</v>
      </c>
      <c r="L126" s="78">
        <v>0.5</v>
      </c>
      <c r="M126" s="78">
        <v>1</v>
      </c>
      <c r="N126" s="62"/>
      <c r="O126" s="62"/>
      <c r="P126" s="62"/>
      <c r="T126" s="56">
        <v>4.5</v>
      </c>
      <c r="U126" s="87">
        <f t="shared" si="39"/>
        <v>50.055617352614021</v>
      </c>
      <c r="V126" s="45"/>
      <c r="W126" s="45"/>
      <c r="X126" s="56">
        <v>5.2</v>
      </c>
      <c r="Y126" s="87">
        <f t="shared" si="40"/>
        <v>57.842046718576199</v>
      </c>
      <c r="Z126" s="108">
        <f t="shared" si="22"/>
        <v>1.1555555555555557</v>
      </c>
      <c r="AA126" s="81">
        <v>0.99999000000000005</v>
      </c>
      <c r="AB126" s="78"/>
      <c r="AC126" s="62"/>
      <c r="AD126" s="62"/>
      <c r="AE126" s="62">
        <v>-60</v>
      </c>
      <c r="AF126" s="62"/>
      <c r="AG126" s="62">
        <v>30</v>
      </c>
      <c r="AH126" s="62">
        <v>30</v>
      </c>
      <c r="AI126" s="62">
        <v>5</v>
      </c>
      <c r="AJ126" s="62">
        <v>40</v>
      </c>
      <c r="AK126" s="62"/>
      <c r="AL126" s="62"/>
      <c r="AM126" s="91" t="s">
        <v>225</v>
      </c>
      <c r="AN126" s="62"/>
      <c r="AO126" s="63">
        <v>0.9</v>
      </c>
      <c r="AP126" s="62"/>
      <c r="AQ126" s="62"/>
      <c r="AR126" s="62"/>
      <c r="AS126" s="62"/>
      <c r="AT126" s="62"/>
      <c r="AU126" s="62">
        <v>390</v>
      </c>
      <c r="AV126" s="62">
        <v>410</v>
      </c>
      <c r="AW126" s="65">
        <v>3</v>
      </c>
      <c r="AX126" s="65"/>
      <c r="AY126" s="62"/>
      <c r="AZ126" s="62">
        <v>15</v>
      </c>
      <c r="BB126" s="62" t="s">
        <v>173</v>
      </c>
    </row>
    <row r="127" spans="1:54" customFormat="1" ht="15.75" customHeight="1">
      <c r="A127" s="73" t="s">
        <v>136</v>
      </c>
      <c r="B127" s="73" t="s">
        <v>220</v>
      </c>
      <c r="C127" s="73" t="s">
        <v>235</v>
      </c>
      <c r="D127" s="105">
        <v>0</v>
      </c>
      <c r="E127" s="75"/>
      <c r="F127" s="146" t="s">
        <v>515</v>
      </c>
      <c r="G127" s="65">
        <v>15</v>
      </c>
      <c r="H127" s="65">
        <v>15</v>
      </c>
      <c r="I127" s="63"/>
      <c r="J127" s="63"/>
      <c r="K127" s="52">
        <f>$C$2</f>
        <v>8.9899999999999994E-2</v>
      </c>
      <c r="L127" s="78">
        <v>0.5</v>
      </c>
      <c r="M127" s="78">
        <v>1</v>
      </c>
      <c r="N127" s="62"/>
      <c r="O127" s="62"/>
      <c r="P127" s="62"/>
      <c r="T127" s="56">
        <v>4.5</v>
      </c>
      <c r="U127" s="87">
        <f t="shared" si="39"/>
        <v>50.055617352614021</v>
      </c>
      <c r="V127" s="45"/>
      <c r="W127" s="45"/>
      <c r="X127" s="56">
        <v>5.2</v>
      </c>
      <c r="Y127" s="87">
        <f t="shared" si="40"/>
        <v>57.842046718576199</v>
      </c>
      <c r="Z127" s="108">
        <f t="shared" si="22"/>
        <v>1.1555555555555557</v>
      </c>
      <c r="AA127" s="81">
        <v>0.99999000000000005</v>
      </c>
      <c r="AB127" s="78"/>
      <c r="AC127" s="62"/>
      <c r="AD127" s="62"/>
      <c r="AE127" s="62">
        <v>-60</v>
      </c>
      <c r="AF127" s="62"/>
      <c r="AG127" s="62">
        <v>30</v>
      </c>
      <c r="AH127" s="62">
        <v>30</v>
      </c>
      <c r="AI127" s="62">
        <v>5</v>
      </c>
      <c r="AJ127" s="62">
        <v>40</v>
      </c>
      <c r="AK127" s="62"/>
      <c r="AL127" s="62"/>
      <c r="AM127" s="91" t="s">
        <v>225</v>
      </c>
      <c r="AN127" s="62"/>
      <c r="AO127" s="63">
        <v>0.9</v>
      </c>
      <c r="AP127" s="62"/>
      <c r="AQ127" s="62"/>
      <c r="AR127" s="62"/>
      <c r="AS127" s="62"/>
      <c r="AT127" s="62"/>
      <c r="AU127" s="62">
        <v>390</v>
      </c>
      <c r="AV127" s="62">
        <v>410</v>
      </c>
      <c r="AW127" s="65">
        <v>3</v>
      </c>
      <c r="AX127" s="65"/>
      <c r="AY127" s="62"/>
      <c r="AZ127" s="62">
        <v>15</v>
      </c>
      <c r="BB127" s="62" t="s">
        <v>173</v>
      </c>
    </row>
    <row r="128" spans="1:54" customFormat="1" ht="15" customHeight="1">
      <c r="A128" s="73" t="s">
        <v>236</v>
      </c>
      <c r="B128" s="73" t="s">
        <v>237</v>
      </c>
      <c r="C128" s="73" t="s">
        <v>238</v>
      </c>
      <c r="D128" s="105">
        <v>1</v>
      </c>
      <c r="E128" s="55" t="s">
        <v>5</v>
      </c>
      <c r="F128" s="146" t="s">
        <v>515</v>
      </c>
      <c r="G128" s="85">
        <v>0.5</v>
      </c>
      <c r="H128" s="85">
        <v>0.5</v>
      </c>
      <c r="I128" s="79">
        <f>1.0785/24</f>
        <v>4.4937499999999998E-2</v>
      </c>
      <c r="J128" s="79">
        <f>1.0785/24</f>
        <v>4.4937499999999998E-2</v>
      </c>
      <c r="K128" s="52">
        <f>J128/H128</f>
        <v>8.9874999999999997E-2</v>
      </c>
      <c r="L128" s="78" t="s">
        <v>312</v>
      </c>
      <c r="M128" s="78"/>
      <c r="N128" s="62"/>
      <c r="O128" s="62"/>
      <c r="P128" s="62"/>
      <c r="T128" s="98"/>
      <c r="U128" s="98"/>
      <c r="V128" s="56"/>
      <c r="W128" s="87"/>
      <c r="X128" s="56">
        <v>4.8</v>
      </c>
      <c r="Y128" s="87">
        <f>X128/K128</f>
        <v>53.407510431154378</v>
      </c>
      <c r="Z128" s="108" t="e">
        <f t="shared" si="22"/>
        <v>#DIV/0!</v>
      </c>
      <c r="AA128" s="76">
        <v>0.98799999999999999</v>
      </c>
      <c r="AB128" s="76">
        <v>0.999</v>
      </c>
      <c r="AC128" s="62" t="s">
        <v>153</v>
      </c>
      <c r="AD128" s="62" t="s">
        <v>313</v>
      </c>
      <c r="AE128" s="62" t="s">
        <v>312</v>
      </c>
      <c r="AF128" s="62"/>
      <c r="AG128" s="62">
        <v>8</v>
      </c>
      <c r="AH128" s="62">
        <v>35</v>
      </c>
      <c r="AI128" s="62">
        <v>5</v>
      </c>
      <c r="AJ128" s="62">
        <v>45</v>
      </c>
      <c r="AK128" s="62">
        <v>1</v>
      </c>
      <c r="AL128" s="62">
        <v>4</v>
      </c>
      <c r="AM128" s="91" t="s">
        <v>225</v>
      </c>
      <c r="AN128" s="91" t="s">
        <v>81</v>
      </c>
      <c r="AO128" s="63">
        <f>0.42/G128</f>
        <v>0.84</v>
      </c>
      <c r="AP128" s="62">
        <f>AO128/K128</f>
        <v>9.3463143254520169</v>
      </c>
      <c r="AQ128" s="62"/>
      <c r="AR128" s="62"/>
      <c r="AS128" s="62"/>
      <c r="AT128" s="62">
        <v>3</v>
      </c>
      <c r="AU128" s="62">
        <v>220</v>
      </c>
      <c r="AV128" s="62">
        <v>240</v>
      </c>
      <c r="AW128" s="65">
        <v>3</v>
      </c>
      <c r="AX128" s="56"/>
      <c r="AY128" s="62"/>
      <c r="AZ128" s="62"/>
      <c r="BA128" s="4" t="s">
        <v>239</v>
      </c>
      <c r="BB128" s="62" t="s">
        <v>173</v>
      </c>
    </row>
    <row r="129" spans="1:54" customFormat="1" ht="15" customHeight="1">
      <c r="A129" s="73" t="s">
        <v>236</v>
      </c>
      <c r="B129" s="73" t="s">
        <v>237</v>
      </c>
      <c r="C129" s="73" t="s">
        <v>240</v>
      </c>
      <c r="D129" s="105">
        <v>1</v>
      </c>
      <c r="E129" s="55" t="s">
        <v>5</v>
      </c>
      <c r="F129" s="146" t="s">
        <v>515</v>
      </c>
      <c r="G129" s="65">
        <v>25</v>
      </c>
      <c r="H129" s="65">
        <v>25</v>
      </c>
      <c r="I129" s="79">
        <f>53.9/24</f>
        <v>2.2458333333333331</v>
      </c>
      <c r="J129" s="79">
        <f>53.9/24</f>
        <v>2.2458333333333331</v>
      </c>
      <c r="K129" s="52">
        <f t="shared" ref="K129:K131" si="41">J129/H129</f>
        <v>8.9833333333333321E-2</v>
      </c>
      <c r="L129" s="78">
        <v>0.12</v>
      </c>
      <c r="M129" s="78">
        <v>1</v>
      </c>
      <c r="N129" s="62">
        <v>20</v>
      </c>
      <c r="O129" s="62">
        <v>100</v>
      </c>
      <c r="P129" s="62"/>
      <c r="T129" s="98"/>
      <c r="U129" s="98"/>
      <c r="V129" s="56"/>
      <c r="W129" s="87"/>
      <c r="X129" s="56">
        <v>4.8</v>
      </c>
      <c r="Y129" s="56">
        <v>53.3</v>
      </c>
      <c r="Z129" s="108" t="e">
        <f t="shared" si="22"/>
        <v>#DIV/0!</v>
      </c>
      <c r="AA129" s="86">
        <v>0.99950000000000006</v>
      </c>
      <c r="AB129" s="81">
        <v>0.99999000000000005</v>
      </c>
      <c r="AC129" s="62" t="s">
        <v>153</v>
      </c>
      <c r="AD129" s="62" t="s">
        <v>153</v>
      </c>
      <c r="AE129" s="62"/>
      <c r="AF129" s="62"/>
      <c r="AG129" s="62"/>
      <c r="AH129" s="62">
        <v>35</v>
      </c>
      <c r="AI129" s="62">
        <v>5</v>
      </c>
      <c r="AJ129" s="62">
        <v>55</v>
      </c>
      <c r="AK129" s="62">
        <v>1</v>
      </c>
      <c r="AL129" s="62">
        <v>4</v>
      </c>
      <c r="AM129" s="91" t="s">
        <v>225</v>
      </c>
      <c r="AN129" s="91" t="s">
        <v>81</v>
      </c>
      <c r="AO129" s="63">
        <f>23/G129</f>
        <v>0.92</v>
      </c>
      <c r="AP129" s="62">
        <f t="shared" ref="AP129:AP142" si="42">AO129/K129</f>
        <v>10.24118738404453</v>
      </c>
      <c r="AQ129" s="62"/>
      <c r="AR129" s="62"/>
      <c r="AS129" s="62"/>
      <c r="AT129" s="62">
        <v>3</v>
      </c>
      <c r="AU129" s="62">
        <v>400</v>
      </c>
      <c r="AV129" s="62">
        <v>400</v>
      </c>
      <c r="AW129" s="65">
        <v>3</v>
      </c>
      <c r="AX129" s="65"/>
      <c r="AY129" s="62"/>
      <c r="AZ129" s="62"/>
      <c r="BA129" s="4" t="s">
        <v>241</v>
      </c>
      <c r="BB129" s="62" t="s">
        <v>173</v>
      </c>
    </row>
    <row r="130" spans="1:54" customFormat="1" ht="15" customHeight="1">
      <c r="A130" s="73" t="s">
        <v>236</v>
      </c>
      <c r="B130" s="73" t="s">
        <v>237</v>
      </c>
      <c r="C130" s="73" t="s">
        <v>242</v>
      </c>
      <c r="D130" s="105">
        <v>1</v>
      </c>
      <c r="E130" s="55" t="s">
        <v>5</v>
      </c>
      <c r="F130" s="146" t="s">
        <v>515</v>
      </c>
      <c r="G130" s="65">
        <v>105</v>
      </c>
      <c r="H130" s="65">
        <v>105</v>
      </c>
      <c r="I130" s="79">
        <f>226.5/24</f>
        <v>9.4375</v>
      </c>
      <c r="J130" s="79">
        <f>226.5/24</f>
        <v>9.4375</v>
      </c>
      <c r="K130" s="52">
        <f t="shared" si="41"/>
        <v>8.9880952380952381E-2</v>
      </c>
      <c r="L130" s="78">
        <v>0.03</v>
      </c>
      <c r="M130" s="78">
        <v>1</v>
      </c>
      <c r="N130" s="62">
        <v>20</v>
      </c>
      <c r="O130" s="62">
        <v>100</v>
      </c>
      <c r="P130" s="62"/>
      <c r="T130" s="98"/>
      <c r="U130" s="98"/>
      <c r="V130" s="56"/>
      <c r="W130" s="87"/>
      <c r="X130" s="56">
        <v>4.8</v>
      </c>
      <c r="Y130" s="56">
        <v>53.3</v>
      </c>
      <c r="Z130" s="108" t="e">
        <f t="shared" si="22"/>
        <v>#DIV/0!</v>
      </c>
      <c r="AA130" s="86">
        <v>0.99950000000000006</v>
      </c>
      <c r="AB130" s="81">
        <v>0.99999000000000005</v>
      </c>
      <c r="AC130" s="62" t="s">
        <v>153</v>
      </c>
      <c r="AD130" s="62" t="s">
        <v>153</v>
      </c>
      <c r="AE130" s="62"/>
      <c r="AF130" s="62"/>
      <c r="AG130" s="62"/>
      <c r="AH130" s="62">
        <v>35</v>
      </c>
      <c r="AI130" s="62">
        <v>5</v>
      </c>
      <c r="AJ130" s="62">
        <v>55</v>
      </c>
      <c r="AK130" s="62">
        <v>1</v>
      </c>
      <c r="AL130" s="62">
        <v>4</v>
      </c>
      <c r="AM130" s="91" t="s">
        <v>225</v>
      </c>
      <c r="AN130" s="91" t="s">
        <v>81</v>
      </c>
      <c r="AO130" s="63">
        <f>95/G130</f>
        <v>0.90476190476190477</v>
      </c>
      <c r="AP130" s="62">
        <f t="shared" si="42"/>
        <v>10.066225165562914</v>
      </c>
      <c r="AQ130" s="62"/>
      <c r="AR130" s="62"/>
      <c r="AS130" s="62"/>
      <c r="AT130" s="62">
        <v>3</v>
      </c>
      <c r="AU130" s="62">
        <v>400</v>
      </c>
      <c r="AV130" s="62">
        <v>400</v>
      </c>
      <c r="AW130" s="65">
        <v>3</v>
      </c>
      <c r="AX130" s="65"/>
      <c r="AY130" s="62"/>
      <c r="AZ130" s="62"/>
      <c r="BA130" s="4" t="s">
        <v>241</v>
      </c>
      <c r="BB130" s="62" t="s">
        <v>173</v>
      </c>
    </row>
    <row r="131" spans="1:54" customFormat="1" ht="15" customHeight="1">
      <c r="A131" s="73" t="s">
        <v>236</v>
      </c>
      <c r="B131" s="73" t="s">
        <v>237</v>
      </c>
      <c r="C131" s="73" t="s">
        <v>243</v>
      </c>
      <c r="D131" s="105">
        <v>1</v>
      </c>
      <c r="E131" s="55" t="s">
        <v>5</v>
      </c>
      <c r="F131" s="146" t="s">
        <v>515</v>
      </c>
      <c r="G131" s="65">
        <v>210</v>
      </c>
      <c r="H131" s="65">
        <v>210</v>
      </c>
      <c r="I131" s="79">
        <f>453/24</f>
        <v>18.875</v>
      </c>
      <c r="J131" s="79">
        <f>453/24</f>
        <v>18.875</v>
      </c>
      <c r="K131" s="52">
        <f t="shared" si="41"/>
        <v>8.9880952380952381E-2</v>
      </c>
      <c r="L131" s="78">
        <v>0.03</v>
      </c>
      <c r="M131" s="78">
        <v>1</v>
      </c>
      <c r="N131" s="62">
        <v>20</v>
      </c>
      <c r="O131" s="62">
        <v>100</v>
      </c>
      <c r="P131" s="62"/>
      <c r="T131" s="98"/>
      <c r="U131" s="98"/>
      <c r="V131" s="56"/>
      <c r="W131" s="87"/>
      <c r="X131" s="56">
        <v>4.8</v>
      </c>
      <c r="Y131" s="56">
        <v>53.3</v>
      </c>
      <c r="Z131" s="108" t="e">
        <f t="shared" si="22"/>
        <v>#DIV/0!</v>
      </c>
      <c r="AA131" s="86">
        <v>0.99950000000000006</v>
      </c>
      <c r="AB131" s="81">
        <v>0.99999000000000005</v>
      </c>
      <c r="AC131" s="62" t="s">
        <v>153</v>
      </c>
      <c r="AD131" s="62" t="s">
        <v>153</v>
      </c>
      <c r="AE131" s="62"/>
      <c r="AF131" s="62"/>
      <c r="AG131" s="62"/>
      <c r="AH131" s="62">
        <v>35</v>
      </c>
      <c r="AI131" s="62">
        <v>5</v>
      </c>
      <c r="AJ131" s="62">
        <v>55</v>
      </c>
      <c r="AK131" s="62">
        <v>1</v>
      </c>
      <c r="AL131" s="62">
        <v>4</v>
      </c>
      <c r="AM131" s="91" t="s">
        <v>225</v>
      </c>
      <c r="AN131" s="91" t="s">
        <v>81</v>
      </c>
      <c r="AO131" s="63">
        <f>190/G131</f>
        <v>0.90476190476190477</v>
      </c>
      <c r="AP131" s="62">
        <f t="shared" si="42"/>
        <v>10.066225165562914</v>
      </c>
      <c r="AQ131" s="62"/>
      <c r="AR131" s="62"/>
      <c r="AS131" s="62"/>
      <c r="AT131" s="62">
        <v>3</v>
      </c>
      <c r="AU131" s="62">
        <v>400</v>
      </c>
      <c r="AV131" s="62">
        <v>400</v>
      </c>
      <c r="AW131" s="65">
        <v>3</v>
      </c>
      <c r="AX131" s="65"/>
      <c r="AY131" s="62"/>
      <c r="AZ131" s="62"/>
      <c r="BA131" s="4" t="s">
        <v>241</v>
      </c>
      <c r="BB131" s="62" t="s">
        <v>173</v>
      </c>
    </row>
    <row r="132" spans="1:54" customFormat="1" ht="15" customHeight="1">
      <c r="A132" s="73" t="s">
        <v>236</v>
      </c>
      <c r="B132" s="73" t="s">
        <v>244</v>
      </c>
      <c r="C132" s="73" t="s">
        <v>245</v>
      </c>
      <c r="D132" s="105">
        <v>1</v>
      </c>
      <c r="E132" s="55" t="s">
        <v>5</v>
      </c>
      <c r="F132" s="146" t="s">
        <v>520</v>
      </c>
      <c r="G132" s="65"/>
      <c r="H132" s="65"/>
      <c r="I132" s="63"/>
      <c r="J132" s="63"/>
      <c r="K132" s="52">
        <v>8.9899999999999994E-2</v>
      </c>
      <c r="L132" s="78"/>
      <c r="M132" s="78"/>
      <c r="N132" s="62"/>
      <c r="O132" s="62"/>
      <c r="P132" s="62"/>
      <c r="T132" s="56">
        <f>U132*K132</f>
        <v>3.7757999999999998</v>
      </c>
      <c r="U132" s="56">
        <v>42</v>
      </c>
      <c r="V132" s="56">
        <f>W132*K132</f>
        <v>4.0454999999999997</v>
      </c>
      <c r="W132" s="56">
        <v>45</v>
      </c>
      <c r="X132" s="126"/>
      <c r="Y132" s="126"/>
      <c r="Z132" s="108">
        <f t="shared" si="22"/>
        <v>0</v>
      </c>
      <c r="AA132" s="81">
        <v>0.99999000000000005</v>
      </c>
      <c r="AB132" s="81">
        <v>0.99999000000000005</v>
      </c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91"/>
      <c r="AN132" s="62"/>
      <c r="AO132" s="63"/>
      <c r="AP132" s="62"/>
      <c r="AQ132" s="62"/>
      <c r="AR132" s="62"/>
      <c r="AS132" s="62"/>
      <c r="AT132" s="62"/>
      <c r="AU132" s="62"/>
      <c r="AV132" s="62"/>
      <c r="AW132" s="65"/>
      <c r="AX132" s="65"/>
      <c r="AY132" s="62"/>
      <c r="AZ132" s="62">
        <v>10</v>
      </c>
      <c r="BA132" s="4" t="s">
        <v>246</v>
      </c>
      <c r="BB132" s="62" t="s">
        <v>247</v>
      </c>
    </row>
    <row r="133" spans="1:54" customFormat="1" ht="15" customHeight="1">
      <c r="A133" s="73" t="s">
        <v>75</v>
      </c>
      <c r="B133" s="73" t="s">
        <v>248</v>
      </c>
      <c r="C133" s="73" t="s">
        <v>249</v>
      </c>
      <c r="D133" s="105">
        <v>1</v>
      </c>
      <c r="E133" s="55" t="s">
        <v>5</v>
      </c>
      <c r="F133" s="146" t="s">
        <v>515</v>
      </c>
      <c r="G133" s="65">
        <v>1224</v>
      </c>
      <c r="H133" s="65">
        <v>1224</v>
      </c>
      <c r="I133" s="63">
        <v>110</v>
      </c>
      <c r="J133" s="63">
        <v>110</v>
      </c>
      <c r="K133" s="88">
        <f>J133/H133</f>
        <v>8.9869281045751634E-2</v>
      </c>
      <c r="L133" s="78">
        <v>0.25</v>
      </c>
      <c r="M133" s="78">
        <v>1</v>
      </c>
      <c r="N133" s="62" t="s">
        <v>153</v>
      </c>
      <c r="O133" s="62" t="s">
        <v>194</v>
      </c>
      <c r="P133" s="62"/>
      <c r="S133" s="70">
        <v>0.77</v>
      </c>
      <c r="T133" s="56">
        <v>4.1900000000000004</v>
      </c>
      <c r="U133" s="56">
        <v>46.6</v>
      </c>
      <c r="V133" s="56">
        <v>4.1900000000000004</v>
      </c>
      <c r="W133" s="56">
        <v>46.6</v>
      </c>
      <c r="X133" s="56">
        <v>4.58</v>
      </c>
      <c r="Y133" s="56">
        <v>51</v>
      </c>
      <c r="Z133" s="108">
        <f t="shared" si="22"/>
        <v>1.0930787589498805</v>
      </c>
      <c r="AA133" s="86">
        <v>0.99970000000000003</v>
      </c>
      <c r="AB133" s="81"/>
      <c r="AC133" s="62"/>
      <c r="AD133" s="62"/>
      <c r="AE133" s="62"/>
      <c r="AF133" s="62"/>
      <c r="AG133" s="62"/>
      <c r="AH133" s="62"/>
      <c r="AI133" s="62">
        <v>-20</v>
      </c>
      <c r="AJ133" s="62">
        <v>40</v>
      </c>
      <c r="AK133" s="62">
        <v>3.5</v>
      </c>
      <c r="AL133" s="62">
        <v>3.5</v>
      </c>
      <c r="AM133" s="99"/>
      <c r="AN133" s="62"/>
      <c r="AO133" s="63"/>
      <c r="AP133" s="62"/>
      <c r="AQ133" s="62"/>
      <c r="AR133" s="62"/>
      <c r="AS133" s="62"/>
      <c r="AT133" s="62"/>
      <c r="AU133" s="62"/>
      <c r="AV133" s="62"/>
      <c r="AW133" s="65"/>
      <c r="AX133" s="65"/>
      <c r="AY133" s="62"/>
      <c r="AZ133" s="62"/>
      <c r="BA133" s="4" t="s">
        <v>250</v>
      </c>
      <c r="BB133" s="62" t="s">
        <v>173</v>
      </c>
    </row>
    <row r="134" spans="1:54" customFormat="1" ht="15" customHeight="1">
      <c r="A134" s="73" t="s">
        <v>75</v>
      </c>
      <c r="B134" s="73" t="s">
        <v>248</v>
      </c>
      <c r="C134" s="73" t="s">
        <v>251</v>
      </c>
      <c r="D134" s="105">
        <v>1</v>
      </c>
      <c r="E134" s="55" t="s">
        <v>5</v>
      </c>
      <c r="F134" s="146" t="s">
        <v>515</v>
      </c>
      <c r="G134" s="65">
        <v>612</v>
      </c>
      <c r="H134" s="65">
        <v>612</v>
      </c>
      <c r="I134" s="63">
        <v>55</v>
      </c>
      <c r="J134" s="63">
        <v>55</v>
      </c>
      <c r="K134" s="88">
        <f>J134/H134</f>
        <v>8.9869281045751634E-2</v>
      </c>
      <c r="L134" s="78">
        <v>0.15</v>
      </c>
      <c r="M134" s="78">
        <v>1</v>
      </c>
      <c r="N134" s="62" t="s">
        <v>153</v>
      </c>
      <c r="O134" s="62" t="s">
        <v>194</v>
      </c>
      <c r="P134" s="62"/>
      <c r="S134" s="70">
        <v>0.73</v>
      </c>
      <c r="T134" s="56">
        <v>4.45</v>
      </c>
      <c r="U134" s="56">
        <v>49.6</v>
      </c>
      <c r="V134" s="56">
        <v>4.45</v>
      </c>
      <c r="W134" s="56">
        <v>49.6</v>
      </c>
      <c r="X134" s="56">
        <v>4.8499999999999996</v>
      </c>
      <c r="Y134" s="56">
        <v>54</v>
      </c>
      <c r="Z134" s="108">
        <f t="shared" si="22"/>
        <v>1.089887640449438</v>
      </c>
      <c r="AA134" s="86">
        <v>0.99970000000000003</v>
      </c>
      <c r="AB134" s="81"/>
      <c r="AC134" s="62"/>
      <c r="AD134" s="62"/>
      <c r="AE134" s="62"/>
      <c r="AF134" s="62"/>
      <c r="AH134" s="62"/>
      <c r="AI134" s="62">
        <v>-20</v>
      </c>
      <c r="AJ134" s="62">
        <v>40</v>
      </c>
      <c r="AK134" s="62">
        <v>3.5</v>
      </c>
      <c r="AL134" s="62">
        <v>3.5</v>
      </c>
      <c r="AM134" s="91"/>
      <c r="AN134" s="62"/>
      <c r="AO134" s="63"/>
      <c r="AP134" s="62"/>
      <c r="AQ134" s="62"/>
      <c r="AR134" s="62"/>
      <c r="AS134" s="62"/>
      <c r="AT134" s="62"/>
      <c r="AU134" s="62"/>
      <c r="AV134" s="62"/>
      <c r="AW134" s="65"/>
      <c r="AX134" s="65"/>
      <c r="AY134" s="62"/>
      <c r="AZ134" s="62"/>
      <c r="BA134" s="4"/>
      <c r="BB134" s="62" t="s">
        <v>173</v>
      </c>
    </row>
    <row r="135" spans="1:54" customFormat="1" ht="15" customHeight="1">
      <c r="A135" s="73" t="s">
        <v>75</v>
      </c>
      <c r="B135" s="73" t="s">
        <v>248</v>
      </c>
      <c r="C135" s="73" t="s">
        <v>251</v>
      </c>
      <c r="D135" s="105">
        <v>1</v>
      </c>
      <c r="E135" s="55" t="s">
        <v>5</v>
      </c>
      <c r="F135" s="146" t="s">
        <v>515</v>
      </c>
      <c r="G135" s="65">
        <v>1224</v>
      </c>
      <c r="H135" s="65">
        <v>1224</v>
      </c>
      <c r="I135" s="63">
        <v>110</v>
      </c>
      <c r="J135" s="63">
        <v>110</v>
      </c>
      <c r="K135" s="88">
        <f>J135/H135</f>
        <v>8.9869281045751634E-2</v>
      </c>
      <c r="L135" s="78">
        <v>0.15</v>
      </c>
      <c r="M135" s="78">
        <v>1</v>
      </c>
      <c r="N135" s="62" t="s">
        <v>153</v>
      </c>
      <c r="O135" s="62" t="s">
        <v>194</v>
      </c>
      <c r="P135" s="62"/>
      <c r="S135" s="70">
        <v>0.73</v>
      </c>
      <c r="T135" s="56">
        <v>4.45</v>
      </c>
      <c r="U135" s="56">
        <v>49.6</v>
      </c>
      <c r="V135" s="56">
        <v>4.45</v>
      </c>
      <c r="W135" s="56">
        <v>49.6</v>
      </c>
      <c r="X135" s="56">
        <v>4.8499999999999996</v>
      </c>
      <c r="Y135" s="56">
        <v>54</v>
      </c>
      <c r="Z135" s="108">
        <f t="shared" si="22"/>
        <v>1.089887640449438</v>
      </c>
      <c r="AA135" s="86">
        <v>0.99970000000000003</v>
      </c>
      <c r="AB135" s="81"/>
      <c r="AC135" s="62"/>
      <c r="AD135" s="62"/>
      <c r="AE135" s="62"/>
      <c r="AF135" s="62"/>
      <c r="AG135" s="62"/>
      <c r="AH135" s="62"/>
      <c r="AI135" s="62">
        <v>-20</v>
      </c>
      <c r="AJ135" s="62">
        <v>40</v>
      </c>
      <c r="AK135" s="62">
        <v>3.5</v>
      </c>
      <c r="AL135" s="62">
        <v>3.5</v>
      </c>
      <c r="AM135" s="91"/>
      <c r="AN135" s="62"/>
      <c r="AO135" s="63"/>
      <c r="AP135" s="62"/>
      <c r="AQ135" s="62"/>
      <c r="AR135" s="62"/>
      <c r="AS135" s="62"/>
      <c r="AT135" s="62"/>
      <c r="AU135" s="62"/>
      <c r="AV135" s="62"/>
      <c r="AW135" s="65"/>
      <c r="AX135" s="65"/>
      <c r="AY135" s="62"/>
      <c r="AZ135" s="62"/>
      <c r="BA135" s="4"/>
      <c r="BB135" s="62" t="s">
        <v>173</v>
      </c>
    </row>
    <row r="136" spans="1:54" customFormat="1" ht="15" customHeight="1">
      <c r="A136" s="73" t="s">
        <v>75</v>
      </c>
      <c r="B136" s="73" t="s">
        <v>252</v>
      </c>
      <c r="C136" s="73" t="s">
        <v>253</v>
      </c>
      <c r="D136" s="105">
        <v>1</v>
      </c>
      <c r="E136" s="55" t="s">
        <v>5</v>
      </c>
      <c r="F136" s="146" t="s">
        <v>515</v>
      </c>
      <c r="G136" s="65">
        <v>500</v>
      </c>
      <c r="H136" s="65">
        <v>500</v>
      </c>
      <c r="I136" s="90">
        <f>G136*K136</f>
        <v>44.949999999999996</v>
      </c>
      <c r="J136" s="90">
        <f>H136*K136</f>
        <v>44.949999999999996</v>
      </c>
      <c r="K136" s="52">
        <f>$C$2</f>
        <v>8.9899999999999994E-2</v>
      </c>
      <c r="L136" s="78">
        <v>0.05</v>
      </c>
      <c r="M136" s="78">
        <v>1</v>
      </c>
      <c r="N136" s="62"/>
      <c r="O136" s="62"/>
      <c r="P136" s="62"/>
      <c r="T136" s="56">
        <v>4.4000000000000004</v>
      </c>
      <c r="U136" s="87">
        <f>T136/K136</f>
        <v>48.943270300333708</v>
      </c>
      <c r="V136" s="56">
        <v>4.4000000000000004</v>
      </c>
      <c r="W136" s="87">
        <f>V136/K136</f>
        <v>48.943270300333708</v>
      </c>
      <c r="X136" s="56">
        <v>4.9000000000000004</v>
      </c>
      <c r="Y136" s="87">
        <f>X136/K136</f>
        <v>54.505005561735267</v>
      </c>
      <c r="Z136" s="108">
        <f t="shared" si="22"/>
        <v>1.1136363636363635</v>
      </c>
      <c r="AA136" s="76">
        <v>0.999</v>
      </c>
      <c r="AB136" s="81">
        <v>0.99999000000000005</v>
      </c>
      <c r="AC136" s="62"/>
      <c r="AD136" s="62"/>
      <c r="AE136" s="62"/>
      <c r="AF136" s="62"/>
      <c r="AG136" s="62">
        <v>30</v>
      </c>
      <c r="AH136" s="62">
        <v>30</v>
      </c>
      <c r="AI136" s="62">
        <v>5</v>
      </c>
      <c r="AJ136" s="62">
        <v>35</v>
      </c>
      <c r="AK136" s="62">
        <v>2</v>
      </c>
      <c r="AL136" s="62">
        <v>6</v>
      </c>
      <c r="AM136" s="91"/>
      <c r="AN136" s="91"/>
      <c r="AO136" s="90">
        <f>1000/G136</f>
        <v>2</v>
      </c>
      <c r="AP136" s="62">
        <f t="shared" si="42"/>
        <v>22.246941045606231</v>
      </c>
      <c r="AQ136" s="62"/>
      <c r="AR136" s="62"/>
      <c r="AS136" s="62"/>
      <c r="AT136" s="62">
        <v>3200</v>
      </c>
      <c r="AU136" s="62">
        <v>400</v>
      </c>
      <c r="AV136" s="62">
        <v>400</v>
      </c>
      <c r="AW136" s="65"/>
      <c r="AX136" s="65"/>
      <c r="AY136" s="62"/>
      <c r="AZ136" s="62"/>
      <c r="BA136" s="4" t="s">
        <v>254</v>
      </c>
      <c r="BB136" s="62" t="s">
        <v>173</v>
      </c>
    </row>
    <row r="137" spans="1:54" customFormat="1" ht="15" customHeight="1">
      <c r="A137" s="73" t="s">
        <v>75</v>
      </c>
      <c r="B137" s="73" t="s">
        <v>252</v>
      </c>
      <c r="C137" s="73" t="s">
        <v>255</v>
      </c>
      <c r="D137" s="105">
        <v>1</v>
      </c>
      <c r="E137" s="55" t="s">
        <v>5</v>
      </c>
      <c r="F137" s="146" t="s">
        <v>515</v>
      </c>
      <c r="G137" s="65">
        <v>1000</v>
      </c>
      <c r="H137" s="65">
        <v>1000</v>
      </c>
      <c r="I137" s="90">
        <f>G137*K137</f>
        <v>89.899999999999991</v>
      </c>
      <c r="J137" s="90">
        <f>H137*K137</f>
        <v>89.899999999999991</v>
      </c>
      <c r="K137" s="52">
        <f>$C$2</f>
        <v>8.9899999999999994E-2</v>
      </c>
      <c r="L137" s="78">
        <v>0.05</v>
      </c>
      <c r="M137" s="78">
        <v>1</v>
      </c>
      <c r="N137" s="62"/>
      <c r="O137" s="62"/>
      <c r="P137" s="62"/>
      <c r="T137" s="56">
        <v>4.4000000000000004</v>
      </c>
      <c r="U137" s="87">
        <f>T137/K137</f>
        <v>48.943270300333708</v>
      </c>
      <c r="V137" s="56">
        <v>4.4000000000000004</v>
      </c>
      <c r="W137" s="87">
        <f>V137/K137</f>
        <v>48.943270300333708</v>
      </c>
      <c r="X137" s="56">
        <v>4.8499999999999996</v>
      </c>
      <c r="Y137" s="87">
        <f>X137/K137</f>
        <v>53.948832035595103</v>
      </c>
      <c r="Z137" s="108">
        <f t="shared" si="22"/>
        <v>1.1022727272727271</v>
      </c>
      <c r="AA137" s="76">
        <v>0.999</v>
      </c>
      <c r="AB137" s="81">
        <v>0.99999000000000005</v>
      </c>
      <c r="AC137" s="62"/>
      <c r="AD137" s="62"/>
      <c r="AE137" s="62"/>
      <c r="AF137" s="62"/>
      <c r="AG137" s="62">
        <v>30</v>
      </c>
      <c r="AH137" s="62">
        <v>30</v>
      </c>
      <c r="AI137" s="62">
        <v>5</v>
      </c>
      <c r="AJ137" s="62">
        <v>35</v>
      </c>
      <c r="AK137" s="62">
        <v>2</v>
      </c>
      <c r="AL137" s="62">
        <v>6</v>
      </c>
      <c r="AM137" s="91"/>
      <c r="AN137" s="91"/>
      <c r="AO137" s="90">
        <f>2000/G137</f>
        <v>2</v>
      </c>
      <c r="AP137" s="62">
        <f t="shared" si="42"/>
        <v>22.246941045606231</v>
      </c>
      <c r="AQ137" s="62"/>
      <c r="AR137" s="62"/>
      <c r="AS137" s="62"/>
      <c r="AT137" s="62">
        <v>3200</v>
      </c>
      <c r="AU137" s="62">
        <v>400</v>
      </c>
      <c r="AV137" s="62">
        <v>400</v>
      </c>
      <c r="AW137" s="65"/>
      <c r="AX137" s="65"/>
      <c r="AY137" s="62"/>
      <c r="AZ137" s="62"/>
      <c r="BA137" s="4" t="s">
        <v>254</v>
      </c>
      <c r="BB137" s="62" t="s">
        <v>173</v>
      </c>
    </row>
    <row r="138" spans="1:54" customFormat="1" ht="15" customHeight="1">
      <c r="A138" s="73" t="s">
        <v>75</v>
      </c>
      <c r="B138" s="73" t="s">
        <v>252</v>
      </c>
      <c r="C138" s="73" t="s">
        <v>256</v>
      </c>
      <c r="D138" s="105">
        <v>1</v>
      </c>
      <c r="E138" s="55" t="s">
        <v>5</v>
      </c>
      <c r="F138" s="146" t="s">
        <v>515</v>
      </c>
      <c r="G138" s="65"/>
      <c r="H138" s="65">
        <v>4000</v>
      </c>
      <c r="I138" s="90"/>
      <c r="J138" s="90">
        <f>H138*K138</f>
        <v>359.59999999999997</v>
      </c>
      <c r="K138" s="52">
        <f>$C$2</f>
        <v>8.9899999999999994E-2</v>
      </c>
      <c r="L138" s="78">
        <v>0.05</v>
      </c>
      <c r="M138" s="78">
        <v>1</v>
      </c>
      <c r="N138" s="62"/>
      <c r="O138" s="62"/>
      <c r="P138" s="62"/>
      <c r="T138" s="56">
        <v>4.4000000000000004</v>
      </c>
      <c r="U138" s="87">
        <f>T138/K138</f>
        <v>48.943270300333708</v>
      </c>
      <c r="V138" s="56">
        <v>4.4000000000000004</v>
      </c>
      <c r="W138" s="87">
        <f>V138/K138</f>
        <v>48.943270300333708</v>
      </c>
      <c r="X138" s="56">
        <v>4.8499999999999996</v>
      </c>
      <c r="Y138" s="87">
        <f>X138/K138</f>
        <v>53.948832035595103</v>
      </c>
      <c r="Z138" s="108">
        <f t="shared" si="22"/>
        <v>1.1022727272727271</v>
      </c>
      <c r="AA138" s="76">
        <v>0.999</v>
      </c>
      <c r="AB138" s="81">
        <v>0.99999000000000005</v>
      </c>
      <c r="AC138" s="62"/>
      <c r="AD138" s="62"/>
      <c r="AE138" s="62"/>
      <c r="AF138" s="62"/>
      <c r="AG138" s="62">
        <v>30</v>
      </c>
      <c r="AH138" s="62">
        <v>30</v>
      </c>
      <c r="AI138" s="62">
        <v>5</v>
      </c>
      <c r="AJ138" s="62">
        <v>35</v>
      </c>
      <c r="AK138" s="62">
        <v>2</v>
      </c>
      <c r="AL138" s="62">
        <v>6</v>
      </c>
      <c r="AM138" s="91"/>
      <c r="AN138" s="91"/>
      <c r="AO138" s="90">
        <f>8000/H138</f>
        <v>2</v>
      </c>
      <c r="AP138" s="62">
        <f t="shared" si="42"/>
        <v>22.246941045606231</v>
      </c>
      <c r="AQ138" s="62"/>
      <c r="AR138" s="62"/>
      <c r="AS138" s="62"/>
      <c r="AT138" s="62">
        <v>3200</v>
      </c>
      <c r="AU138" s="62">
        <v>400</v>
      </c>
      <c r="AV138" s="62">
        <v>400</v>
      </c>
      <c r="AW138" s="65"/>
      <c r="AX138" s="65"/>
      <c r="AY138" s="62"/>
      <c r="AZ138" s="62"/>
      <c r="BA138" s="4" t="s">
        <v>254</v>
      </c>
      <c r="BB138" s="62" t="s">
        <v>173</v>
      </c>
    </row>
    <row r="139" spans="1:54" customFormat="1" ht="15" customHeight="1">
      <c r="A139" s="73" t="s">
        <v>75</v>
      </c>
      <c r="B139" s="73" t="s">
        <v>257</v>
      </c>
      <c r="C139" s="73" t="s">
        <v>258</v>
      </c>
      <c r="D139" s="105">
        <v>1</v>
      </c>
      <c r="E139" s="55" t="s">
        <v>5</v>
      </c>
      <c r="F139" s="146" t="s">
        <v>515</v>
      </c>
      <c r="G139" s="65">
        <v>6.0000000000000001E-3</v>
      </c>
      <c r="H139" s="65">
        <v>0.06</v>
      </c>
      <c r="I139" s="93">
        <f>G139*K139</f>
        <v>5.3939999999999999E-4</v>
      </c>
      <c r="J139" s="93">
        <f>H139*K139</f>
        <v>5.3939999999999995E-3</v>
      </c>
      <c r="K139" s="52">
        <f>$C$2</f>
        <v>8.9899999999999994E-2</v>
      </c>
      <c r="L139" s="78">
        <v>0.05</v>
      </c>
      <c r="M139" s="78">
        <v>1</v>
      </c>
      <c r="N139" s="62">
        <v>3</v>
      </c>
      <c r="O139" s="62" t="s">
        <v>194</v>
      </c>
      <c r="P139" s="62"/>
      <c r="S139" s="70"/>
      <c r="T139" s="56"/>
      <c r="U139" s="56"/>
      <c r="V139" s="56"/>
      <c r="W139" s="56"/>
      <c r="X139" s="56">
        <v>4.5999999999999996</v>
      </c>
      <c r="Y139" s="56">
        <v>50.5</v>
      </c>
      <c r="Z139" s="108" t="e">
        <f t="shared" si="22"/>
        <v>#DIV/0!</v>
      </c>
      <c r="AA139" s="81"/>
      <c r="AB139" s="81">
        <v>0.99999000000000005</v>
      </c>
      <c r="AC139" s="62"/>
      <c r="AD139" s="62"/>
      <c r="AE139" s="62">
        <v>-71</v>
      </c>
      <c r="AF139" s="62"/>
      <c r="AG139" s="62">
        <v>30</v>
      </c>
      <c r="AH139" s="62">
        <v>30</v>
      </c>
      <c r="AI139" s="62">
        <v>-12</v>
      </c>
      <c r="AJ139" s="62">
        <v>40</v>
      </c>
      <c r="AK139" s="62"/>
      <c r="AL139" s="62"/>
      <c r="AM139" s="91" t="s">
        <v>81</v>
      </c>
      <c r="AN139" s="62"/>
      <c r="AO139" s="63">
        <v>0.8</v>
      </c>
      <c r="AP139" s="62">
        <f t="shared" si="42"/>
        <v>8.8987764182424929</v>
      </c>
      <c r="AQ139" s="62"/>
      <c r="AR139" s="62"/>
      <c r="AS139" s="62"/>
      <c r="AT139" s="62">
        <v>37.5</v>
      </c>
      <c r="AU139" s="62">
        <v>220</v>
      </c>
      <c r="AV139" s="62">
        <v>380</v>
      </c>
      <c r="AW139" s="65">
        <v>3</v>
      </c>
      <c r="AX139" s="65"/>
      <c r="AY139" s="62"/>
      <c r="AZ139" s="62"/>
      <c r="BA139" s="4"/>
      <c r="BB139" s="62"/>
    </row>
    <row r="140" spans="1:54" customFormat="1" ht="15" customHeight="1">
      <c r="A140" s="73" t="s">
        <v>75</v>
      </c>
      <c r="B140" s="73" t="s">
        <v>257</v>
      </c>
      <c r="C140" s="73" t="s">
        <v>259</v>
      </c>
      <c r="D140" s="105">
        <v>1</v>
      </c>
      <c r="E140" s="55" t="s">
        <v>5</v>
      </c>
      <c r="F140" s="146" t="s">
        <v>515</v>
      </c>
      <c r="G140" s="65">
        <v>0.2</v>
      </c>
      <c r="H140" s="65">
        <v>6</v>
      </c>
      <c r="I140" s="56">
        <v>0.02</v>
      </c>
      <c r="J140" s="63">
        <v>0.6</v>
      </c>
      <c r="K140" s="52">
        <f>J140/H140</f>
        <v>9.9999999999999992E-2</v>
      </c>
      <c r="L140" s="78">
        <v>0.05</v>
      </c>
      <c r="M140" s="78">
        <v>1</v>
      </c>
      <c r="N140" s="62">
        <v>3</v>
      </c>
      <c r="O140" s="62" t="s">
        <v>194</v>
      </c>
      <c r="P140" s="62"/>
      <c r="T140" s="56"/>
      <c r="U140" s="56"/>
      <c r="V140" s="56"/>
      <c r="W140" s="56"/>
      <c r="X140" s="56">
        <v>4.5999999999999996</v>
      </c>
      <c r="Y140" s="56">
        <v>51.1</v>
      </c>
      <c r="Z140" s="108" t="e">
        <f t="shared" ref="Z140:Z143" si="43">X140/T140</f>
        <v>#DIV/0!</v>
      </c>
      <c r="AA140" s="81"/>
      <c r="AB140" s="81">
        <v>0.99999000000000005</v>
      </c>
      <c r="AC140" s="62"/>
      <c r="AD140" s="62"/>
      <c r="AE140" s="62">
        <v>-71</v>
      </c>
      <c r="AF140" s="62"/>
      <c r="AG140" s="62">
        <v>30</v>
      </c>
      <c r="AH140" s="62">
        <v>30</v>
      </c>
      <c r="AI140" s="62">
        <v>-12</v>
      </c>
      <c r="AJ140" s="62">
        <v>40</v>
      </c>
      <c r="AK140" s="62"/>
      <c r="AL140" s="62"/>
      <c r="AM140" s="91" t="s">
        <v>81</v>
      </c>
      <c r="AN140" s="62"/>
      <c r="AO140" s="63">
        <f>1/1.2</f>
        <v>0.83333333333333337</v>
      </c>
      <c r="AP140" s="62">
        <f t="shared" si="42"/>
        <v>8.3333333333333339</v>
      </c>
      <c r="AQ140" s="62"/>
      <c r="AR140" s="62"/>
      <c r="AS140" s="62"/>
      <c r="AT140" s="62">
        <v>37.5</v>
      </c>
      <c r="AU140" s="62">
        <v>220</v>
      </c>
      <c r="AV140" s="62">
        <v>380</v>
      </c>
      <c r="AW140" s="65">
        <v>3</v>
      </c>
      <c r="AX140" s="65"/>
      <c r="AY140" s="62"/>
      <c r="AZ140" s="62"/>
      <c r="BA140" s="4" t="s">
        <v>260</v>
      </c>
      <c r="BB140" s="62" t="s">
        <v>173</v>
      </c>
    </row>
    <row r="141" spans="1:54" customFormat="1" ht="15" customHeight="1">
      <c r="A141" s="73" t="s">
        <v>75</v>
      </c>
      <c r="B141" s="73" t="s">
        <v>257</v>
      </c>
      <c r="C141" s="73" t="s">
        <v>261</v>
      </c>
      <c r="D141" s="105">
        <v>1</v>
      </c>
      <c r="E141" s="55" t="s">
        <v>5</v>
      </c>
      <c r="F141" s="146" t="s">
        <v>515</v>
      </c>
      <c r="G141" s="65">
        <v>6.6</v>
      </c>
      <c r="H141" s="65">
        <v>66</v>
      </c>
      <c r="I141" s="63">
        <v>0.6</v>
      </c>
      <c r="J141" s="63">
        <v>6</v>
      </c>
      <c r="K141" s="52">
        <f>J141/H141</f>
        <v>9.0909090909090912E-2</v>
      </c>
      <c r="L141" s="78">
        <v>0.05</v>
      </c>
      <c r="M141" s="78">
        <v>1</v>
      </c>
      <c r="N141" s="62">
        <v>3</v>
      </c>
      <c r="O141" s="62" t="s">
        <v>194</v>
      </c>
      <c r="P141" s="62"/>
      <c r="T141" s="56"/>
      <c r="U141" s="56"/>
      <c r="V141" s="56"/>
      <c r="W141" s="56"/>
      <c r="X141" s="56">
        <v>4.5999999999999996</v>
      </c>
      <c r="Y141" s="56">
        <v>51.1</v>
      </c>
      <c r="Z141" s="108" t="e">
        <f t="shared" si="43"/>
        <v>#DIV/0!</v>
      </c>
      <c r="AA141" s="81"/>
      <c r="AB141" s="94">
        <v>0.99999499999999997</v>
      </c>
      <c r="AC141" s="62"/>
      <c r="AD141" s="62"/>
      <c r="AE141" s="62">
        <v>-71</v>
      </c>
      <c r="AF141" s="62"/>
      <c r="AG141" s="62">
        <v>30</v>
      </c>
      <c r="AH141" s="62">
        <v>30</v>
      </c>
      <c r="AI141" s="62">
        <v>-12</v>
      </c>
      <c r="AJ141" s="62">
        <v>40</v>
      </c>
      <c r="AK141" s="62"/>
      <c r="AL141" s="62"/>
      <c r="AM141" s="91" t="s">
        <v>81</v>
      </c>
      <c r="AN141" s="62"/>
      <c r="AO141" s="63">
        <f>1/1.2</f>
        <v>0.83333333333333337</v>
      </c>
      <c r="AP141" s="62">
        <f t="shared" si="42"/>
        <v>9.1666666666666661</v>
      </c>
      <c r="AQ141" s="62"/>
      <c r="AR141" s="62"/>
      <c r="AS141" s="62"/>
      <c r="AT141" s="62">
        <v>37.5</v>
      </c>
      <c r="AU141" s="62">
        <v>380</v>
      </c>
      <c r="AV141" s="62">
        <v>380</v>
      </c>
      <c r="AW141" s="65">
        <v>3</v>
      </c>
      <c r="AX141" s="65"/>
      <c r="AY141" s="62"/>
      <c r="AZ141" s="62"/>
      <c r="BA141" s="4" t="s">
        <v>262</v>
      </c>
      <c r="BB141" s="62" t="s">
        <v>173</v>
      </c>
    </row>
    <row r="142" spans="1:54" customFormat="1" ht="15" customHeight="1">
      <c r="A142" s="73" t="s">
        <v>75</v>
      </c>
      <c r="B142" s="73" t="s">
        <v>257</v>
      </c>
      <c r="C142" s="73" t="s">
        <v>314</v>
      </c>
      <c r="D142" s="105">
        <v>1</v>
      </c>
      <c r="E142" s="55" t="s">
        <v>5</v>
      </c>
      <c r="F142" s="146" t="s">
        <v>515</v>
      </c>
      <c r="G142" s="65">
        <v>66</v>
      </c>
      <c r="H142" s="65">
        <v>200</v>
      </c>
      <c r="I142" s="63">
        <v>6</v>
      </c>
      <c r="J142" s="63">
        <v>20</v>
      </c>
      <c r="K142" s="52">
        <f>J142/H142</f>
        <v>0.1</v>
      </c>
      <c r="L142" s="78">
        <v>0.05</v>
      </c>
      <c r="M142" s="78">
        <v>1</v>
      </c>
      <c r="N142" s="62">
        <v>3</v>
      </c>
      <c r="O142" s="62" t="s">
        <v>194</v>
      </c>
      <c r="P142" s="62"/>
      <c r="T142" s="56"/>
      <c r="U142" s="56"/>
      <c r="V142" s="56"/>
      <c r="W142" s="56"/>
      <c r="X142" s="56">
        <v>4.5999999999999996</v>
      </c>
      <c r="Y142" s="56">
        <v>51.1</v>
      </c>
      <c r="Z142" s="108" t="e">
        <f t="shared" si="43"/>
        <v>#DIV/0!</v>
      </c>
      <c r="AA142" s="81"/>
      <c r="AB142" s="94">
        <v>0.99999499999999997</v>
      </c>
      <c r="AC142" s="62"/>
      <c r="AD142" s="62"/>
      <c r="AE142" s="62">
        <v>-71</v>
      </c>
      <c r="AF142" s="62"/>
      <c r="AG142" s="62">
        <v>30</v>
      </c>
      <c r="AH142" s="62">
        <v>30</v>
      </c>
      <c r="AI142" s="62">
        <v>-12</v>
      </c>
      <c r="AJ142" s="62">
        <v>40</v>
      </c>
      <c r="AK142" s="62"/>
      <c r="AL142" s="62"/>
      <c r="AM142" s="91" t="s">
        <v>81</v>
      </c>
      <c r="AN142" s="62"/>
      <c r="AO142" s="63">
        <f>1/1.2</f>
        <v>0.83333333333333337</v>
      </c>
      <c r="AP142" s="62">
        <f t="shared" si="42"/>
        <v>8.3333333333333339</v>
      </c>
      <c r="AQ142" s="62"/>
      <c r="AR142" s="62"/>
      <c r="AS142" s="62"/>
      <c r="AT142" s="62">
        <v>37.5</v>
      </c>
      <c r="AU142" s="62">
        <v>380</v>
      </c>
      <c r="AV142" s="62">
        <v>380</v>
      </c>
      <c r="AW142" s="65">
        <v>3</v>
      </c>
      <c r="AX142" s="65"/>
      <c r="AY142" s="62"/>
      <c r="AZ142" s="62"/>
      <c r="BA142" s="4" t="s">
        <v>263</v>
      </c>
      <c r="BB142" s="62" t="s">
        <v>173</v>
      </c>
    </row>
    <row r="143" spans="1:54" customFormat="1" ht="15" customHeight="1">
      <c r="A143" s="73" t="s">
        <v>264</v>
      </c>
      <c r="B143" s="73" t="s">
        <v>265</v>
      </c>
      <c r="C143" s="73" t="s">
        <v>266</v>
      </c>
      <c r="D143" s="105">
        <v>1</v>
      </c>
      <c r="E143" s="55" t="s">
        <v>5</v>
      </c>
      <c r="F143" s="146" t="s">
        <v>515</v>
      </c>
      <c r="G143" s="85">
        <f>I143/K143</f>
        <v>208.56507230255841</v>
      </c>
      <c r="H143" s="85">
        <f>J143/K143</f>
        <v>208.56507230255841</v>
      </c>
      <c r="I143" s="63">
        <f>450/24</f>
        <v>18.75</v>
      </c>
      <c r="J143" s="63">
        <f>450/24</f>
        <v>18.75</v>
      </c>
      <c r="K143" s="52">
        <f t="shared" ref="K143:K148" si="44">$C$2</f>
        <v>8.9899999999999994E-2</v>
      </c>
      <c r="L143" s="78"/>
      <c r="M143" s="78"/>
      <c r="N143" s="62"/>
      <c r="O143" s="62"/>
      <c r="P143" s="95"/>
      <c r="T143" s="56"/>
      <c r="U143" s="56"/>
      <c r="V143" s="56"/>
      <c r="W143" s="56"/>
      <c r="X143" s="56"/>
      <c r="Y143" s="56"/>
      <c r="Z143" s="108" t="e">
        <f t="shared" si="43"/>
        <v>#DIV/0!</v>
      </c>
      <c r="AA143" s="81">
        <v>0.99999000000000005</v>
      </c>
      <c r="AB143" s="81">
        <v>0.99999000000000005</v>
      </c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91"/>
      <c r="AN143" s="62"/>
      <c r="AO143" s="63"/>
      <c r="AP143" s="62"/>
      <c r="AQ143" s="62"/>
      <c r="AR143" s="62"/>
      <c r="AS143" s="62"/>
      <c r="AT143" s="62"/>
      <c r="AU143" s="62"/>
      <c r="AV143" s="62"/>
      <c r="AW143" s="65"/>
      <c r="AX143" s="65"/>
      <c r="AY143" s="62"/>
      <c r="AZ143" s="62">
        <v>25</v>
      </c>
      <c r="BA143" s="4" t="s">
        <v>267</v>
      </c>
      <c r="BB143" s="62" t="s">
        <v>247</v>
      </c>
    </row>
    <row r="144" spans="1:54" customFormat="1" ht="15" customHeight="1">
      <c r="A144" s="73" t="s">
        <v>163</v>
      </c>
      <c r="B144" s="73" t="s">
        <v>268</v>
      </c>
      <c r="C144" s="73" t="s">
        <v>163</v>
      </c>
      <c r="D144" s="105">
        <v>1</v>
      </c>
      <c r="E144" s="55" t="s">
        <v>5</v>
      </c>
      <c r="F144" s="146" t="s">
        <v>516</v>
      </c>
      <c r="G144" s="85">
        <f>I144/K144</f>
        <v>278.08676307007789</v>
      </c>
      <c r="H144" s="85">
        <f>J144/K144</f>
        <v>278.08676307007789</v>
      </c>
      <c r="I144" s="63">
        <v>25</v>
      </c>
      <c r="J144" s="63">
        <f>600/24</f>
        <v>25</v>
      </c>
      <c r="K144" s="52">
        <f t="shared" si="44"/>
        <v>8.9899999999999994E-2</v>
      </c>
      <c r="L144" s="78"/>
      <c r="M144" s="78"/>
      <c r="N144" s="62"/>
      <c r="O144" s="62"/>
      <c r="P144" s="62">
        <v>6</v>
      </c>
      <c r="R144" s="70">
        <v>0.9</v>
      </c>
      <c r="T144" s="56">
        <f>U144*K144</f>
        <v>3.5420599999999998</v>
      </c>
      <c r="U144" s="56">
        <v>39.4</v>
      </c>
      <c r="V144" s="56">
        <f>W144*K144</f>
        <v>3.9376199999999995</v>
      </c>
      <c r="W144" s="56">
        <v>43.8</v>
      </c>
      <c r="X144" s="56"/>
      <c r="Y144" s="56"/>
      <c r="Z144" s="108">
        <f>X144/T144</f>
        <v>0</v>
      </c>
      <c r="AA144" s="78">
        <v>0.99</v>
      </c>
      <c r="AB144" s="78">
        <v>0.99</v>
      </c>
      <c r="AC144" s="62"/>
      <c r="AD144" s="62"/>
      <c r="AE144" s="62"/>
      <c r="AF144" s="62"/>
      <c r="AG144" s="62"/>
      <c r="AH144" s="62"/>
      <c r="AI144" s="62">
        <v>126</v>
      </c>
      <c r="AJ144" s="62">
        <v>146</v>
      </c>
      <c r="AK144" s="62">
        <v>1.379</v>
      </c>
      <c r="AL144" s="62">
        <v>3.254</v>
      </c>
      <c r="AM144" s="91" t="s">
        <v>81</v>
      </c>
      <c r="AN144" s="62"/>
      <c r="AO144" s="63">
        <f>227.12/H144</f>
        <v>0.81672351999999993</v>
      </c>
      <c r="AP144" s="62">
        <f>AO144/K144</f>
        <v>9.0847999999999995</v>
      </c>
      <c r="AQ144" s="62"/>
      <c r="AR144" s="62"/>
      <c r="AS144" s="62"/>
      <c r="AT144" s="62"/>
      <c r="AU144" s="62">
        <v>480</v>
      </c>
      <c r="AV144" s="62">
        <v>480</v>
      </c>
      <c r="AW144" s="65">
        <v>3</v>
      </c>
      <c r="AX144" s="65"/>
      <c r="AY144" s="62"/>
      <c r="AZ144" s="62"/>
      <c r="BA144" s="4" t="s">
        <v>269</v>
      </c>
      <c r="BB144" s="62" t="s">
        <v>173</v>
      </c>
    </row>
    <row r="145" spans="1:54" customFormat="1" ht="15" customHeight="1">
      <c r="A145" s="73" t="s">
        <v>163</v>
      </c>
      <c r="B145" s="73" t="s">
        <v>270</v>
      </c>
      <c r="C145" s="73" t="s">
        <v>271</v>
      </c>
      <c r="D145" s="105">
        <v>1</v>
      </c>
      <c r="E145" s="55" t="s">
        <v>5</v>
      </c>
      <c r="F145" s="146" t="s">
        <v>515</v>
      </c>
      <c r="G145" s="85">
        <f>I145/K145</f>
        <v>71.190211345939943</v>
      </c>
      <c r="H145" s="85">
        <f>J145/K145</f>
        <v>71.190211345939943</v>
      </c>
      <c r="I145" s="63">
        <v>6.4</v>
      </c>
      <c r="J145" s="63">
        <v>6.4</v>
      </c>
      <c r="K145" s="52">
        <f t="shared" si="44"/>
        <v>8.9899999999999994E-2</v>
      </c>
      <c r="L145" s="78"/>
      <c r="M145" s="78"/>
      <c r="N145" s="62"/>
      <c r="O145" s="62"/>
      <c r="P145" s="62"/>
      <c r="R145" s="70">
        <v>0.85</v>
      </c>
      <c r="T145" s="56"/>
      <c r="U145" s="56"/>
      <c r="V145" s="56"/>
      <c r="W145" s="56"/>
      <c r="X145" s="56">
        <f>Y145*K145</f>
        <v>3.4881199999999994</v>
      </c>
      <c r="Y145" s="56">
        <v>38.799999999999997</v>
      </c>
      <c r="Z145" s="108" t="e">
        <f t="shared" ref="Z145:Z195" si="45">X145/T145</f>
        <v>#DIV/0!</v>
      </c>
      <c r="AA145" s="76"/>
      <c r="AB145" s="81"/>
      <c r="AC145" s="62"/>
      <c r="AD145" s="62"/>
      <c r="AE145" s="62"/>
      <c r="AF145" s="62"/>
      <c r="AG145" s="62"/>
      <c r="AH145" s="62"/>
      <c r="AI145" s="62">
        <v>200</v>
      </c>
      <c r="AJ145" s="62">
        <v>250</v>
      </c>
      <c r="AK145" s="62">
        <v>2.5</v>
      </c>
      <c r="AL145" s="62">
        <v>4</v>
      </c>
      <c r="AM145" s="91"/>
      <c r="AN145" s="91"/>
      <c r="AO145" s="63">
        <f>AP145*K145</f>
        <v>0.99788999999999994</v>
      </c>
      <c r="AP145" s="62">
        <v>11.1</v>
      </c>
      <c r="AQ145" s="62"/>
      <c r="AR145" s="62"/>
      <c r="AS145" s="62"/>
      <c r="AT145" s="62"/>
      <c r="AU145" s="62">
        <v>400</v>
      </c>
      <c r="AV145" s="62">
        <v>400</v>
      </c>
      <c r="AW145" s="65"/>
      <c r="AX145" s="65"/>
      <c r="AY145" s="62"/>
      <c r="AZ145" s="62"/>
      <c r="BA145" s="4"/>
      <c r="BB145" s="62" t="s">
        <v>247</v>
      </c>
    </row>
    <row r="146" spans="1:54" customFormat="1" ht="15" customHeight="1">
      <c r="A146" s="73" t="s">
        <v>163</v>
      </c>
      <c r="B146" s="73" t="s">
        <v>272</v>
      </c>
      <c r="C146" s="73" t="s">
        <v>273</v>
      </c>
      <c r="D146" s="105">
        <v>1</v>
      </c>
      <c r="E146" s="55" t="s">
        <v>5</v>
      </c>
      <c r="F146" s="146" t="s">
        <v>515</v>
      </c>
      <c r="G146" s="65">
        <v>3</v>
      </c>
      <c r="H146" s="65">
        <v>3</v>
      </c>
      <c r="I146" s="93">
        <f>H146*K146</f>
        <v>0.2697</v>
      </c>
      <c r="J146" s="93">
        <f>K146*H146</f>
        <v>0.2697</v>
      </c>
      <c r="K146" s="52">
        <f t="shared" si="44"/>
        <v>8.9899999999999994E-2</v>
      </c>
      <c r="L146" s="78"/>
      <c r="M146" s="78"/>
      <c r="N146" s="62"/>
      <c r="O146" s="62"/>
      <c r="P146" s="62"/>
      <c r="T146" s="56"/>
      <c r="U146" s="56"/>
      <c r="V146" s="56">
        <v>3.2</v>
      </c>
      <c r="W146" s="56">
        <v>33</v>
      </c>
      <c r="X146" s="56"/>
      <c r="Y146" s="56"/>
      <c r="Z146" s="108" t="e">
        <f t="shared" si="45"/>
        <v>#DIV/0!</v>
      </c>
      <c r="AA146" s="76"/>
      <c r="AB146" s="81"/>
      <c r="AC146" s="62"/>
      <c r="AD146" s="62"/>
      <c r="AE146" s="62"/>
      <c r="AF146" s="62"/>
      <c r="AG146" s="62"/>
      <c r="AH146" s="62"/>
      <c r="AI146" s="62">
        <v>650</v>
      </c>
      <c r="AJ146" s="62">
        <v>720</v>
      </c>
      <c r="AK146" s="62"/>
      <c r="AL146" s="62"/>
      <c r="AM146" s="91"/>
      <c r="AN146" s="91"/>
      <c r="AO146" s="63">
        <f>5.56/G146</f>
        <v>1.8533333333333333</v>
      </c>
      <c r="AP146" s="62">
        <f>AO146/K146</f>
        <v>20.615498702261775</v>
      </c>
      <c r="AQ146" s="62"/>
      <c r="AR146" s="62"/>
      <c r="AS146" s="62"/>
      <c r="AT146" s="62">
        <v>9000</v>
      </c>
      <c r="AU146" s="62">
        <v>143</v>
      </c>
      <c r="AV146" s="62">
        <v>214</v>
      </c>
      <c r="AW146" s="65"/>
      <c r="AX146" s="65"/>
      <c r="AY146" s="62"/>
      <c r="AZ146" s="62"/>
      <c r="BA146" s="4" t="s">
        <v>274</v>
      </c>
      <c r="BB146" s="62" t="s">
        <v>173</v>
      </c>
    </row>
    <row r="147" spans="1:54" customFormat="1" ht="15" customHeight="1">
      <c r="A147" s="73" t="s">
        <v>163</v>
      </c>
      <c r="B147" s="73" t="s">
        <v>272</v>
      </c>
      <c r="C147" s="73" t="s">
        <v>255</v>
      </c>
      <c r="D147" s="105">
        <v>1</v>
      </c>
      <c r="E147" s="55" t="s">
        <v>5</v>
      </c>
      <c r="F147" s="146" t="s">
        <v>515</v>
      </c>
      <c r="G147" s="65">
        <v>1</v>
      </c>
      <c r="H147" s="65">
        <v>1</v>
      </c>
      <c r="I147" s="93">
        <f>H147*K147</f>
        <v>8.9899999999999994E-2</v>
      </c>
      <c r="J147" s="93">
        <f>K147*H147</f>
        <v>8.9899999999999994E-2</v>
      </c>
      <c r="K147" s="52">
        <f t="shared" si="44"/>
        <v>8.9899999999999994E-2</v>
      </c>
      <c r="L147" s="78"/>
      <c r="M147" s="78"/>
      <c r="N147" s="62"/>
      <c r="O147" s="62"/>
      <c r="P147" s="62"/>
      <c r="T147" s="56"/>
      <c r="U147" s="56"/>
      <c r="V147" s="56">
        <v>3.2</v>
      </c>
      <c r="W147" s="56">
        <v>33</v>
      </c>
      <c r="X147" s="56"/>
      <c r="Y147" s="56"/>
      <c r="Z147" s="108" t="e">
        <f t="shared" si="45"/>
        <v>#DIV/0!</v>
      </c>
      <c r="AA147" s="76"/>
      <c r="AB147" s="81"/>
      <c r="AC147" s="62"/>
      <c r="AD147" s="62"/>
      <c r="AE147" s="62"/>
      <c r="AF147" s="62"/>
      <c r="AG147" s="62"/>
      <c r="AH147" s="62"/>
      <c r="AI147" s="62">
        <v>650</v>
      </c>
      <c r="AJ147" s="62">
        <v>720</v>
      </c>
      <c r="AK147" s="62"/>
      <c r="AL147" s="62"/>
      <c r="AM147" s="91"/>
      <c r="AN147" s="91"/>
      <c r="AO147" s="63"/>
      <c r="AP147" s="62"/>
      <c r="AQ147" s="62"/>
      <c r="AR147" s="62"/>
      <c r="AS147" s="62"/>
      <c r="AT147" s="62">
        <v>3000</v>
      </c>
      <c r="AU147" s="62">
        <v>143</v>
      </c>
      <c r="AV147" s="62">
        <v>214</v>
      </c>
      <c r="AW147" s="65"/>
      <c r="AX147" s="65"/>
      <c r="AY147" s="62"/>
      <c r="AZ147" s="62"/>
      <c r="BA147" s="4"/>
      <c r="BB147" s="62" t="s">
        <v>173</v>
      </c>
    </row>
    <row r="148" spans="1:54" customFormat="1" ht="15" customHeight="1">
      <c r="A148" s="73" t="s">
        <v>163</v>
      </c>
      <c r="B148" s="73" t="s">
        <v>272</v>
      </c>
      <c r="C148" s="73" t="s">
        <v>275</v>
      </c>
      <c r="D148" s="105">
        <v>1</v>
      </c>
      <c r="E148" s="55" t="s">
        <v>5</v>
      </c>
      <c r="F148" s="146" t="s">
        <v>515</v>
      </c>
      <c r="G148" s="65">
        <v>0.35</v>
      </c>
      <c r="H148" s="65">
        <v>0.35</v>
      </c>
      <c r="I148" s="93">
        <f>H148*K148</f>
        <v>3.1464999999999993E-2</v>
      </c>
      <c r="J148" s="93">
        <f>K148*H148</f>
        <v>3.1464999999999993E-2</v>
      </c>
      <c r="K148" s="52">
        <f t="shared" si="44"/>
        <v>8.9899999999999994E-2</v>
      </c>
      <c r="O148" s="62"/>
      <c r="P148" s="62"/>
      <c r="T148" s="56"/>
      <c r="U148" s="56"/>
      <c r="V148" s="56">
        <v>3.2</v>
      </c>
      <c r="W148" s="56">
        <v>33</v>
      </c>
      <c r="X148" s="56"/>
      <c r="Y148" s="56"/>
      <c r="Z148" s="108" t="e">
        <f t="shared" si="45"/>
        <v>#DIV/0!</v>
      </c>
      <c r="AC148" s="62"/>
      <c r="AD148" s="62"/>
      <c r="AE148" s="62"/>
      <c r="AF148" s="62"/>
      <c r="AG148" s="62"/>
      <c r="AH148" s="62"/>
      <c r="AI148" s="62">
        <v>650</v>
      </c>
      <c r="AJ148" s="62">
        <v>720</v>
      </c>
      <c r="AK148" s="62"/>
      <c r="AL148" s="62"/>
      <c r="AM148" s="91"/>
      <c r="AN148" s="91"/>
      <c r="AO148" s="63"/>
      <c r="AP148" s="62"/>
      <c r="AQ148" s="62"/>
      <c r="AR148" s="62"/>
      <c r="AS148" s="62"/>
      <c r="AT148" s="62">
        <v>1000</v>
      </c>
      <c r="AU148" s="62">
        <v>143</v>
      </c>
      <c r="AV148" s="62">
        <v>214</v>
      </c>
      <c r="AW148" s="65"/>
      <c r="AX148" s="65"/>
      <c r="AY148" s="62"/>
      <c r="AZ148" s="62"/>
      <c r="BA148" s="4"/>
      <c r="BB148" s="62" t="s">
        <v>173</v>
      </c>
    </row>
    <row r="149" spans="1:54" customFormat="1" ht="15" customHeight="1">
      <c r="A149" s="73" t="s">
        <v>163</v>
      </c>
      <c r="B149" s="73" t="s">
        <v>277</v>
      </c>
      <c r="C149" s="73" t="s">
        <v>278</v>
      </c>
      <c r="D149" s="105">
        <v>1</v>
      </c>
      <c r="E149" s="55" t="s">
        <v>5</v>
      </c>
      <c r="F149" s="146" t="s">
        <v>515</v>
      </c>
      <c r="G149" s="65"/>
      <c r="H149" s="65"/>
      <c r="I149" s="63"/>
      <c r="J149" s="90"/>
      <c r="K149" s="84"/>
      <c r="L149" s="78">
        <v>0.3</v>
      </c>
      <c r="M149" s="78">
        <v>1.25</v>
      </c>
      <c r="N149" s="62" t="s">
        <v>276</v>
      </c>
      <c r="O149" s="62"/>
      <c r="P149" s="62"/>
      <c r="T149" s="56"/>
      <c r="U149" s="56">
        <v>35</v>
      </c>
      <c r="V149" s="56"/>
      <c r="W149" s="56">
        <v>50</v>
      </c>
      <c r="X149" s="56"/>
      <c r="Y149" s="56">
        <v>45</v>
      </c>
      <c r="Z149" s="108" t="e">
        <f t="shared" si="45"/>
        <v>#DIV/0!</v>
      </c>
      <c r="AA149" s="76">
        <v>0.999</v>
      </c>
      <c r="AB149" s="76">
        <v>0.999</v>
      </c>
      <c r="AC149" s="62"/>
      <c r="AD149" s="62"/>
      <c r="AE149" s="62"/>
      <c r="AF149" s="62"/>
      <c r="AG149" s="62"/>
      <c r="AH149" s="62"/>
      <c r="AI149" s="62">
        <v>700</v>
      </c>
      <c r="AJ149" s="62">
        <v>850</v>
      </c>
      <c r="AK149" s="62">
        <v>1</v>
      </c>
      <c r="AL149" s="62">
        <v>1</v>
      </c>
      <c r="AM149" s="91"/>
      <c r="AN149" s="91"/>
      <c r="AO149" s="63"/>
      <c r="AP149" s="62"/>
      <c r="AQ149" s="62"/>
      <c r="AR149" s="62"/>
      <c r="AS149" s="62"/>
      <c r="AT149" s="62">
        <v>5</v>
      </c>
      <c r="AU149" s="62"/>
      <c r="AV149" s="62"/>
      <c r="AW149" s="65"/>
      <c r="AX149" s="65"/>
      <c r="AY149" s="62">
        <v>2</v>
      </c>
      <c r="AZ149" s="62"/>
      <c r="BA149" s="4" t="s">
        <v>279</v>
      </c>
      <c r="BB149" s="62" t="s">
        <v>247</v>
      </c>
    </row>
    <row r="150" spans="1:54" customFormat="1" ht="15" customHeight="1">
      <c r="A150" s="73" t="s">
        <v>136</v>
      </c>
      <c r="B150" s="73" t="s">
        <v>280</v>
      </c>
      <c r="C150" s="73" t="s">
        <v>281</v>
      </c>
      <c r="D150" s="105">
        <v>1</v>
      </c>
      <c r="E150" s="55" t="s">
        <v>5</v>
      </c>
      <c r="F150" s="146" t="s">
        <v>515</v>
      </c>
      <c r="G150" s="65">
        <v>5.5</v>
      </c>
      <c r="H150" s="65">
        <v>5.5</v>
      </c>
      <c r="I150" s="63">
        <v>0.5</v>
      </c>
      <c r="J150" s="63">
        <v>0.5</v>
      </c>
      <c r="K150" s="90">
        <f>J150/H150</f>
        <v>9.0909090909090912E-2</v>
      </c>
      <c r="L150" s="78">
        <v>0.25</v>
      </c>
      <c r="M150" s="78">
        <v>1</v>
      </c>
      <c r="N150" s="62"/>
      <c r="O150" s="62"/>
      <c r="P150" s="62"/>
      <c r="T150" s="56">
        <v>4.28</v>
      </c>
      <c r="U150" s="56"/>
      <c r="V150" s="56">
        <v>4.47</v>
      </c>
      <c r="W150" s="56"/>
      <c r="X150" s="56"/>
      <c r="Y150" s="56"/>
      <c r="Z150" s="108">
        <f t="shared" si="45"/>
        <v>0</v>
      </c>
      <c r="AA150" s="76">
        <v>0.98499999999999999</v>
      </c>
      <c r="AB150" s="76">
        <v>0.995</v>
      </c>
      <c r="AC150" s="62"/>
      <c r="AD150" s="62"/>
      <c r="AE150" s="62"/>
      <c r="AF150" s="62"/>
      <c r="AG150" s="62"/>
      <c r="AH150" s="62"/>
      <c r="AI150" s="62">
        <v>55</v>
      </c>
      <c r="AJ150" s="62">
        <v>65</v>
      </c>
      <c r="AK150" s="62"/>
      <c r="AL150" s="62"/>
      <c r="AM150" s="91"/>
      <c r="AN150" s="62"/>
      <c r="AO150" s="63">
        <f>4.5/G150</f>
        <v>0.81818181818181823</v>
      </c>
      <c r="AP150" s="62">
        <f t="shared" ref="AP150" si="46">AO150/K150</f>
        <v>9</v>
      </c>
      <c r="AQ150" s="62"/>
      <c r="AR150" s="62"/>
      <c r="AS150" s="62"/>
      <c r="AT150" s="62"/>
      <c r="AU150" s="62"/>
      <c r="AV150" s="62"/>
      <c r="AW150" s="65"/>
      <c r="AX150" s="65"/>
      <c r="AY150" s="62">
        <v>10</v>
      </c>
      <c r="AZ150" s="62"/>
      <c r="BA150" s="4"/>
      <c r="BB150" s="62"/>
    </row>
    <row r="151" spans="1:54" ht="15">
      <c r="A151" s="1" t="s">
        <v>75</v>
      </c>
      <c r="B151" s="1" t="s">
        <v>315</v>
      </c>
      <c r="C151" s="1" t="s">
        <v>316</v>
      </c>
      <c r="D151" s="104">
        <v>1</v>
      </c>
      <c r="E151" s="4" t="s">
        <v>5</v>
      </c>
      <c r="F151" s="148" t="s">
        <v>519</v>
      </c>
      <c r="G151" s="48">
        <v>200</v>
      </c>
      <c r="H151" s="48">
        <v>200</v>
      </c>
      <c r="I151" s="3">
        <f>G151*K151</f>
        <v>17.98</v>
      </c>
      <c r="J151" s="3">
        <f>H151*K151</f>
        <v>17.98</v>
      </c>
      <c r="K151" s="52">
        <f t="shared" ref="K151:K182" si="47">$C$2</f>
        <v>8.9899999999999994E-2</v>
      </c>
      <c r="L151" s="44">
        <v>0.05</v>
      </c>
      <c r="M151" s="44">
        <v>1.1000000000000001</v>
      </c>
      <c r="Z151" s="108" t="e">
        <f t="shared" si="45"/>
        <v>#DIV/0!</v>
      </c>
      <c r="AA151" s="58">
        <v>0.999</v>
      </c>
      <c r="AB151" s="57">
        <v>0.99999000000000005</v>
      </c>
      <c r="AE151" s="3">
        <v>-70</v>
      </c>
      <c r="AG151" s="3">
        <v>30</v>
      </c>
      <c r="AH151" s="3">
        <v>30</v>
      </c>
      <c r="AI151" s="3">
        <v>55</v>
      </c>
      <c r="AJ151" s="3">
        <v>65</v>
      </c>
    </row>
    <row r="152" spans="1:54" ht="15">
      <c r="A152" s="1" t="s">
        <v>75</v>
      </c>
      <c r="B152" s="1" t="s">
        <v>315</v>
      </c>
      <c r="C152" s="1" t="s">
        <v>317</v>
      </c>
      <c r="D152" s="104">
        <v>1</v>
      </c>
      <c r="E152" s="4" t="s">
        <v>5</v>
      </c>
      <c r="F152" s="148" t="s">
        <v>519</v>
      </c>
      <c r="G152" s="48">
        <v>500</v>
      </c>
      <c r="H152" s="48">
        <v>500</v>
      </c>
      <c r="I152" s="3">
        <f t="shared" ref="I152:I153" si="48">G152*K152</f>
        <v>44.949999999999996</v>
      </c>
      <c r="J152" s="3">
        <f t="shared" ref="J152:J153" si="49">H152*K152</f>
        <v>44.949999999999996</v>
      </c>
      <c r="K152" s="52">
        <f t="shared" si="47"/>
        <v>8.9899999999999994E-2</v>
      </c>
      <c r="L152" s="44">
        <v>0.05</v>
      </c>
      <c r="M152" s="44">
        <v>1.1000000000000001</v>
      </c>
      <c r="Z152" s="108" t="e">
        <f t="shared" si="45"/>
        <v>#DIV/0!</v>
      </c>
      <c r="AA152" s="58">
        <v>0.999</v>
      </c>
      <c r="AB152" s="57">
        <v>0.99999000000000005</v>
      </c>
      <c r="AE152" s="3">
        <v>-70</v>
      </c>
      <c r="AG152" s="3">
        <v>30</v>
      </c>
      <c r="AH152" s="3">
        <v>30</v>
      </c>
      <c r="AI152" s="3">
        <v>55</v>
      </c>
      <c r="AJ152" s="3">
        <v>65</v>
      </c>
    </row>
    <row r="153" spans="1:54" ht="15">
      <c r="A153" s="1" t="s">
        <v>136</v>
      </c>
      <c r="B153" s="1" t="s">
        <v>318</v>
      </c>
      <c r="C153" s="1" t="s">
        <v>321</v>
      </c>
      <c r="D153" s="104">
        <v>1</v>
      </c>
      <c r="E153" s="4" t="s">
        <v>5</v>
      </c>
      <c r="F153" s="148" t="s">
        <v>519</v>
      </c>
      <c r="G153" s="48">
        <v>2</v>
      </c>
      <c r="H153" s="48">
        <v>1500</v>
      </c>
      <c r="I153" s="3">
        <f t="shared" si="48"/>
        <v>0.17979999999999999</v>
      </c>
      <c r="J153" s="3">
        <f t="shared" si="49"/>
        <v>134.85</v>
      </c>
      <c r="K153" s="52">
        <f t="shared" si="47"/>
        <v>8.9899999999999994E-2</v>
      </c>
      <c r="T153" s="45">
        <v>4.4000000000000004</v>
      </c>
      <c r="U153" s="45">
        <f>T153/K153</f>
        <v>48.943270300333708</v>
      </c>
      <c r="V153" s="45">
        <v>5</v>
      </c>
      <c r="W153" s="45">
        <f>V153/K153</f>
        <v>55.61735261401558</v>
      </c>
      <c r="Z153" s="108">
        <f t="shared" si="45"/>
        <v>0</v>
      </c>
      <c r="AG153" s="3">
        <v>32</v>
      </c>
      <c r="AH153" s="3">
        <v>32</v>
      </c>
    </row>
    <row r="154" spans="1:54" ht="15">
      <c r="A154" s="1" t="s">
        <v>136</v>
      </c>
      <c r="B154" s="1" t="s">
        <v>319</v>
      </c>
      <c r="C154" s="1" t="s">
        <v>320</v>
      </c>
      <c r="D154" s="104">
        <v>1</v>
      </c>
      <c r="E154" s="4" t="s">
        <v>5</v>
      </c>
      <c r="F154" s="148" t="s">
        <v>519</v>
      </c>
      <c r="G154" s="48">
        <v>0</v>
      </c>
      <c r="H154" s="48">
        <v>1000</v>
      </c>
      <c r="I154" s="3">
        <v>0</v>
      </c>
      <c r="J154" s="3">
        <f>H154*K154</f>
        <v>89.899999999999991</v>
      </c>
      <c r="K154" s="52">
        <f t="shared" si="47"/>
        <v>8.9899999999999994E-2</v>
      </c>
      <c r="S154" s="44">
        <v>0.65</v>
      </c>
      <c r="T154" s="45">
        <v>3.9</v>
      </c>
      <c r="U154" s="45">
        <f>T154/K154</f>
        <v>43.381535038932149</v>
      </c>
      <c r="V154" s="45">
        <v>4.4000000000000004</v>
      </c>
      <c r="W154" s="45">
        <f>V154/K154</f>
        <v>48.943270300333708</v>
      </c>
      <c r="Z154" s="108">
        <f t="shared" si="45"/>
        <v>0</v>
      </c>
      <c r="AA154" s="57">
        <v>0.99999000000000005</v>
      </c>
      <c r="AB154" s="57">
        <v>0.99999000000000005</v>
      </c>
      <c r="AG154" s="3">
        <v>16</v>
      </c>
      <c r="AH154" s="3">
        <v>16</v>
      </c>
      <c r="AO154" s="3">
        <f>900/H154</f>
        <v>0.9</v>
      </c>
      <c r="AP154" s="62">
        <f>AO154/K151</f>
        <v>10.011123470522804</v>
      </c>
      <c r="AZ154" s="3">
        <v>30</v>
      </c>
    </row>
    <row r="155" spans="1:54" ht="15">
      <c r="A155" s="1" t="s">
        <v>136</v>
      </c>
      <c r="B155" s="1" t="s">
        <v>322</v>
      </c>
      <c r="C155" s="1" t="s">
        <v>323</v>
      </c>
      <c r="D155" s="104">
        <v>1</v>
      </c>
      <c r="E155" s="4" t="s">
        <v>5</v>
      </c>
      <c r="F155" s="148" t="s">
        <v>519</v>
      </c>
      <c r="G155" s="48">
        <v>5</v>
      </c>
      <c r="H155" s="48">
        <v>5</v>
      </c>
      <c r="I155" s="3">
        <f>G155*K155</f>
        <v>0.44949999999999996</v>
      </c>
      <c r="J155" s="3">
        <f>H155*K155</f>
        <v>0.44949999999999996</v>
      </c>
      <c r="K155" s="52">
        <f t="shared" si="47"/>
        <v>8.9899999999999994E-2</v>
      </c>
      <c r="L155" s="44">
        <v>0.3</v>
      </c>
      <c r="M155" s="44">
        <v>1</v>
      </c>
      <c r="Z155" s="108" t="e">
        <f t="shared" si="45"/>
        <v>#DIV/0!</v>
      </c>
      <c r="AA155" s="57">
        <v>0.99999000000000005</v>
      </c>
      <c r="AB155" s="57">
        <v>0.99999000000000005</v>
      </c>
      <c r="AE155" s="3">
        <v>-70</v>
      </c>
      <c r="AG155" s="3">
        <v>32</v>
      </c>
      <c r="AH155" s="3">
        <v>32</v>
      </c>
      <c r="AP155" s="62"/>
    </row>
    <row r="156" spans="1:54" ht="15">
      <c r="A156" s="1" t="s">
        <v>136</v>
      </c>
      <c r="B156" s="1" t="s">
        <v>322</v>
      </c>
      <c r="C156" s="1" t="s">
        <v>324</v>
      </c>
      <c r="D156" s="104">
        <v>1</v>
      </c>
      <c r="E156" s="4" t="s">
        <v>5</v>
      </c>
      <c r="F156" s="148" t="s">
        <v>519</v>
      </c>
      <c r="G156" s="48">
        <v>10</v>
      </c>
      <c r="H156" s="48">
        <v>10</v>
      </c>
      <c r="I156" s="3">
        <f t="shared" ref="I156:I182" si="50">G156*K156</f>
        <v>0.89899999999999991</v>
      </c>
      <c r="J156" s="3">
        <f t="shared" ref="J156:J182" si="51">H156*K156</f>
        <v>0.89899999999999991</v>
      </c>
      <c r="K156" s="52">
        <f t="shared" si="47"/>
        <v>8.9899999999999994E-2</v>
      </c>
      <c r="L156" s="44">
        <v>0.3</v>
      </c>
      <c r="M156" s="44">
        <v>1</v>
      </c>
      <c r="Z156" s="108" t="e">
        <f t="shared" si="45"/>
        <v>#DIV/0!</v>
      </c>
      <c r="AA156" s="57">
        <v>0.99999000000000005</v>
      </c>
      <c r="AB156" s="57">
        <v>0.99999000000000005</v>
      </c>
      <c r="AE156" s="3">
        <v>-70</v>
      </c>
      <c r="AG156" s="3">
        <v>32</v>
      </c>
      <c r="AH156" s="3">
        <v>32</v>
      </c>
      <c r="AP156" s="62"/>
    </row>
    <row r="157" spans="1:54" ht="15">
      <c r="A157" s="1" t="s">
        <v>136</v>
      </c>
      <c r="B157" s="1" t="s">
        <v>322</v>
      </c>
      <c r="C157" s="1" t="s">
        <v>325</v>
      </c>
      <c r="D157" s="104">
        <v>1</v>
      </c>
      <c r="E157" s="4" t="s">
        <v>5</v>
      </c>
      <c r="F157" s="148" t="s">
        <v>519</v>
      </c>
      <c r="G157" s="48">
        <v>20</v>
      </c>
      <c r="H157" s="48">
        <v>20</v>
      </c>
      <c r="I157" s="3">
        <f t="shared" si="50"/>
        <v>1.7979999999999998</v>
      </c>
      <c r="J157" s="3">
        <f t="shared" si="51"/>
        <v>1.7979999999999998</v>
      </c>
      <c r="K157" s="52">
        <f t="shared" si="47"/>
        <v>8.9899999999999994E-2</v>
      </c>
      <c r="L157" s="44">
        <v>0.3</v>
      </c>
      <c r="M157" s="44">
        <v>1</v>
      </c>
      <c r="Z157" s="108" t="e">
        <f t="shared" si="45"/>
        <v>#DIV/0!</v>
      </c>
      <c r="AA157" s="57">
        <v>0.99999000000000005</v>
      </c>
      <c r="AB157" s="57">
        <v>0.99999000000000005</v>
      </c>
      <c r="AE157" s="3">
        <v>-70</v>
      </c>
      <c r="AG157" s="3">
        <v>32</v>
      </c>
      <c r="AH157" s="3">
        <v>32</v>
      </c>
      <c r="AP157" s="62"/>
    </row>
    <row r="158" spans="1:54" ht="15">
      <c r="A158" s="1" t="s">
        <v>136</v>
      </c>
      <c r="B158" s="1" t="s">
        <v>322</v>
      </c>
      <c r="C158" s="1" t="s">
        <v>326</v>
      </c>
      <c r="D158" s="104">
        <v>1</v>
      </c>
      <c r="E158" s="4" t="s">
        <v>5</v>
      </c>
      <c r="F158" s="148" t="s">
        <v>519</v>
      </c>
      <c r="G158" s="48">
        <v>60</v>
      </c>
      <c r="H158" s="48">
        <v>60</v>
      </c>
      <c r="I158" s="3">
        <f t="shared" si="50"/>
        <v>5.3939999999999992</v>
      </c>
      <c r="J158" s="3">
        <f t="shared" si="51"/>
        <v>5.3939999999999992</v>
      </c>
      <c r="K158" s="52">
        <f t="shared" si="47"/>
        <v>8.9899999999999994E-2</v>
      </c>
      <c r="L158" s="44">
        <v>0.3</v>
      </c>
      <c r="M158" s="44">
        <v>1</v>
      </c>
      <c r="Z158" s="108" t="e">
        <f t="shared" si="45"/>
        <v>#DIV/0!</v>
      </c>
      <c r="AA158" s="57">
        <v>0.99999000000000005</v>
      </c>
      <c r="AB158" s="57">
        <v>0.99999000000000005</v>
      </c>
      <c r="AE158" s="3">
        <v>-70</v>
      </c>
      <c r="AG158" s="3">
        <v>16</v>
      </c>
      <c r="AH158" s="3">
        <v>16</v>
      </c>
      <c r="AP158" s="62"/>
    </row>
    <row r="159" spans="1:54" ht="15">
      <c r="A159" s="1" t="s">
        <v>136</v>
      </c>
      <c r="B159" s="1" t="s">
        <v>322</v>
      </c>
      <c r="C159" s="1" t="s">
        <v>327</v>
      </c>
      <c r="D159" s="104">
        <v>1</v>
      </c>
      <c r="E159" s="4" t="s">
        <v>5</v>
      </c>
      <c r="F159" s="148" t="s">
        <v>519</v>
      </c>
      <c r="G159" s="48">
        <v>100</v>
      </c>
      <c r="H159" s="48">
        <v>100</v>
      </c>
      <c r="I159" s="3">
        <f t="shared" si="50"/>
        <v>8.99</v>
      </c>
      <c r="J159" s="3">
        <f t="shared" si="51"/>
        <v>8.99</v>
      </c>
      <c r="K159" s="52">
        <f t="shared" si="47"/>
        <v>8.9899999999999994E-2</v>
      </c>
      <c r="L159" s="44">
        <v>0.3</v>
      </c>
      <c r="M159" s="44">
        <v>1</v>
      </c>
      <c r="Z159" s="108" t="e">
        <f t="shared" si="45"/>
        <v>#DIV/0!</v>
      </c>
      <c r="AA159" s="57">
        <v>0.99999000000000005</v>
      </c>
      <c r="AB159" s="57">
        <v>0.99999000000000005</v>
      </c>
      <c r="AE159" s="3">
        <v>-70</v>
      </c>
      <c r="AG159" s="3">
        <v>16</v>
      </c>
      <c r="AH159" s="3">
        <v>16</v>
      </c>
      <c r="AP159" s="62"/>
    </row>
    <row r="160" spans="1:54" ht="15">
      <c r="A160" s="1" t="s">
        <v>136</v>
      </c>
      <c r="B160" s="1" t="s">
        <v>322</v>
      </c>
      <c r="C160" s="1" t="s">
        <v>328</v>
      </c>
      <c r="D160" s="104">
        <v>1</v>
      </c>
      <c r="E160" s="4" t="s">
        <v>5</v>
      </c>
      <c r="F160" s="148" t="s">
        <v>519</v>
      </c>
      <c r="G160" s="48">
        <v>200</v>
      </c>
      <c r="H160" s="48">
        <v>200</v>
      </c>
      <c r="I160" s="3">
        <f t="shared" si="50"/>
        <v>17.98</v>
      </c>
      <c r="J160" s="3">
        <f t="shared" si="51"/>
        <v>17.98</v>
      </c>
      <c r="K160" s="52">
        <f t="shared" si="47"/>
        <v>8.9899999999999994E-2</v>
      </c>
      <c r="L160" s="44">
        <v>0.3</v>
      </c>
      <c r="M160" s="44">
        <v>1</v>
      </c>
      <c r="Z160" s="108" t="e">
        <f t="shared" si="45"/>
        <v>#DIV/0!</v>
      </c>
      <c r="AA160" s="57">
        <v>0.99999000000000005</v>
      </c>
      <c r="AB160" s="57">
        <v>0.99999000000000005</v>
      </c>
      <c r="AE160" s="3">
        <v>-70</v>
      </c>
      <c r="AG160" s="3">
        <v>16</v>
      </c>
      <c r="AH160" s="3">
        <v>16</v>
      </c>
      <c r="AP160" s="62"/>
    </row>
    <row r="161" spans="1:48" ht="15">
      <c r="A161" s="1" t="s">
        <v>136</v>
      </c>
      <c r="B161" s="1" t="s">
        <v>322</v>
      </c>
      <c r="C161" s="1" t="s">
        <v>329</v>
      </c>
      <c r="D161" s="104">
        <v>1</v>
      </c>
      <c r="E161" s="4" t="s">
        <v>5</v>
      </c>
      <c r="F161" s="148" t="s">
        <v>519</v>
      </c>
      <c r="G161" s="48">
        <v>250</v>
      </c>
      <c r="H161" s="48">
        <v>250</v>
      </c>
      <c r="I161" s="3">
        <f t="shared" si="50"/>
        <v>22.474999999999998</v>
      </c>
      <c r="J161" s="3">
        <f t="shared" si="51"/>
        <v>22.474999999999998</v>
      </c>
      <c r="K161" s="52">
        <f t="shared" si="47"/>
        <v>8.9899999999999994E-2</v>
      </c>
      <c r="L161" s="44">
        <v>0.3</v>
      </c>
      <c r="M161" s="44">
        <v>1</v>
      </c>
      <c r="Z161" s="108" t="e">
        <f t="shared" si="45"/>
        <v>#DIV/0!</v>
      </c>
      <c r="AA161" s="57">
        <v>0.99999000000000005</v>
      </c>
      <c r="AB161" s="57">
        <v>0.99999000000000005</v>
      </c>
      <c r="AE161" s="3">
        <v>-70</v>
      </c>
      <c r="AG161" s="3">
        <v>16</v>
      </c>
      <c r="AH161" s="3">
        <v>16</v>
      </c>
      <c r="AP161" s="62"/>
    </row>
    <row r="162" spans="1:48" ht="15">
      <c r="A162" s="1" t="s">
        <v>136</v>
      </c>
      <c r="B162" s="1" t="s">
        <v>322</v>
      </c>
      <c r="C162" s="1" t="s">
        <v>330</v>
      </c>
      <c r="D162" s="104">
        <v>1</v>
      </c>
      <c r="E162" s="4" t="s">
        <v>5</v>
      </c>
      <c r="F162" s="148" t="s">
        <v>519</v>
      </c>
      <c r="G162" s="48">
        <v>300</v>
      </c>
      <c r="H162" s="48">
        <v>300</v>
      </c>
      <c r="I162" s="3">
        <f t="shared" si="50"/>
        <v>26.97</v>
      </c>
      <c r="J162" s="3">
        <f t="shared" si="51"/>
        <v>26.97</v>
      </c>
      <c r="K162" s="52">
        <f t="shared" si="47"/>
        <v>8.9899999999999994E-2</v>
      </c>
      <c r="L162" s="44">
        <v>0.3</v>
      </c>
      <c r="M162" s="44">
        <v>1</v>
      </c>
      <c r="Z162" s="108" t="e">
        <f t="shared" si="45"/>
        <v>#DIV/0!</v>
      </c>
      <c r="AA162" s="57">
        <v>0.99999000000000005</v>
      </c>
      <c r="AB162" s="57">
        <v>0.99999000000000005</v>
      </c>
      <c r="AE162" s="3">
        <v>-70</v>
      </c>
      <c r="AG162" s="3">
        <v>16</v>
      </c>
      <c r="AH162" s="3">
        <v>16</v>
      </c>
      <c r="AP162" s="62"/>
    </row>
    <row r="163" spans="1:48" ht="15">
      <c r="A163" s="1" t="s">
        <v>136</v>
      </c>
      <c r="B163" s="1" t="s">
        <v>322</v>
      </c>
      <c r="C163" s="1" t="s">
        <v>331</v>
      </c>
      <c r="D163" s="104">
        <v>1</v>
      </c>
      <c r="E163" s="4" t="s">
        <v>5</v>
      </c>
      <c r="F163" s="148" t="s">
        <v>519</v>
      </c>
      <c r="G163" s="48">
        <v>500</v>
      </c>
      <c r="H163" s="48">
        <v>500</v>
      </c>
      <c r="I163" s="3">
        <f t="shared" si="50"/>
        <v>44.949999999999996</v>
      </c>
      <c r="J163" s="3">
        <f t="shared" si="51"/>
        <v>44.949999999999996</v>
      </c>
      <c r="K163" s="52">
        <f t="shared" si="47"/>
        <v>8.9899999999999994E-2</v>
      </c>
      <c r="L163" s="44">
        <v>0.3</v>
      </c>
      <c r="M163" s="44">
        <v>1</v>
      </c>
      <c r="Z163" s="108" t="e">
        <f t="shared" si="45"/>
        <v>#DIV/0!</v>
      </c>
      <c r="AA163" s="57">
        <v>0.99999000000000005</v>
      </c>
      <c r="AB163" s="57">
        <v>0.99999000000000005</v>
      </c>
      <c r="AE163" s="3">
        <v>-70</v>
      </c>
      <c r="AG163" s="3">
        <v>16</v>
      </c>
      <c r="AH163" s="3">
        <v>16</v>
      </c>
      <c r="AP163" s="62"/>
    </row>
    <row r="164" spans="1:48" ht="15">
      <c r="A164" s="1" t="s">
        <v>136</v>
      </c>
      <c r="B164" s="1" t="s">
        <v>322</v>
      </c>
      <c r="C164" s="1" t="s">
        <v>332</v>
      </c>
      <c r="D164" s="104">
        <v>1</v>
      </c>
      <c r="E164" s="4" t="s">
        <v>5</v>
      </c>
      <c r="F164" s="148" t="s">
        <v>519</v>
      </c>
      <c r="G164" s="48">
        <v>800</v>
      </c>
      <c r="H164" s="48">
        <v>800</v>
      </c>
      <c r="I164" s="3">
        <f t="shared" si="50"/>
        <v>71.92</v>
      </c>
      <c r="J164" s="3">
        <f t="shared" si="51"/>
        <v>71.92</v>
      </c>
      <c r="K164" s="52">
        <f t="shared" si="47"/>
        <v>8.9899999999999994E-2</v>
      </c>
      <c r="L164" s="44">
        <v>0.3</v>
      </c>
      <c r="M164" s="44">
        <v>1</v>
      </c>
      <c r="Z164" s="108" t="e">
        <f t="shared" si="45"/>
        <v>#DIV/0!</v>
      </c>
      <c r="AA164" s="57">
        <v>0.99999000000000005</v>
      </c>
      <c r="AB164" s="57">
        <v>0.99999000000000005</v>
      </c>
      <c r="AE164" s="3">
        <v>-70</v>
      </c>
      <c r="AG164" s="3">
        <v>16</v>
      </c>
      <c r="AH164" s="3">
        <v>16</v>
      </c>
      <c r="AP164" s="62"/>
    </row>
    <row r="165" spans="1:48" ht="15">
      <c r="A165" s="1" t="s">
        <v>75</v>
      </c>
      <c r="B165" s="1" t="s">
        <v>322</v>
      </c>
      <c r="C165" s="1" t="s">
        <v>333</v>
      </c>
      <c r="D165" s="104">
        <v>1</v>
      </c>
      <c r="E165" s="4" t="s">
        <v>5</v>
      </c>
      <c r="F165" s="148" t="s">
        <v>519</v>
      </c>
      <c r="G165" s="48">
        <v>50</v>
      </c>
      <c r="H165" s="48">
        <v>50</v>
      </c>
      <c r="I165" s="3">
        <f t="shared" si="50"/>
        <v>4.4950000000000001</v>
      </c>
      <c r="J165" s="3">
        <f t="shared" si="51"/>
        <v>4.4950000000000001</v>
      </c>
      <c r="K165" s="52">
        <f t="shared" si="47"/>
        <v>8.9899999999999994E-2</v>
      </c>
      <c r="L165" s="44"/>
      <c r="M165" s="44"/>
      <c r="Z165" s="108" t="e">
        <f t="shared" si="45"/>
        <v>#DIV/0!</v>
      </c>
      <c r="AA165" s="57">
        <v>0.99999000000000005</v>
      </c>
      <c r="AB165" s="57">
        <v>0.99999000000000005</v>
      </c>
      <c r="AG165" s="3">
        <v>32</v>
      </c>
      <c r="AH165" s="3">
        <v>32</v>
      </c>
      <c r="AP165" s="62"/>
    </row>
    <row r="166" spans="1:48" ht="15">
      <c r="A166" s="1" t="s">
        <v>75</v>
      </c>
      <c r="B166" s="1" t="s">
        <v>322</v>
      </c>
      <c r="C166" s="1" t="s">
        <v>334</v>
      </c>
      <c r="D166" s="104">
        <v>1</v>
      </c>
      <c r="E166" s="4" t="s">
        <v>5</v>
      </c>
      <c r="F166" s="148" t="s">
        <v>519</v>
      </c>
      <c r="G166" s="48">
        <v>200</v>
      </c>
      <c r="H166" s="48">
        <v>200</v>
      </c>
      <c r="I166" s="3">
        <f t="shared" si="50"/>
        <v>17.98</v>
      </c>
      <c r="J166" s="3">
        <f t="shared" si="51"/>
        <v>17.98</v>
      </c>
      <c r="K166" s="52">
        <f t="shared" si="47"/>
        <v>8.9899999999999994E-2</v>
      </c>
      <c r="L166" s="52"/>
      <c r="M166" s="44"/>
      <c r="Z166" s="108" t="e">
        <f t="shared" si="45"/>
        <v>#DIV/0!</v>
      </c>
      <c r="AA166" s="57">
        <v>0.99999000000000005</v>
      </c>
      <c r="AB166" s="57">
        <v>0.99999000000000005</v>
      </c>
      <c r="AG166" s="3">
        <v>32</v>
      </c>
      <c r="AH166" s="3">
        <v>32</v>
      </c>
      <c r="AP166" s="62"/>
    </row>
    <row r="167" spans="1:48" ht="15">
      <c r="A167" s="1" t="s">
        <v>136</v>
      </c>
      <c r="B167" s="1" t="s">
        <v>335</v>
      </c>
      <c r="C167" s="1" t="s">
        <v>336</v>
      </c>
      <c r="D167" s="104">
        <v>1</v>
      </c>
      <c r="E167" s="4" t="s">
        <v>5</v>
      </c>
      <c r="F167" s="148" t="s">
        <v>519</v>
      </c>
      <c r="G167" s="48">
        <v>3</v>
      </c>
      <c r="H167" s="48">
        <v>3</v>
      </c>
      <c r="I167" s="3">
        <f t="shared" si="50"/>
        <v>0.2697</v>
      </c>
      <c r="J167" s="3">
        <f t="shared" si="51"/>
        <v>0.2697</v>
      </c>
      <c r="K167" s="52">
        <f t="shared" si="47"/>
        <v>8.9899999999999994E-2</v>
      </c>
      <c r="L167" s="44">
        <v>0.17</v>
      </c>
      <c r="M167" s="44">
        <v>1.1000000000000001</v>
      </c>
      <c r="N167" s="3" t="s">
        <v>200</v>
      </c>
      <c r="O167" s="3" t="s">
        <v>194</v>
      </c>
      <c r="T167" s="45">
        <v>4.4000000000000004</v>
      </c>
      <c r="U167" s="45">
        <f>T167/K167</f>
        <v>48.943270300333708</v>
      </c>
      <c r="V167" s="45">
        <v>5</v>
      </c>
      <c r="W167" s="45">
        <f>V167/K167</f>
        <v>55.61735261401558</v>
      </c>
      <c r="Z167" s="108">
        <f t="shared" si="45"/>
        <v>0</v>
      </c>
      <c r="AA167" s="57">
        <v>0.99999000000000005</v>
      </c>
      <c r="AB167" s="46">
        <v>0.99999800000000005</v>
      </c>
      <c r="AE167" s="3">
        <v>-71</v>
      </c>
      <c r="AI167" s="3">
        <v>60</v>
      </c>
      <c r="AJ167" s="3">
        <v>70</v>
      </c>
      <c r="AK167" s="3">
        <v>7</v>
      </c>
      <c r="AL167" s="3">
        <v>7</v>
      </c>
      <c r="AP167" s="62"/>
      <c r="AU167" s="3">
        <v>380</v>
      </c>
      <c r="AV167" s="3">
        <v>380</v>
      </c>
    </row>
    <row r="168" spans="1:48" ht="15">
      <c r="A168" s="1" t="s">
        <v>136</v>
      </c>
      <c r="B168" s="1" t="s">
        <v>335</v>
      </c>
      <c r="C168" s="1" t="s">
        <v>337</v>
      </c>
      <c r="D168" s="104">
        <v>1</v>
      </c>
      <c r="E168" s="4" t="s">
        <v>5</v>
      </c>
      <c r="F168" s="148" t="s">
        <v>519</v>
      </c>
      <c r="G168" s="48">
        <v>6</v>
      </c>
      <c r="H168" s="48">
        <v>6</v>
      </c>
      <c r="I168" s="3">
        <f t="shared" si="50"/>
        <v>0.53939999999999999</v>
      </c>
      <c r="J168" s="3">
        <f t="shared" si="51"/>
        <v>0.53939999999999999</v>
      </c>
      <c r="K168" s="52">
        <f t="shared" si="47"/>
        <v>8.9899999999999994E-2</v>
      </c>
      <c r="L168" s="44">
        <v>0.17</v>
      </c>
      <c r="M168" s="44">
        <v>1.1000000000000001</v>
      </c>
      <c r="N168" s="3" t="s">
        <v>200</v>
      </c>
      <c r="O168" s="3" t="s">
        <v>194</v>
      </c>
      <c r="T168" s="45">
        <v>4.4000000000000004</v>
      </c>
      <c r="U168" s="45">
        <f t="shared" ref="U168:U182" si="52">T168/K168</f>
        <v>48.943270300333708</v>
      </c>
      <c r="V168" s="45">
        <v>5</v>
      </c>
      <c r="W168" s="45">
        <f t="shared" ref="W168:W182" si="53">V168/K168</f>
        <v>55.61735261401558</v>
      </c>
      <c r="Z168" s="108">
        <f t="shared" si="45"/>
        <v>0</v>
      </c>
      <c r="AA168" s="57">
        <v>0.99999000000000005</v>
      </c>
      <c r="AB168" s="46">
        <v>0.99999800000000005</v>
      </c>
      <c r="AE168" s="3">
        <v>-71</v>
      </c>
      <c r="AI168" s="3">
        <v>60</v>
      </c>
      <c r="AJ168" s="3">
        <v>70</v>
      </c>
      <c r="AK168" s="3">
        <v>7</v>
      </c>
      <c r="AL168" s="3">
        <v>7</v>
      </c>
      <c r="AP168" s="62"/>
      <c r="AU168" s="3">
        <v>380</v>
      </c>
      <c r="AV168" s="3">
        <v>380</v>
      </c>
    </row>
    <row r="169" spans="1:48" ht="15">
      <c r="A169" s="1" t="s">
        <v>136</v>
      </c>
      <c r="B169" s="1" t="s">
        <v>335</v>
      </c>
      <c r="C169" s="1" t="s">
        <v>338</v>
      </c>
      <c r="D169" s="104">
        <v>1</v>
      </c>
      <c r="E169" s="4" t="s">
        <v>5</v>
      </c>
      <c r="F169" s="148" t="s">
        <v>519</v>
      </c>
      <c r="G169" s="48">
        <v>10</v>
      </c>
      <c r="H169" s="48">
        <v>10</v>
      </c>
      <c r="I169" s="3">
        <f t="shared" si="50"/>
        <v>0.89899999999999991</v>
      </c>
      <c r="J169" s="3">
        <f t="shared" si="51"/>
        <v>0.89899999999999991</v>
      </c>
      <c r="K169" s="52">
        <f t="shared" si="47"/>
        <v>8.9899999999999994E-2</v>
      </c>
      <c r="L169" s="44">
        <v>0.17</v>
      </c>
      <c r="M169" s="44">
        <v>1.1000000000000001</v>
      </c>
      <c r="N169" s="3" t="s">
        <v>200</v>
      </c>
      <c r="O169" s="3" t="s">
        <v>194</v>
      </c>
      <c r="T169" s="45">
        <v>4.4000000000000004</v>
      </c>
      <c r="U169" s="45">
        <f t="shared" si="52"/>
        <v>48.943270300333708</v>
      </c>
      <c r="V169" s="45">
        <v>5</v>
      </c>
      <c r="W169" s="45">
        <f t="shared" si="53"/>
        <v>55.61735261401558</v>
      </c>
      <c r="Z169" s="108">
        <f t="shared" si="45"/>
        <v>0</v>
      </c>
      <c r="AA169" s="57">
        <v>0.99999000000000005</v>
      </c>
      <c r="AB169" s="46">
        <v>0.99999800000000005</v>
      </c>
      <c r="AE169" s="3">
        <v>-71</v>
      </c>
      <c r="AI169" s="3">
        <v>60</v>
      </c>
      <c r="AJ169" s="3">
        <v>70</v>
      </c>
      <c r="AK169" s="3">
        <v>7</v>
      </c>
      <c r="AL169" s="3">
        <v>7</v>
      </c>
      <c r="AP169" s="62"/>
      <c r="AU169" s="3">
        <v>380</v>
      </c>
      <c r="AV169" s="3">
        <v>380</v>
      </c>
    </row>
    <row r="170" spans="1:48" ht="15">
      <c r="A170" s="1" t="s">
        <v>136</v>
      </c>
      <c r="B170" s="1" t="s">
        <v>335</v>
      </c>
      <c r="C170" s="1" t="s">
        <v>339</v>
      </c>
      <c r="D170" s="104">
        <v>1</v>
      </c>
      <c r="E170" s="8" t="s">
        <v>5</v>
      </c>
      <c r="F170" s="148" t="s">
        <v>519</v>
      </c>
      <c r="G170" s="48">
        <v>0.5</v>
      </c>
      <c r="H170" s="48">
        <v>0.5</v>
      </c>
      <c r="I170" s="3">
        <f t="shared" si="50"/>
        <v>4.4949999999999997E-2</v>
      </c>
      <c r="J170" s="3">
        <f t="shared" si="51"/>
        <v>4.4949999999999997E-2</v>
      </c>
      <c r="K170" s="52">
        <f t="shared" si="47"/>
        <v>8.9899999999999994E-2</v>
      </c>
      <c r="L170" s="44">
        <v>0.1</v>
      </c>
      <c r="M170" s="44">
        <v>1</v>
      </c>
      <c r="N170" s="3" t="s">
        <v>200</v>
      </c>
      <c r="O170" s="3" t="s">
        <v>194</v>
      </c>
      <c r="T170" s="45">
        <v>4.4000000000000004</v>
      </c>
      <c r="U170" s="45">
        <f t="shared" si="52"/>
        <v>48.943270300333708</v>
      </c>
      <c r="V170" s="45">
        <v>5</v>
      </c>
      <c r="W170" s="45">
        <f t="shared" si="53"/>
        <v>55.61735261401558</v>
      </c>
      <c r="Z170" s="108">
        <f t="shared" si="45"/>
        <v>0</v>
      </c>
      <c r="AA170" s="57">
        <v>0.99990000000000001</v>
      </c>
      <c r="AB170" s="57">
        <v>0.99999000000000005</v>
      </c>
      <c r="AE170" s="3">
        <v>-45</v>
      </c>
      <c r="AI170" s="3">
        <v>70</v>
      </c>
      <c r="AJ170" s="3">
        <v>80</v>
      </c>
      <c r="AK170" s="3">
        <v>1</v>
      </c>
      <c r="AL170" s="3">
        <v>1</v>
      </c>
      <c r="AP170" s="62"/>
      <c r="AU170" s="3">
        <v>220</v>
      </c>
      <c r="AV170" s="3">
        <v>220</v>
      </c>
    </row>
    <row r="171" spans="1:48" ht="15">
      <c r="A171" s="1" t="s">
        <v>136</v>
      </c>
      <c r="B171" s="1" t="s">
        <v>335</v>
      </c>
      <c r="C171" s="1" t="s">
        <v>340</v>
      </c>
      <c r="D171" s="104">
        <v>1</v>
      </c>
      <c r="E171" s="8" t="s">
        <v>5</v>
      </c>
      <c r="F171" s="148" t="s">
        <v>519</v>
      </c>
      <c r="G171" s="48">
        <v>1</v>
      </c>
      <c r="H171" s="48">
        <v>1</v>
      </c>
      <c r="I171" s="3">
        <f t="shared" si="50"/>
        <v>8.9899999999999994E-2</v>
      </c>
      <c r="J171" s="3">
        <f t="shared" si="51"/>
        <v>8.9899999999999994E-2</v>
      </c>
      <c r="K171" s="52">
        <f t="shared" si="47"/>
        <v>8.9899999999999994E-2</v>
      </c>
      <c r="L171" s="44">
        <v>0.1</v>
      </c>
      <c r="M171" s="44">
        <v>1</v>
      </c>
      <c r="N171" s="3" t="s">
        <v>200</v>
      </c>
      <c r="O171" s="3" t="s">
        <v>194</v>
      </c>
      <c r="T171" s="45">
        <v>4.4000000000000004</v>
      </c>
      <c r="U171" s="45">
        <f t="shared" si="52"/>
        <v>48.943270300333708</v>
      </c>
      <c r="V171" s="45">
        <v>5</v>
      </c>
      <c r="W171" s="45">
        <f t="shared" si="53"/>
        <v>55.61735261401558</v>
      </c>
      <c r="Z171" s="108">
        <f t="shared" si="45"/>
        <v>0</v>
      </c>
      <c r="AA171" s="57">
        <v>0.99990000000000001</v>
      </c>
      <c r="AB171" s="57">
        <v>0.99999000000000005</v>
      </c>
      <c r="AE171" s="3">
        <v>-45</v>
      </c>
      <c r="AI171" s="3">
        <v>70</v>
      </c>
      <c r="AJ171" s="3">
        <v>80</v>
      </c>
      <c r="AK171" s="3">
        <v>1</v>
      </c>
      <c r="AL171" s="3">
        <v>1</v>
      </c>
      <c r="AP171" s="62"/>
      <c r="AU171" s="3">
        <v>220</v>
      </c>
      <c r="AV171" s="3">
        <v>220</v>
      </c>
    </row>
    <row r="172" spans="1:48" ht="15">
      <c r="A172" s="1" t="s">
        <v>136</v>
      </c>
      <c r="B172" s="1" t="s">
        <v>335</v>
      </c>
      <c r="C172" s="1" t="s">
        <v>341</v>
      </c>
      <c r="D172" s="104">
        <v>1</v>
      </c>
      <c r="E172" s="4" t="s">
        <v>5</v>
      </c>
      <c r="F172" s="148" t="s">
        <v>519</v>
      </c>
      <c r="G172" s="48">
        <v>20</v>
      </c>
      <c r="H172" s="48">
        <v>20</v>
      </c>
      <c r="I172" s="3">
        <f t="shared" si="50"/>
        <v>1.7979999999999998</v>
      </c>
      <c r="J172" s="3">
        <f t="shared" si="51"/>
        <v>1.7979999999999998</v>
      </c>
      <c r="K172" s="52">
        <f t="shared" si="47"/>
        <v>8.9899999999999994E-2</v>
      </c>
      <c r="L172" s="44">
        <v>0.1</v>
      </c>
      <c r="M172" s="44">
        <v>1.1000000000000001</v>
      </c>
      <c r="N172" s="3" t="s">
        <v>200</v>
      </c>
      <c r="O172" s="3" t="s">
        <v>300</v>
      </c>
      <c r="T172" s="45">
        <v>4</v>
      </c>
      <c r="U172" s="45">
        <f t="shared" si="52"/>
        <v>44.493882091212463</v>
      </c>
      <c r="V172" s="45">
        <v>4.8</v>
      </c>
      <c r="W172" s="45">
        <f t="shared" si="53"/>
        <v>53.392658509454954</v>
      </c>
      <c r="Z172" s="108">
        <f t="shared" si="45"/>
        <v>0</v>
      </c>
      <c r="AA172" s="57">
        <v>0.99999000000000005</v>
      </c>
      <c r="AB172" s="57">
        <v>0.99999000000000005</v>
      </c>
      <c r="AE172" s="3">
        <v>-71</v>
      </c>
      <c r="AI172" s="3">
        <v>70</v>
      </c>
      <c r="AJ172" s="3">
        <v>80</v>
      </c>
      <c r="AK172" s="3">
        <v>0.6</v>
      </c>
      <c r="AL172" s="3">
        <v>1</v>
      </c>
      <c r="AP172" s="62"/>
      <c r="AU172" s="3">
        <v>380</v>
      </c>
      <c r="AV172" s="3">
        <v>380</v>
      </c>
    </row>
    <row r="173" spans="1:48" ht="15">
      <c r="A173" s="1" t="s">
        <v>136</v>
      </c>
      <c r="B173" s="1" t="s">
        <v>335</v>
      </c>
      <c r="C173" s="1" t="s">
        <v>342</v>
      </c>
      <c r="D173" s="104">
        <v>1</v>
      </c>
      <c r="E173" s="4" t="s">
        <v>5</v>
      </c>
      <c r="F173" s="148" t="s">
        <v>519</v>
      </c>
      <c r="G173" s="48">
        <v>50</v>
      </c>
      <c r="H173" s="48">
        <v>50</v>
      </c>
      <c r="I173" s="3">
        <f t="shared" si="50"/>
        <v>4.4950000000000001</v>
      </c>
      <c r="J173" s="3">
        <f t="shared" si="51"/>
        <v>4.4950000000000001</v>
      </c>
      <c r="K173" s="52">
        <f t="shared" si="47"/>
        <v>8.9899999999999994E-2</v>
      </c>
      <c r="L173" s="44">
        <v>0.1</v>
      </c>
      <c r="M173" s="44">
        <v>1.1000000000000001</v>
      </c>
      <c r="N173" s="3" t="s">
        <v>200</v>
      </c>
      <c r="O173" s="3" t="s">
        <v>300</v>
      </c>
      <c r="T173" s="45">
        <v>4</v>
      </c>
      <c r="U173" s="45">
        <f t="shared" si="52"/>
        <v>44.493882091212463</v>
      </c>
      <c r="V173" s="45">
        <v>4.8</v>
      </c>
      <c r="W173" s="45">
        <f t="shared" si="53"/>
        <v>53.392658509454954</v>
      </c>
      <c r="Z173" s="108">
        <f t="shared" si="45"/>
        <v>0</v>
      </c>
      <c r="AA173" s="57">
        <v>0.99999000000000005</v>
      </c>
      <c r="AB173" s="57">
        <v>0.99999000000000005</v>
      </c>
      <c r="AE173" s="3">
        <v>-71</v>
      </c>
      <c r="AI173" s="3">
        <v>70</v>
      </c>
      <c r="AJ173" s="3">
        <v>80</v>
      </c>
      <c r="AK173" s="3">
        <v>0.6</v>
      </c>
      <c r="AL173" s="3">
        <v>1</v>
      </c>
      <c r="AP173" s="62"/>
      <c r="AU173" s="3">
        <v>380</v>
      </c>
      <c r="AV173" s="3">
        <v>380</v>
      </c>
    </row>
    <row r="174" spans="1:48" ht="15">
      <c r="A174" s="1" t="s">
        <v>136</v>
      </c>
      <c r="B174" s="1" t="s">
        <v>335</v>
      </c>
      <c r="C174" s="1" t="s">
        <v>343</v>
      </c>
      <c r="D174" s="104">
        <v>1</v>
      </c>
      <c r="E174" s="4" t="s">
        <v>5</v>
      </c>
      <c r="F174" s="148" t="s">
        <v>519</v>
      </c>
      <c r="G174" s="48">
        <v>100</v>
      </c>
      <c r="H174" s="48">
        <v>100</v>
      </c>
      <c r="I174" s="3">
        <f t="shared" si="50"/>
        <v>8.99</v>
      </c>
      <c r="J174" s="3">
        <f t="shared" si="51"/>
        <v>8.99</v>
      </c>
      <c r="K174" s="52">
        <f t="shared" si="47"/>
        <v>8.9899999999999994E-2</v>
      </c>
      <c r="L174" s="44">
        <v>0.1</v>
      </c>
      <c r="M174" s="44">
        <v>1.1000000000000001</v>
      </c>
      <c r="N174" s="3" t="s">
        <v>200</v>
      </c>
      <c r="O174" s="3" t="s">
        <v>300</v>
      </c>
      <c r="T174" s="45">
        <v>4</v>
      </c>
      <c r="U174" s="45">
        <f t="shared" si="52"/>
        <v>44.493882091212463</v>
      </c>
      <c r="V174" s="45">
        <v>4.8</v>
      </c>
      <c r="W174" s="45">
        <f t="shared" si="53"/>
        <v>53.392658509454954</v>
      </c>
      <c r="Z174" s="108">
        <f t="shared" si="45"/>
        <v>0</v>
      </c>
      <c r="AA174" s="57">
        <v>0.99999000000000005</v>
      </c>
      <c r="AB174" s="57">
        <v>0.99999000000000005</v>
      </c>
      <c r="AE174" s="3">
        <v>-71</v>
      </c>
      <c r="AI174" s="3">
        <v>70</v>
      </c>
      <c r="AJ174" s="3">
        <v>80</v>
      </c>
      <c r="AK174" s="3">
        <v>0.6</v>
      </c>
      <c r="AL174" s="3">
        <v>1</v>
      </c>
      <c r="AP174" s="62"/>
      <c r="AU174" s="3">
        <v>380</v>
      </c>
      <c r="AV174" s="3">
        <v>380</v>
      </c>
    </row>
    <row r="175" spans="1:48" ht="15">
      <c r="A175" s="1" t="s">
        <v>136</v>
      </c>
      <c r="B175" s="1" t="s">
        <v>335</v>
      </c>
      <c r="C175" s="1" t="s">
        <v>344</v>
      </c>
      <c r="D175" s="104">
        <v>1</v>
      </c>
      <c r="E175" s="4" t="s">
        <v>5</v>
      </c>
      <c r="F175" s="148" t="s">
        <v>519</v>
      </c>
      <c r="G175" s="48">
        <v>200</v>
      </c>
      <c r="H175" s="48">
        <v>200</v>
      </c>
      <c r="I175" s="3">
        <f t="shared" si="50"/>
        <v>17.98</v>
      </c>
      <c r="J175" s="3">
        <f t="shared" si="51"/>
        <v>17.98</v>
      </c>
      <c r="K175" s="52">
        <f t="shared" si="47"/>
        <v>8.9899999999999994E-2</v>
      </c>
      <c r="L175" s="44">
        <v>0.1</v>
      </c>
      <c r="M175" s="44">
        <v>1.1000000000000001</v>
      </c>
      <c r="N175" s="3" t="s">
        <v>200</v>
      </c>
      <c r="O175" s="3" t="s">
        <v>300</v>
      </c>
      <c r="T175" s="45">
        <v>3.8</v>
      </c>
      <c r="U175" s="45">
        <f t="shared" si="52"/>
        <v>42.269187986651836</v>
      </c>
      <c r="V175" s="45">
        <v>4.5999999999999996</v>
      </c>
      <c r="W175" s="45">
        <f t="shared" si="53"/>
        <v>51.167964404894327</v>
      </c>
      <c r="Z175" s="108">
        <f t="shared" si="45"/>
        <v>0</v>
      </c>
      <c r="AA175" s="57">
        <v>0.99999000000000005</v>
      </c>
      <c r="AB175" s="57">
        <v>0.99999000000000005</v>
      </c>
      <c r="AE175" s="3">
        <v>-71</v>
      </c>
      <c r="AI175" s="3">
        <v>75</v>
      </c>
      <c r="AJ175" s="3">
        <v>80</v>
      </c>
      <c r="AK175" s="3">
        <v>1.2</v>
      </c>
      <c r="AL175" s="3">
        <v>1.6</v>
      </c>
      <c r="AP175" s="62"/>
      <c r="AU175" s="3" t="s">
        <v>347</v>
      </c>
      <c r="AV175" s="3" t="s">
        <v>347</v>
      </c>
    </row>
    <row r="176" spans="1:48" ht="15">
      <c r="A176" s="1" t="s">
        <v>136</v>
      </c>
      <c r="B176" s="1" t="s">
        <v>335</v>
      </c>
      <c r="C176" s="1" t="s">
        <v>345</v>
      </c>
      <c r="D176" s="104">
        <v>1</v>
      </c>
      <c r="E176" s="4" t="s">
        <v>5</v>
      </c>
      <c r="F176" s="148" t="s">
        <v>519</v>
      </c>
      <c r="G176" s="48">
        <v>500</v>
      </c>
      <c r="H176" s="48">
        <v>500</v>
      </c>
      <c r="I176" s="3">
        <f t="shared" si="50"/>
        <v>44.949999999999996</v>
      </c>
      <c r="J176" s="3">
        <f t="shared" si="51"/>
        <v>44.949999999999996</v>
      </c>
      <c r="K176" s="52">
        <f t="shared" si="47"/>
        <v>8.9899999999999994E-2</v>
      </c>
      <c r="L176" s="44">
        <v>0.1</v>
      </c>
      <c r="M176" s="44">
        <v>1.1000000000000001</v>
      </c>
      <c r="N176" s="3" t="s">
        <v>200</v>
      </c>
      <c r="O176" s="3" t="s">
        <v>300</v>
      </c>
      <c r="T176" s="45">
        <v>3.8</v>
      </c>
      <c r="U176" s="45">
        <f t="shared" si="52"/>
        <v>42.269187986651836</v>
      </c>
      <c r="V176" s="45">
        <v>4.5999999999999996</v>
      </c>
      <c r="W176" s="45">
        <f t="shared" si="53"/>
        <v>51.167964404894327</v>
      </c>
      <c r="Z176" s="108">
        <f t="shared" si="45"/>
        <v>0</v>
      </c>
      <c r="AA176" s="57">
        <v>0.99999000000000005</v>
      </c>
      <c r="AB176" s="57">
        <v>0.99999000000000005</v>
      </c>
      <c r="AE176" s="3">
        <v>-71</v>
      </c>
      <c r="AI176" s="3">
        <v>75</v>
      </c>
      <c r="AJ176" s="3">
        <v>80</v>
      </c>
      <c r="AK176" s="3">
        <v>1.2</v>
      </c>
      <c r="AL176" s="3">
        <v>1.6</v>
      </c>
      <c r="AP176" s="62"/>
      <c r="AU176" s="3" t="s">
        <v>347</v>
      </c>
      <c r="AV176" s="3" t="s">
        <v>347</v>
      </c>
    </row>
    <row r="177" spans="1:52" ht="15">
      <c r="A177" s="1" t="s">
        <v>136</v>
      </c>
      <c r="B177" s="1" t="s">
        <v>335</v>
      </c>
      <c r="C177" s="1" t="s">
        <v>346</v>
      </c>
      <c r="D177" s="104">
        <v>1</v>
      </c>
      <c r="E177" s="4" t="s">
        <v>5</v>
      </c>
      <c r="F177" s="148" t="s">
        <v>519</v>
      </c>
      <c r="G177" s="48">
        <v>1000</v>
      </c>
      <c r="H177" s="48">
        <v>1000</v>
      </c>
      <c r="I177" s="3">
        <f t="shared" si="50"/>
        <v>89.899999999999991</v>
      </c>
      <c r="J177" s="3">
        <f t="shared" si="51"/>
        <v>89.899999999999991</v>
      </c>
      <c r="K177" s="52">
        <f t="shared" si="47"/>
        <v>8.9899999999999994E-2</v>
      </c>
      <c r="L177" s="44">
        <v>0.1</v>
      </c>
      <c r="M177" s="44">
        <v>1.1000000000000001</v>
      </c>
      <c r="N177" s="3" t="s">
        <v>200</v>
      </c>
      <c r="O177" s="3" t="s">
        <v>300</v>
      </c>
      <c r="T177" s="45">
        <v>3.8</v>
      </c>
      <c r="U177" s="45">
        <f t="shared" si="52"/>
        <v>42.269187986651836</v>
      </c>
      <c r="V177" s="45">
        <v>4.5999999999999996</v>
      </c>
      <c r="W177" s="45">
        <f t="shared" si="53"/>
        <v>51.167964404894327</v>
      </c>
      <c r="Z177" s="108">
        <f t="shared" si="45"/>
        <v>0</v>
      </c>
      <c r="AA177" s="57">
        <v>0.99999000000000005</v>
      </c>
      <c r="AB177" s="57">
        <v>0.99999000000000005</v>
      </c>
      <c r="AE177" s="3">
        <v>-71</v>
      </c>
      <c r="AI177" s="3">
        <v>75</v>
      </c>
      <c r="AJ177" s="3">
        <v>80</v>
      </c>
      <c r="AK177" s="3">
        <v>1.2</v>
      </c>
      <c r="AL177" s="3">
        <v>1.6</v>
      </c>
      <c r="AP177" s="62"/>
      <c r="AU177" s="3" t="s">
        <v>347</v>
      </c>
      <c r="AV177" s="3" t="s">
        <v>347</v>
      </c>
    </row>
    <row r="178" spans="1:52" ht="15">
      <c r="A178" s="1" t="s">
        <v>136</v>
      </c>
      <c r="B178" s="1" t="s">
        <v>335</v>
      </c>
      <c r="C178" s="1" t="s">
        <v>348</v>
      </c>
      <c r="D178" s="104">
        <v>1</v>
      </c>
      <c r="E178" s="4" t="s">
        <v>5</v>
      </c>
      <c r="F178" s="148" t="s">
        <v>519</v>
      </c>
      <c r="G178" s="48">
        <v>50</v>
      </c>
      <c r="H178" s="48">
        <v>50</v>
      </c>
      <c r="I178" s="3">
        <f t="shared" si="50"/>
        <v>4.4950000000000001</v>
      </c>
      <c r="J178" s="3">
        <f t="shared" si="51"/>
        <v>4.4950000000000001</v>
      </c>
      <c r="K178" s="52">
        <f t="shared" si="47"/>
        <v>8.9899999999999994E-2</v>
      </c>
      <c r="L178" s="44">
        <v>0.1</v>
      </c>
      <c r="M178" s="44">
        <v>1.1000000000000001</v>
      </c>
      <c r="N178" s="3" t="s">
        <v>200</v>
      </c>
      <c r="O178" s="3" t="s">
        <v>300</v>
      </c>
      <c r="T178" s="45">
        <v>4</v>
      </c>
      <c r="U178" s="45">
        <f t="shared" si="52"/>
        <v>44.493882091212463</v>
      </c>
      <c r="V178" s="45">
        <v>4.8</v>
      </c>
      <c r="W178" s="45">
        <f t="shared" si="53"/>
        <v>53.392658509454954</v>
      </c>
      <c r="Z178" s="108">
        <f t="shared" si="45"/>
        <v>0</v>
      </c>
      <c r="AA178" s="57">
        <v>0.99999000000000005</v>
      </c>
      <c r="AB178" s="57">
        <v>0.99999000000000005</v>
      </c>
      <c r="AE178" s="3">
        <v>-71</v>
      </c>
      <c r="AI178" s="3">
        <v>75</v>
      </c>
      <c r="AJ178" s="3">
        <v>80</v>
      </c>
      <c r="AK178" s="3">
        <v>0.3</v>
      </c>
      <c r="AL178" s="3">
        <v>0.3</v>
      </c>
      <c r="AP178" s="62"/>
      <c r="AU178" s="3">
        <v>380</v>
      </c>
      <c r="AV178" s="3">
        <v>380</v>
      </c>
    </row>
    <row r="179" spans="1:52" ht="15">
      <c r="A179" s="1" t="s">
        <v>136</v>
      </c>
      <c r="B179" s="1" t="s">
        <v>335</v>
      </c>
      <c r="C179" s="1" t="s">
        <v>349</v>
      </c>
      <c r="D179" s="104">
        <v>1</v>
      </c>
      <c r="E179" s="4" t="s">
        <v>5</v>
      </c>
      <c r="F179" s="148" t="s">
        <v>519</v>
      </c>
      <c r="G179" s="48">
        <v>100</v>
      </c>
      <c r="H179" s="48">
        <v>100</v>
      </c>
      <c r="I179" s="3">
        <f t="shared" si="50"/>
        <v>8.99</v>
      </c>
      <c r="J179" s="3">
        <f t="shared" si="51"/>
        <v>8.99</v>
      </c>
      <c r="K179" s="52">
        <f t="shared" si="47"/>
        <v>8.9899999999999994E-2</v>
      </c>
      <c r="L179" s="44">
        <v>0.1</v>
      </c>
      <c r="M179" s="44">
        <v>1.1000000000000001</v>
      </c>
      <c r="N179" s="3" t="s">
        <v>200</v>
      </c>
      <c r="O179" s="3" t="s">
        <v>300</v>
      </c>
      <c r="T179" s="45">
        <v>4</v>
      </c>
      <c r="U179" s="45">
        <f t="shared" si="52"/>
        <v>44.493882091212463</v>
      </c>
      <c r="V179" s="45">
        <v>4.8</v>
      </c>
      <c r="W179" s="45">
        <f t="shared" si="53"/>
        <v>53.392658509454954</v>
      </c>
      <c r="Z179" s="108">
        <f t="shared" si="45"/>
        <v>0</v>
      </c>
      <c r="AA179" s="57">
        <v>0.99999000000000005</v>
      </c>
      <c r="AB179" s="57">
        <v>0.99999000000000005</v>
      </c>
      <c r="AE179" s="3">
        <v>-71</v>
      </c>
      <c r="AI179" s="3">
        <v>75</v>
      </c>
      <c r="AJ179" s="3">
        <v>80</v>
      </c>
      <c r="AK179" s="3">
        <v>0.3</v>
      </c>
      <c r="AL179" s="3">
        <v>0.3</v>
      </c>
      <c r="AP179" s="62"/>
      <c r="AU179" s="3">
        <v>380</v>
      </c>
      <c r="AV179" s="3">
        <v>380</v>
      </c>
    </row>
    <row r="180" spans="1:52" ht="15">
      <c r="A180" s="1" t="s">
        <v>136</v>
      </c>
      <c r="B180" s="1" t="s">
        <v>335</v>
      </c>
      <c r="C180" s="1" t="s">
        <v>350</v>
      </c>
      <c r="D180" s="104">
        <v>1</v>
      </c>
      <c r="E180" s="4" t="s">
        <v>5</v>
      </c>
      <c r="F180" s="148" t="s">
        <v>519</v>
      </c>
      <c r="G180" s="48">
        <v>500</v>
      </c>
      <c r="H180" s="48">
        <v>500</v>
      </c>
      <c r="I180" s="3">
        <f t="shared" si="50"/>
        <v>44.949999999999996</v>
      </c>
      <c r="J180" s="3">
        <f t="shared" si="51"/>
        <v>44.949999999999996</v>
      </c>
      <c r="K180" s="52">
        <f t="shared" si="47"/>
        <v>8.9899999999999994E-2</v>
      </c>
      <c r="L180" s="44">
        <v>0.1</v>
      </c>
      <c r="M180" s="44">
        <v>1.1000000000000001</v>
      </c>
      <c r="N180" s="3" t="s">
        <v>200</v>
      </c>
      <c r="O180" s="3" t="s">
        <v>300</v>
      </c>
      <c r="T180" s="45">
        <v>3.9</v>
      </c>
      <c r="U180" s="45">
        <f t="shared" si="52"/>
        <v>43.381535038932149</v>
      </c>
      <c r="V180" s="45">
        <v>4.7</v>
      </c>
      <c r="W180" s="45">
        <f t="shared" si="53"/>
        <v>52.280311457174641</v>
      </c>
      <c r="Z180" s="108">
        <f t="shared" si="45"/>
        <v>0</v>
      </c>
      <c r="AA180" s="57">
        <v>0.99999000000000005</v>
      </c>
      <c r="AB180" s="57">
        <v>0.99999000000000005</v>
      </c>
      <c r="AE180" s="3">
        <v>-71</v>
      </c>
      <c r="AI180" s="3">
        <v>75</v>
      </c>
      <c r="AJ180" s="3">
        <v>80</v>
      </c>
      <c r="AK180" s="3">
        <v>0.3</v>
      </c>
      <c r="AL180" s="3">
        <v>0.3</v>
      </c>
      <c r="AP180" s="62"/>
      <c r="AU180" s="3" t="s">
        <v>347</v>
      </c>
      <c r="AV180" s="3" t="s">
        <v>347</v>
      </c>
    </row>
    <row r="181" spans="1:52" ht="15">
      <c r="A181" s="1" t="s">
        <v>136</v>
      </c>
      <c r="B181" s="1" t="s">
        <v>335</v>
      </c>
      <c r="C181" s="1" t="s">
        <v>351</v>
      </c>
      <c r="D181" s="104">
        <v>1</v>
      </c>
      <c r="E181" s="4" t="s">
        <v>5</v>
      </c>
      <c r="F181" s="148" t="s">
        <v>519</v>
      </c>
      <c r="G181" s="48">
        <v>1000</v>
      </c>
      <c r="H181" s="48">
        <v>1000</v>
      </c>
      <c r="I181" s="3">
        <f t="shared" si="50"/>
        <v>89.899999999999991</v>
      </c>
      <c r="J181" s="3">
        <f t="shared" si="51"/>
        <v>89.899999999999991</v>
      </c>
      <c r="K181" s="52">
        <f t="shared" si="47"/>
        <v>8.9899999999999994E-2</v>
      </c>
      <c r="L181" s="44">
        <v>0.1</v>
      </c>
      <c r="M181" s="44">
        <v>1.1000000000000001</v>
      </c>
      <c r="N181" s="3" t="s">
        <v>200</v>
      </c>
      <c r="O181" s="3" t="s">
        <v>300</v>
      </c>
      <c r="T181" s="45">
        <v>3.9</v>
      </c>
      <c r="U181" s="45">
        <f t="shared" si="52"/>
        <v>43.381535038932149</v>
      </c>
      <c r="V181" s="45">
        <v>4.7</v>
      </c>
      <c r="W181" s="45">
        <f t="shared" si="53"/>
        <v>52.280311457174641</v>
      </c>
      <c r="Z181" s="108">
        <f t="shared" si="45"/>
        <v>0</v>
      </c>
      <c r="AA181" s="57">
        <v>0.99999000000000005</v>
      </c>
      <c r="AB181" s="57">
        <v>0.99999000000000005</v>
      </c>
      <c r="AE181" s="3">
        <v>-71</v>
      </c>
      <c r="AI181" s="3">
        <v>75</v>
      </c>
      <c r="AJ181" s="3">
        <v>80</v>
      </c>
      <c r="AK181" s="3">
        <v>0.3</v>
      </c>
      <c r="AL181" s="3">
        <v>0.3</v>
      </c>
      <c r="AP181" s="62"/>
      <c r="AU181" s="3" t="s">
        <v>347</v>
      </c>
      <c r="AV181" s="3" t="s">
        <v>347</v>
      </c>
    </row>
    <row r="182" spans="1:52" ht="15">
      <c r="A182" s="1" t="s">
        <v>75</v>
      </c>
      <c r="B182" s="1" t="s">
        <v>335</v>
      </c>
      <c r="C182" s="1" t="s">
        <v>352</v>
      </c>
      <c r="D182" s="104">
        <v>1</v>
      </c>
      <c r="E182" s="4" t="s">
        <v>5</v>
      </c>
      <c r="F182" s="148" t="s">
        <v>519</v>
      </c>
      <c r="G182" s="48">
        <v>100</v>
      </c>
      <c r="H182" s="48">
        <v>1000</v>
      </c>
      <c r="I182" s="3">
        <f t="shared" si="50"/>
        <v>8.99</v>
      </c>
      <c r="J182" s="3">
        <f t="shared" si="51"/>
        <v>89.899999999999991</v>
      </c>
      <c r="K182" s="52">
        <f t="shared" si="47"/>
        <v>8.9899999999999994E-2</v>
      </c>
      <c r="L182" s="44"/>
      <c r="M182" s="44"/>
      <c r="O182" s="3" t="s">
        <v>194</v>
      </c>
      <c r="T182" s="45">
        <v>4.9000000000000004</v>
      </c>
      <c r="U182" s="45">
        <f t="shared" si="52"/>
        <v>54.505005561735267</v>
      </c>
      <c r="V182" s="45">
        <v>5.2</v>
      </c>
      <c r="W182" s="45">
        <f t="shared" si="53"/>
        <v>57.842046718576199</v>
      </c>
      <c r="Z182" s="108">
        <f t="shared" si="45"/>
        <v>0</v>
      </c>
      <c r="AA182" s="57">
        <v>0.99997999999999998</v>
      </c>
      <c r="AB182" s="101">
        <v>0.99999499999999997</v>
      </c>
      <c r="AG182" s="3">
        <v>30</v>
      </c>
      <c r="AH182" s="3">
        <v>30</v>
      </c>
      <c r="AI182" s="3">
        <v>15</v>
      </c>
      <c r="AJ182" s="3">
        <v>40</v>
      </c>
      <c r="AK182" s="3">
        <v>2</v>
      </c>
      <c r="AL182" s="3">
        <v>4</v>
      </c>
      <c r="AP182" s="62"/>
      <c r="AT182" s="3">
        <v>2800</v>
      </c>
      <c r="AU182" s="3">
        <v>690</v>
      </c>
      <c r="AV182" s="3">
        <v>690</v>
      </c>
      <c r="AW182" s="3">
        <v>3</v>
      </c>
    </row>
    <row r="183" spans="1:52" ht="15">
      <c r="A183" s="1" t="s">
        <v>75</v>
      </c>
      <c r="B183" s="1" t="s">
        <v>335</v>
      </c>
      <c r="C183" s="1" t="s">
        <v>353</v>
      </c>
      <c r="D183" s="104">
        <v>1</v>
      </c>
      <c r="E183" s="4" t="s">
        <v>5</v>
      </c>
      <c r="F183" s="148" t="s">
        <v>519</v>
      </c>
      <c r="G183" s="48">
        <v>2</v>
      </c>
      <c r="H183" s="48">
        <v>2</v>
      </c>
      <c r="I183" s="3">
        <f>4.31/24</f>
        <v>0.17958333333333332</v>
      </c>
      <c r="J183" s="3">
        <f>4.31/24</f>
        <v>0.17958333333333332</v>
      </c>
      <c r="K183" s="3">
        <f>I183/H183</f>
        <v>8.9791666666666659E-2</v>
      </c>
      <c r="L183" s="44"/>
      <c r="M183" s="44"/>
      <c r="X183" s="45">
        <v>7.3</v>
      </c>
      <c r="Y183" s="45">
        <f>X183/K183</f>
        <v>81.299303944315554</v>
      </c>
      <c r="Z183" s="108" t="e">
        <f t="shared" si="45"/>
        <v>#DIV/0!</v>
      </c>
      <c r="AA183" s="46">
        <v>0.99999499999999997</v>
      </c>
      <c r="AB183" s="101">
        <v>0.99999499999999997</v>
      </c>
      <c r="AC183" s="3" t="s">
        <v>193</v>
      </c>
      <c r="AD183" s="3" t="s">
        <v>153</v>
      </c>
      <c r="AF183" s="3" t="s">
        <v>190</v>
      </c>
      <c r="AG183" s="3">
        <v>15</v>
      </c>
      <c r="AH183" s="3">
        <v>30</v>
      </c>
      <c r="AI183" s="3">
        <v>5</v>
      </c>
      <c r="AJ183" s="3">
        <v>50</v>
      </c>
      <c r="AK183" s="3">
        <v>1.5</v>
      </c>
      <c r="AL183" s="3">
        <v>4</v>
      </c>
      <c r="AO183" s="3">
        <f>1.83/G183</f>
        <v>0.91500000000000004</v>
      </c>
      <c r="AP183" s="62">
        <f>AO183/K183</f>
        <v>10.190255220417635</v>
      </c>
      <c r="AT183" s="3">
        <v>22</v>
      </c>
      <c r="AU183" s="3">
        <v>480</v>
      </c>
      <c r="AV183" s="3">
        <v>480</v>
      </c>
      <c r="AW183" s="3">
        <v>3</v>
      </c>
    </row>
    <row r="184" spans="1:52" ht="15">
      <c r="A184" s="1" t="s">
        <v>75</v>
      </c>
      <c r="B184" s="1" t="s">
        <v>335</v>
      </c>
      <c r="C184" s="1" t="s">
        <v>354</v>
      </c>
      <c r="D184" s="104">
        <v>1</v>
      </c>
      <c r="E184" s="4" t="s">
        <v>5</v>
      </c>
      <c r="F184" s="148" t="s">
        <v>519</v>
      </c>
      <c r="G184" s="48">
        <v>4</v>
      </c>
      <c r="H184" s="48">
        <v>4</v>
      </c>
      <c r="I184" s="3">
        <f>8.63/24</f>
        <v>0.35958333333333337</v>
      </c>
      <c r="J184" s="3">
        <f>8.63/24</f>
        <v>0.35958333333333337</v>
      </c>
      <c r="K184" s="3">
        <f t="shared" ref="K184:K185" si="54">I184/H184</f>
        <v>8.9895833333333341E-2</v>
      </c>
      <c r="L184" s="44"/>
      <c r="M184" s="44"/>
      <c r="X184" s="45">
        <v>7</v>
      </c>
      <c r="Y184" s="45">
        <f t="shared" ref="Y184:Y185" si="55">X184/K184</f>
        <v>77.867902665121662</v>
      </c>
      <c r="Z184" s="108" t="e">
        <f t="shared" si="45"/>
        <v>#DIV/0!</v>
      </c>
      <c r="AA184" s="46">
        <v>0.99999499999999997</v>
      </c>
      <c r="AB184" s="101">
        <v>0.99999499999999997</v>
      </c>
      <c r="AC184" s="3" t="s">
        <v>193</v>
      </c>
      <c r="AD184" s="3" t="s">
        <v>153</v>
      </c>
      <c r="AF184" s="3" t="s">
        <v>190</v>
      </c>
      <c r="AG184" s="3">
        <v>15</v>
      </c>
      <c r="AH184" s="3">
        <v>30</v>
      </c>
      <c r="AI184" s="3">
        <v>5</v>
      </c>
      <c r="AJ184" s="3">
        <v>50</v>
      </c>
      <c r="AK184" s="3">
        <v>1.5</v>
      </c>
      <c r="AL184" s="3">
        <v>4</v>
      </c>
      <c r="AO184" s="3">
        <f>3.66/G184</f>
        <v>0.91500000000000004</v>
      </c>
      <c r="AP184" s="62">
        <f t="shared" ref="AP184:AP188" si="56">AO184/K178</f>
        <v>10.177975528364851</v>
      </c>
      <c r="AT184" s="3">
        <v>38</v>
      </c>
      <c r="AU184" s="3">
        <v>480</v>
      </c>
      <c r="AV184" s="3">
        <v>480</v>
      </c>
      <c r="AW184" s="3">
        <v>3</v>
      </c>
    </row>
    <row r="185" spans="1:52" ht="15">
      <c r="A185" s="1" t="s">
        <v>75</v>
      </c>
      <c r="B185" s="1" t="s">
        <v>335</v>
      </c>
      <c r="C185" s="1" t="s">
        <v>355</v>
      </c>
      <c r="D185" s="104">
        <v>1</v>
      </c>
      <c r="E185" s="4" t="s">
        <v>5</v>
      </c>
      <c r="F185" s="148" t="s">
        <v>519</v>
      </c>
      <c r="G185" s="48">
        <v>6</v>
      </c>
      <c r="H185" s="48">
        <v>6</v>
      </c>
      <c r="I185" s="3">
        <f>12.94/24</f>
        <v>0.53916666666666668</v>
      </c>
      <c r="J185" s="3">
        <f>12.94/24</f>
        <v>0.53916666666666668</v>
      </c>
      <c r="K185" s="3">
        <f t="shared" si="54"/>
        <v>8.9861111111111114E-2</v>
      </c>
      <c r="L185" s="44"/>
      <c r="M185" s="44"/>
      <c r="X185" s="45">
        <v>6.8</v>
      </c>
      <c r="Y185" s="45">
        <f t="shared" si="55"/>
        <v>75.672333848531679</v>
      </c>
      <c r="Z185" s="108" t="e">
        <f t="shared" si="45"/>
        <v>#DIV/0!</v>
      </c>
      <c r="AA185" s="46">
        <v>0.99999499999999997</v>
      </c>
      <c r="AB185" s="101">
        <v>0.99999499999999997</v>
      </c>
      <c r="AC185" s="3" t="s">
        <v>193</v>
      </c>
      <c r="AD185" s="3" t="s">
        <v>153</v>
      </c>
      <c r="AF185" s="3" t="s">
        <v>190</v>
      </c>
      <c r="AG185" s="3">
        <v>15</v>
      </c>
      <c r="AH185" s="3">
        <v>30</v>
      </c>
      <c r="AI185" s="3">
        <v>5</v>
      </c>
      <c r="AJ185" s="3">
        <v>50</v>
      </c>
      <c r="AK185" s="3">
        <v>1.5</v>
      </c>
      <c r="AL185" s="3">
        <v>4</v>
      </c>
      <c r="AO185" s="3">
        <f>5.5/G185</f>
        <v>0.91666666666666663</v>
      </c>
      <c r="AP185" s="62">
        <f t="shared" si="56"/>
        <v>10.196514645902855</v>
      </c>
      <c r="AT185" s="3">
        <v>55</v>
      </c>
      <c r="AU185" s="3">
        <v>480</v>
      </c>
      <c r="AV185" s="3">
        <v>480</v>
      </c>
      <c r="AW185" s="3">
        <v>3</v>
      </c>
    </row>
    <row r="186" spans="1:52" ht="15">
      <c r="A186" s="1" t="s">
        <v>136</v>
      </c>
      <c r="B186" s="1" t="s">
        <v>356</v>
      </c>
      <c r="C186" s="1" t="s">
        <v>357</v>
      </c>
      <c r="D186" s="104">
        <v>1</v>
      </c>
      <c r="E186" s="4" t="s">
        <v>5</v>
      </c>
      <c r="F186" s="148" t="s">
        <v>519</v>
      </c>
      <c r="G186" s="48">
        <v>200</v>
      </c>
      <c r="H186" s="48">
        <v>200</v>
      </c>
      <c r="I186" s="3">
        <f>G186*K186</f>
        <v>17.98</v>
      </c>
      <c r="J186" s="3">
        <f>H186*K186</f>
        <v>17.98</v>
      </c>
      <c r="K186" s="52">
        <v>8.9899999999999994E-2</v>
      </c>
      <c r="L186" s="44"/>
      <c r="M186" s="44"/>
      <c r="T186" s="45">
        <v>4</v>
      </c>
      <c r="U186" s="45">
        <f>T186/K186</f>
        <v>44.493882091212463</v>
      </c>
      <c r="V186" s="45">
        <v>4.3</v>
      </c>
      <c r="W186" s="45">
        <f>V186/K186</f>
        <v>47.830923248053395</v>
      </c>
      <c r="Z186" s="108">
        <f t="shared" si="45"/>
        <v>0</v>
      </c>
      <c r="AA186" s="57">
        <v>0.99999000000000005</v>
      </c>
      <c r="AB186" s="57">
        <v>0.99999000000000005</v>
      </c>
      <c r="AC186" s="3" t="s">
        <v>153</v>
      </c>
      <c r="AE186" s="3">
        <v>-70</v>
      </c>
      <c r="AG186" s="3">
        <v>16</v>
      </c>
      <c r="AH186" s="3">
        <v>32</v>
      </c>
      <c r="AI186" s="3">
        <v>85</v>
      </c>
      <c r="AJ186" s="3">
        <v>92</v>
      </c>
      <c r="AO186" s="3">
        <f>180/G186</f>
        <v>0.9</v>
      </c>
      <c r="AP186" s="62">
        <f t="shared" si="56"/>
        <v>10.011123470522804</v>
      </c>
    </row>
    <row r="187" spans="1:52" ht="15">
      <c r="A187" s="1" t="s">
        <v>136</v>
      </c>
      <c r="B187" s="1" t="s">
        <v>356</v>
      </c>
      <c r="C187" s="1" t="s">
        <v>358</v>
      </c>
      <c r="D187" s="104">
        <v>1</v>
      </c>
      <c r="E187" s="4" t="s">
        <v>5</v>
      </c>
      <c r="F187" s="148" t="s">
        <v>519</v>
      </c>
      <c r="G187" s="48">
        <v>500</v>
      </c>
      <c r="H187" s="48">
        <v>500</v>
      </c>
      <c r="I187" s="3">
        <f t="shared" ref="I187:I226" si="57">G187*K187</f>
        <v>44.949999999999996</v>
      </c>
      <c r="J187" s="3">
        <f t="shared" ref="J187:J189" si="58">H187*K187</f>
        <v>44.949999999999996</v>
      </c>
      <c r="K187" s="52">
        <v>8.9899999999999994E-2</v>
      </c>
      <c r="L187" s="44"/>
      <c r="M187" s="44"/>
      <c r="T187" s="45">
        <v>4.0999999999999996</v>
      </c>
      <c r="U187" s="45">
        <f t="shared" ref="U187:U189" si="59">T187/K187</f>
        <v>45.606229143492769</v>
      </c>
      <c r="V187" s="45">
        <v>4.4000000000000004</v>
      </c>
      <c r="W187" s="45">
        <f t="shared" ref="W187:W189" si="60">V187/K187</f>
        <v>48.943270300333708</v>
      </c>
      <c r="Z187" s="108">
        <f t="shared" si="45"/>
        <v>0</v>
      </c>
      <c r="AA187" s="57">
        <v>0.99999000000000005</v>
      </c>
      <c r="AB187" s="57">
        <v>0.99999000000000005</v>
      </c>
      <c r="AC187" s="3" t="s">
        <v>153</v>
      </c>
      <c r="AE187" s="3">
        <v>-70</v>
      </c>
      <c r="AG187" s="3">
        <v>16</v>
      </c>
      <c r="AH187" s="3">
        <v>16</v>
      </c>
      <c r="AI187" s="3">
        <v>85</v>
      </c>
      <c r="AJ187" s="3">
        <v>92</v>
      </c>
      <c r="AO187" s="3">
        <f>450/G187</f>
        <v>0.9</v>
      </c>
      <c r="AP187" s="62">
        <f t="shared" si="56"/>
        <v>10.011123470522804</v>
      </c>
    </row>
    <row r="188" spans="1:52" ht="15">
      <c r="A188" s="1" t="s">
        <v>136</v>
      </c>
      <c r="B188" s="1" t="s">
        <v>356</v>
      </c>
      <c r="C188" s="1" t="s">
        <v>359</v>
      </c>
      <c r="D188" s="104">
        <v>1</v>
      </c>
      <c r="E188" s="4" t="s">
        <v>5</v>
      </c>
      <c r="F188" s="148" t="s">
        <v>519</v>
      </c>
      <c r="G188" s="48">
        <v>1000</v>
      </c>
      <c r="H188" s="48">
        <v>1000</v>
      </c>
      <c r="I188" s="3">
        <f t="shared" si="57"/>
        <v>89.899999999999991</v>
      </c>
      <c r="J188" s="3">
        <f t="shared" si="58"/>
        <v>89.899999999999991</v>
      </c>
      <c r="K188" s="52">
        <v>8.9899999999999994E-2</v>
      </c>
      <c r="L188" s="44"/>
      <c r="M188" s="44"/>
      <c r="T188" s="45">
        <v>4.0999999999999996</v>
      </c>
      <c r="U188" s="45">
        <f t="shared" si="59"/>
        <v>45.606229143492769</v>
      </c>
      <c r="V188" s="45">
        <v>4.4000000000000004</v>
      </c>
      <c r="W188" s="45">
        <f t="shared" si="60"/>
        <v>48.943270300333708</v>
      </c>
      <c r="Z188" s="108">
        <f t="shared" si="45"/>
        <v>0</v>
      </c>
      <c r="AA188" s="57">
        <v>0.99999000000000005</v>
      </c>
      <c r="AB188" s="57">
        <v>0.99999000000000005</v>
      </c>
      <c r="AC188" s="3" t="s">
        <v>153</v>
      </c>
      <c r="AE188" s="3">
        <v>-70</v>
      </c>
      <c r="AG188" s="3">
        <v>16</v>
      </c>
      <c r="AH188" s="3">
        <v>16</v>
      </c>
      <c r="AI188" s="3">
        <v>85</v>
      </c>
      <c r="AJ188" s="3">
        <v>92</v>
      </c>
      <c r="AO188" s="3">
        <f>900/G188</f>
        <v>0.9</v>
      </c>
      <c r="AP188" s="62">
        <f t="shared" si="56"/>
        <v>10.011123470522804</v>
      </c>
    </row>
    <row r="189" spans="1:52" ht="15">
      <c r="A189" s="1" t="s">
        <v>136</v>
      </c>
      <c r="B189" s="1" t="s">
        <v>360</v>
      </c>
      <c r="C189" s="1"/>
      <c r="D189" s="104">
        <v>1</v>
      </c>
      <c r="E189" s="4" t="s">
        <v>5</v>
      </c>
      <c r="F189" s="148" t="s">
        <v>519</v>
      </c>
      <c r="G189" s="48">
        <v>0.1</v>
      </c>
      <c r="H189" s="48">
        <v>1000</v>
      </c>
      <c r="I189" s="3">
        <f t="shared" si="57"/>
        <v>8.9899999999999997E-3</v>
      </c>
      <c r="J189" s="3">
        <f t="shared" si="58"/>
        <v>89.899999999999991</v>
      </c>
      <c r="K189" s="52">
        <v>8.9899999999999994E-2</v>
      </c>
      <c r="L189" s="44"/>
      <c r="M189" s="44"/>
      <c r="T189" s="45">
        <v>4</v>
      </c>
      <c r="U189" s="45">
        <f t="shared" si="59"/>
        <v>44.493882091212463</v>
      </c>
      <c r="V189" s="45">
        <v>4.3</v>
      </c>
      <c r="W189" s="45">
        <f t="shared" si="60"/>
        <v>47.830923248053395</v>
      </c>
      <c r="Z189" s="108">
        <f t="shared" si="45"/>
        <v>0</v>
      </c>
      <c r="AA189" s="57">
        <v>0.99990000000000001</v>
      </c>
      <c r="AB189" s="57">
        <v>0.999</v>
      </c>
      <c r="AG189" s="3">
        <v>16</v>
      </c>
      <c r="AH189" s="3">
        <v>16</v>
      </c>
      <c r="AZ189" s="3" t="s">
        <v>361</v>
      </c>
    </row>
    <row r="190" spans="1:52" ht="15">
      <c r="A190" s="1" t="s">
        <v>136</v>
      </c>
      <c r="B190" s="1" t="s">
        <v>362</v>
      </c>
      <c r="C190" s="1" t="s">
        <v>363</v>
      </c>
      <c r="D190" s="104">
        <v>1</v>
      </c>
      <c r="E190" s="4" t="s">
        <v>5</v>
      </c>
      <c r="F190" s="148" t="s">
        <v>519</v>
      </c>
      <c r="G190" s="67">
        <v>0.6</v>
      </c>
      <c r="H190" s="67">
        <v>0.6</v>
      </c>
      <c r="I190" s="3">
        <f t="shared" si="57"/>
        <v>5.3939999999999995E-2</v>
      </c>
      <c r="J190" s="3">
        <f>H190*K190</f>
        <v>5.3939999999999995E-2</v>
      </c>
      <c r="K190" s="52">
        <v>8.9899999999999994E-2</v>
      </c>
      <c r="L190" s="44">
        <v>0.05</v>
      </c>
      <c r="M190" s="44">
        <v>1.1000000000000001</v>
      </c>
      <c r="N190" s="3" t="s">
        <v>153</v>
      </c>
      <c r="O190" s="3" t="s">
        <v>200</v>
      </c>
      <c r="X190" s="45">
        <v>4.5</v>
      </c>
      <c r="Y190" s="45">
        <f>X190/K190</f>
        <v>50.055617352614021</v>
      </c>
      <c r="Z190" s="108" t="e">
        <f t="shared" si="45"/>
        <v>#DIV/0!</v>
      </c>
      <c r="AA190" s="57">
        <v>0.99999000000000005</v>
      </c>
      <c r="AB190" s="57">
        <v>0.99999000000000005</v>
      </c>
      <c r="AG190" s="3">
        <v>30</v>
      </c>
      <c r="AH190" s="3">
        <v>30</v>
      </c>
      <c r="AM190" s="3" t="s">
        <v>507</v>
      </c>
      <c r="AO190" s="3">
        <f>0.5/G190</f>
        <v>0.83333333333333337</v>
      </c>
      <c r="AP190" s="3">
        <f>AO190/K190</f>
        <v>9.2695587690025967</v>
      </c>
      <c r="AY190" s="3" t="s">
        <v>509</v>
      </c>
      <c r="AZ190" s="3">
        <v>10</v>
      </c>
    </row>
    <row r="191" spans="1:52" ht="15">
      <c r="A191" s="1" t="s">
        <v>136</v>
      </c>
      <c r="B191" s="1" t="s">
        <v>362</v>
      </c>
      <c r="C191" s="1" t="s">
        <v>364</v>
      </c>
      <c r="D191" s="104">
        <v>1</v>
      </c>
      <c r="E191" s="4" t="s">
        <v>5</v>
      </c>
      <c r="F191" s="148" t="s">
        <v>519</v>
      </c>
      <c r="G191" s="67">
        <v>2</v>
      </c>
      <c r="H191" s="67">
        <v>2</v>
      </c>
      <c r="I191" s="3">
        <f t="shared" si="57"/>
        <v>0.17979999999999999</v>
      </c>
      <c r="J191" s="3">
        <f>H191*K191</f>
        <v>0.17979999999999999</v>
      </c>
      <c r="K191" s="52">
        <v>8.9899999999999994E-2</v>
      </c>
      <c r="L191" s="44">
        <v>0.2</v>
      </c>
      <c r="M191" s="44">
        <v>1</v>
      </c>
      <c r="N191" s="3" t="s">
        <v>153</v>
      </c>
      <c r="O191" s="3" t="s">
        <v>200</v>
      </c>
      <c r="X191" s="45">
        <v>4.4000000000000004</v>
      </c>
      <c r="Y191" s="45">
        <f>X191/K191</f>
        <v>48.943270300333708</v>
      </c>
      <c r="Z191" s="108" t="e">
        <f t="shared" si="45"/>
        <v>#DIV/0!</v>
      </c>
      <c r="AA191" s="57">
        <v>0.99999000000000005</v>
      </c>
      <c r="AB191" s="57">
        <v>0.99999000000000005</v>
      </c>
      <c r="AG191" s="3">
        <v>30</v>
      </c>
      <c r="AH191" s="3">
        <v>30</v>
      </c>
      <c r="AM191" s="3" t="s">
        <v>507</v>
      </c>
      <c r="AO191" s="3">
        <f>2/G191</f>
        <v>1</v>
      </c>
      <c r="AP191" s="3">
        <f>AO191/K191</f>
        <v>11.123470522803116</v>
      </c>
      <c r="AY191" s="3" t="s">
        <v>508</v>
      </c>
      <c r="AZ191" s="3">
        <v>10</v>
      </c>
    </row>
    <row r="192" spans="1:52" ht="15">
      <c r="A192" s="1" t="s">
        <v>136</v>
      </c>
      <c r="B192" s="1" t="s">
        <v>362</v>
      </c>
      <c r="C192" s="1" t="s">
        <v>510</v>
      </c>
      <c r="D192" s="104">
        <v>1</v>
      </c>
      <c r="E192" s="4" t="s">
        <v>5</v>
      </c>
      <c r="F192" s="148" t="s">
        <v>519</v>
      </c>
      <c r="G192" s="67">
        <v>50</v>
      </c>
      <c r="H192" s="67">
        <v>50</v>
      </c>
      <c r="I192" s="3">
        <f t="shared" si="57"/>
        <v>4.4950000000000001</v>
      </c>
      <c r="J192" s="3">
        <f>H192*K192</f>
        <v>4.4950000000000001</v>
      </c>
      <c r="K192" s="52">
        <v>8.9899999999999994E-2</v>
      </c>
      <c r="L192" s="44">
        <v>0.05</v>
      </c>
      <c r="M192" s="44">
        <v>1.5</v>
      </c>
      <c r="N192" s="3" t="s">
        <v>153</v>
      </c>
      <c r="O192" s="3" t="s">
        <v>200</v>
      </c>
      <c r="X192" s="45">
        <v>4.2</v>
      </c>
      <c r="Y192" s="45">
        <f>X192/K192</f>
        <v>46.718576195773089</v>
      </c>
      <c r="Z192" s="108"/>
      <c r="AA192" s="57">
        <v>0.99999000000000005</v>
      </c>
      <c r="AB192" s="57">
        <v>0.99999000000000005</v>
      </c>
      <c r="AG192" s="3">
        <v>30</v>
      </c>
      <c r="AH192" s="3">
        <v>30</v>
      </c>
      <c r="AM192" s="3" t="s">
        <v>507</v>
      </c>
      <c r="AO192" s="3">
        <f>50/G192</f>
        <v>1</v>
      </c>
      <c r="AP192" s="3">
        <f>AO192/K192</f>
        <v>11.123470522803116</v>
      </c>
      <c r="AY192" s="3" t="s">
        <v>511</v>
      </c>
      <c r="AZ192" s="3">
        <v>10</v>
      </c>
    </row>
    <row r="193" spans="1:52" ht="15">
      <c r="A193" s="1" t="s">
        <v>136</v>
      </c>
      <c r="B193" s="1" t="s">
        <v>365</v>
      </c>
      <c r="C193" s="1" t="s">
        <v>366</v>
      </c>
      <c r="D193" s="104">
        <v>1</v>
      </c>
      <c r="E193" s="4" t="s">
        <v>5</v>
      </c>
      <c r="F193" s="148" t="s">
        <v>519</v>
      </c>
      <c r="G193" s="48">
        <v>2000</v>
      </c>
      <c r="H193" s="48">
        <v>2000</v>
      </c>
      <c r="I193" s="3">
        <f t="shared" si="57"/>
        <v>179.79999999999998</v>
      </c>
      <c r="J193" s="3">
        <f>H193*K193</f>
        <v>179.79999999999998</v>
      </c>
      <c r="K193" s="52">
        <v>8.9899999999999994E-2</v>
      </c>
      <c r="L193" s="44">
        <v>0.2</v>
      </c>
      <c r="M193" s="44">
        <v>1.1000000000000001</v>
      </c>
      <c r="P193" s="3">
        <v>10</v>
      </c>
      <c r="T193" s="45">
        <v>3.9</v>
      </c>
      <c r="U193" s="45">
        <f>T193/K193</f>
        <v>43.381535038932149</v>
      </c>
      <c r="V193" s="45">
        <v>4.5</v>
      </c>
      <c r="W193" s="45">
        <f>V193/K193</f>
        <v>50.055617352614021</v>
      </c>
      <c r="Z193" s="108">
        <f t="shared" si="45"/>
        <v>0</v>
      </c>
      <c r="AA193" s="46">
        <v>0.99999899999999997</v>
      </c>
      <c r="AB193" s="46">
        <v>0.99999899999999997</v>
      </c>
      <c r="AI193" s="3">
        <v>90</v>
      </c>
      <c r="AJ193" s="3">
        <v>110</v>
      </c>
      <c r="AK193" s="3">
        <v>1.6</v>
      </c>
      <c r="AL193" s="3">
        <v>4</v>
      </c>
      <c r="AZ193" s="3" t="s">
        <v>367</v>
      </c>
    </row>
    <row r="194" spans="1:52" ht="15">
      <c r="A194" s="1" t="s">
        <v>136</v>
      </c>
      <c r="B194" s="1" t="s">
        <v>365</v>
      </c>
      <c r="C194" s="1" t="s">
        <v>371</v>
      </c>
      <c r="D194" s="104">
        <v>1</v>
      </c>
      <c r="E194" s="4" t="s">
        <v>5</v>
      </c>
      <c r="F194" s="148" t="s">
        <v>519</v>
      </c>
      <c r="G194" s="48">
        <v>1500</v>
      </c>
      <c r="H194" s="48">
        <v>1500</v>
      </c>
      <c r="I194" s="3">
        <f t="shared" si="57"/>
        <v>134.85</v>
      </c>
      <c r="J194" s="3">
        <f t="shared" ref="J194:J226" si="61">H194*K194</f>
        <v>134.85</v>
      </c>
      <c r="K194" s="52">
        <v>8.9899999999999994E-2</v>
      </c>
      <c r="L194" s="44">
        <v>0.2</v>
      </c>
      <c r="M194" s="44">
        <v>1.1000000000000001</v>
      </c>
      <c r="P194" s="3">
        <v>10</v>
      </c>
      <c r="T194" s="45">
        <v>3.9</v>
      </c>
      <c r="U194" s="45">
        <f t="shared" ref="U194:U196" si="62">T194/K194</f>
        <v>43.381535038932149</v>
      </c>
      <c r="V194" s="45">
        <v>4.5</v>
      </c>
      <c r="W194" s="45">
        <f t="shared" ref="W194:W196" si="63">V194/K194</f>
        <v>50.055617352614021</v>
      </c>
      <c r="Z194" s="108">
        <f t="shared" si="45"/>
        <v>0</v>
      </c>
      <c r="AA194" s="46">
        <v>0.99999899999999997</v>
      </c>
      <c r="AB194" s="46">
        <v>0.99999899999999997</v>
      </c>
      <c r="AI194" s="3">
        <v>90</v>
      </c>
      <c r="AJ194" s="3">
        <v>110</v>
      </c>
      <c r="AK194" s="3">
        <v>1.6</v>
      </c>
      <c r="AL194" s="3">
        <v>4</v>
      </c>
      <c r="AZ194" s="3" t="s">
        <v>368</v>
      </c>
    </row>
    <row r="195" spans="1:52" ht="15">
      <c r="A195" s="1" t="s">
        <v>136</v>
      </c>
      <c r="B195" s="1" t="s">
        <v>365</v>
      </c>
      <c r="C195" s="1" t="s">
        <v>372</v>
      </c>
      <c r="D195" s="104">
        <v>1</v>
      </c>
      <c r="E195" s="4" t="s">
        <v>5</v>
      </c>
      <c r="F195" s="148" t="s">
        <v>519</v>
      </c>
      <c r="G195" s="48">
        <v>1000</v>
      </c>
      <c r="H195" s="48">
        <v>1000</v>
      </c>
      <c r="I195" s="3">
        <f t="shared" si="57"/>
        <v>89.899999999999991</v>
      </c>
      <c r="J195" s="3">
        <f t="shared" si="61"/>
        <v>89.899999999999991</v>
      </c>
      <c r="K195" s="52">
        <v>8.9899999999999994E-2</v>
      </c>
      <c r="L195" s="44">
        <v>0.2</v>
      </c>
      <c r="M195" s="44">
        <v>1.1000000000000001</v>
      </c>
      <c r="P195" s="3">
        <v>10</v>
      </c>
      <c r="T195" s="45">
        <v>3.9</v>
      </c>
      <c r="U195" s="45">
        <f t="shared" si="62"/>
        <v>43.381535038932149</v>
      </c>
      <c r="V195" s="45">
        <v>4.5</v>
      </c>
      <c r="W195" s="45">
        <f t="shared" si="63"/>
        <v>50.055617352614021</v>
      </c>
      <c r="Z195" s="108">
        <f t="shared" si="45"/>
        <v>0</v>
      </c>
      <c r="AA195" s="46">
        <v>0.99999899999999997</v>
      </c>
      <c r="AB195" s="46">
        <v>0.99999899999999997</v>
      </c>
      <c r="AI195" s="3">
        <v>90</v>
      </c>
      <c r="AJ195" s="3">
        <v>110</v>
      </c>
      <c r="AK195" s="3">
        <v>1.6</v>
      </c>
      <c r="AL195" s="3">
        <v>4</v>
      </c>
      <c r="AZ195" s="3" t="s">
        <v>369</v>
      </c>
    </row>
    <row r="196" spans="1:52" ht="15">
      <c r="A196" s="1" t="s">
        <v>136</v>
      </c>
      <c r="B196" s="1" t="s">
        <v>365</v>
      </c>
      <c r="C196" s="1" t="s">
        <v>373</v>
      </c>
      <c r="D196" s="104">
        <v>1</v>
      </c>
      <c r="E196" s="4" t="s">
        <v>5</v>
      </c>
      <c r="F196" s="148" t="s">
        <v>519</v>
      </c>
      <c r="G196" s="48">
        <v>800</v>
      </c>
      <c r="H196" s="48">
        <v>800</v>
      </c>
      <c r="I196" s="3">
        <f t="shared" si="57"/>
        <v>71.92</v>
      </c>
      <c r="J196" s="3">
        <f t="shared" si="61"/>
        <v>71.92</v>
      </c>
      <c r="K196" s="52">
        <v>8.9899999999999994E-2</v>
      </c>
      <c r="L196" s="44">
        <v>0.2</v>
      </c>
      <c r="M196" s="44">
        <v>1.1000000000000001</v>
      </c>
      <c r="P196" s="3">
        <v>10</v>
      </c>
      <c r="T196" s="45">
        <v>3.9</v>
      </c>
      <c r="U196" s="45">
        <f t="shared" si="62"/>
        <v>43.381535038932149</v>
      </c>
      <c r="V196" s="45">
        <v>4.5</v>
      </c>
      <c r="W196" s="45">
        <f t="shared" si="63"/>
        <v>50.055617352614021</v>
      </c>
      <c r="Z196" s="108">
        <f t="shared" ref="Z196:Z215" si="64">X196/T196</f>
        <v>0</v>
      </c>
      <c r="AA196" s="46">
        <v>0.99999899999999997</v>
      </c>
      <c r="AB196" s="46">
        <v>0.99999899999999997</v>
      </c>
      <c r="AI196" s="3">
        <v>90</v>
      </c>
      <c r="AJ196" s="3">
        <v>110</v>
      </c>
      <c r="AK196" s="3">
        <v>1.6</v>
      </c>
      <c r="AL196" s="3">
        <v>4</v>
      </c>
      <c r="AZ196" s="3" t="s">
        <v>370</v>
      </c>
    </row>
    <row r="197" spans="1:52" ht="15">
      <c r="A197" s="1" t="s">
        <v>136</v>
      </c>
      <c r="B197" s="1" t="s">
        <v>374</v>
      </c>
      <c r="C197" s="1" t="s">
        <v>375</v>
      </c>
      <c r="D197" s="104">
        <v>1</v>
      </c>
      <c r="E197" s="4" t="s">
        <v>5</v>
      </c>
      <c r="F197" s="148" t="s">
        <v>519</v>
      </c>
      <c r="G197" s="48">
        <v>2</v>
      </c>
      <c r="H197" s="48">
        <v>8</v>
      </c>
      <c r="I197" s="3">
        <f t="shared" si="57"/>
        <v>0.17979999999999999</v>
      </c>
      <c r="J197" s="3">
        <f t="shared" si="61"/>
        <v>0.71919999999999995</v>
      </c>
      <c r="K197" s="52">
        <v>8.9899999999999994E-2</v>
      </c>
      <c r="L197" s="44">
        <v>0.4</v>
      </c>
      <c r="M197" s="44">
        <v>1</v>
      </c>
      <c r="X197" s="45">
        <v>4.9000000000000004</v>
      </c>
      <c r="Y197" s="45">
        <f>X197/K197</f>
        <v>54.505005561735267</v>
      </c>
      <c r="Z197" s="108" t="e">
        <f t="shared" si="64"/>
        <v>#DIV/0!</v>
      </c>
      <c r="AA197" s="58">
        <v>0.999</v>
      </c>
      <c r="AB197" s="58">
        <v>0.999</v>
      </c>
      <c r="AI197" s="3">
        <v>90</v>
      </c>
      <c r="AJ197" s="3">
        <v>90</v>
      </c>
      <c r="AL197" s="3">
        <v>5</v>
      </c>
    </row>
    <row r="198" spans="1:52" ht="15">
      <c r="A198" s="1" t="s">
        <v>136</v>
      </c>
      <c r="B198" s="1" t="s">
        <v>374</v>
      </c>
      <c r="C198" s="1" t="s">
        <v>376</v>
      </c>
      <c r="D198" s="104">
        <v>1</v>
      </c>
      <c r="E198" s="4" t="s">
        <v>5</v>
      </c>
      <c r="F198" s="148" t="s">
        <v>519</v>
      </c>
      <c r="G198" s="48">
        <v>8</v>
      </c>
      <c r="H198" s="48">
        <v>20</v>
      </c>
      <c r="I198" s="3">
        <f t="shared" si="57"/>
        <v>0.71919999999999995</v>
      </c>
      <c r="J198" s="3">
        <f t="shared" si="61"/>
        <v>1.7979999999999998</v>
      </c>
      <c r="K198" s="52">
        <v>8.9899999999999994E-2</v>
      </c>
      <c r="L198" s="44">
        <v>0.4</v>
      </c>
      <c r="M198" s="44">
        <v>1</v>
      </c>
      <c r="X198" s="45">
        <v>4.8</v>
      </c>
      <c r="Y198" s="45">
        <f>X198/K198</f>
        <v>53.392658509454954</v>
      </c>
      <c r="Z198" s="108" t="e">
        <f t="shared" si="64"/>
        <v>#DIV/0!</v>
      </c>
      <c r="AA198" s="58">
        <v>0.999</v>
      </c>
      <c r="AB198" s="58">
        <v>0.999</v>
      </c>
      <c r="AI198" s="3">
        <v>90</v>
      </c>
      <c r="AJ198" s="3">
        <v>90</v>
      </c>
      <c r="AL198" s="3">
        <v>5</v>
      </c>
    </row>
    <row r="199" spans="1:52" ht="15">
      <c r="A199" s="1" t="s">
        <v>136</v>
      </c>
      <c r="B199" s="1" t="s">
        <v>374</v>
      </c>
      <c r="C199" s="1" t="s">
        <v>377</v>
      </c>
      <c r="D199" s="104">
        <v>1</v>
      </c>
      <c r="E199" s="4" t="s">
        <v>5</v>
      </c>
      <c r="F199" s="148" t="s">
        <v>519</v>
      </c>
      <c r="G199" s="48">
        <v>20</v>
      </c>
      <c r="H199" s="48">
        <v>40</v>
      </c>
      <c r="I199" s="3">
        <f t="shared" si="57"/>
        <v>1.7979999999999998</v>
      </c>
      <c r="J199" s="3">
        <f t="shared" si="61"/>
        <v>3.5959999999999996</v>
      </c>
      <c r="K199" s="52">
        <v>8.9899999999999994E-2</v>
      </c>
      <c r="L199" s="44">
        <v>0.4</v>
      </c>
      <c r="M199" s="44">
        <v>1</v>
      </c>
      <c r="X199" s="45">
        <v>4.7</v>
      </c>
      <c r="Y199" s="45">
        <f t="shared" ref="Y199:Y203" si="65">X199/K199</f>
        <v>52.280311457174641</v>
      </c>
      <c r="Z199" s="108" t="e">
        <f t="shared" si="64"/>
        <v>#DIV/0!</v>
      </c>
      <c r="AA199" s="58">
        <v>0.999</v>
      </c>
      <c r="AB199" s="58">
        <v>0.999</v>
      </c>
      <c r="AI199" s="3">
        <v>90</v>
      </c>
      <c r="AJ199" s="3">
        <v>90</v>
      </c>
      <c r="AL199" s="3">
        <v>5</v>
      </c>
    </row>
    <row r="200" spans="1:52" ht="15">
      <c r="A200" s="1" t="s">
        <v>136</v>
      </c>
      <c r="B200" s="1" t="s">
        <v>374</v>
      </c>
      <c r="C200" s="1" t="s">
        <v>378</v>
      </c>
      <c r="D200" s="104">
        <v>1</v>
      </c>
      <c r="E200" s="4" t="s">
        <v>5</v>
      </c>
      <c r="F200" s="148" t="s">
        <v>519</v>
      </c>
      <c r="G200" s="48">
        <v>40</v>
      </c>
      <c r="H200" s="48">
        <v>80</v>
      </c>
      <c r="I200" s="3">
        <f t="shared" si="57"/>
        <v>3.5959999999999996</v>
      </c>
      <c r="J200" s="3">
        <f t="shared" si="61"/>
        <v>7.1919999999999993</v>
      </c>
      <c r="K200" s="52">
        <v>8.9899999999999994E-2</v>
      </c>
      <c r="L200" s="44">
        <v>0.4</v>
      </c>
      <c r="M200" s="44">
        <v>1</v>
      </c>
      <c r="X200" s="45">
        <v>4.5999999999999996</v>
      </c>
      <c r="Y200" s="45">
        <f t="shared" si="65"/>
        <v>51.167964404894327</v>
      </c>
      <c r="Z200" s="108" t="e">
        <f t="shared" si="64"/>
        <v>#DIV/0!</v>
      </c>
      <c r="AA200" s="58">
        <v>0.999</v>
      </c>
      <c r="AB200" s="58">
        <v>0.999</v>
      </c>
      <c r="AI200" s="3">
        <v>90</v>
      </c>
      <c r="AJ200" s="3">
        <v>90</v>
      </c>
      <c r="AL200" s="3">
        <v>5</v>
      </c>
    </row>
    <row r="201" spans="1:52" ht="15">
      <c r="A201" s="1" t="s">
        <v>136</v>
      </c>
      <c r="B201" s="1" t="s">
        <v>374</v>
      </c>
      <c r="C201" s="1" t="s">
        <v>379</v>
      </c>
      <c r="D201" s="104">
        <v>1</v>
      </c>
      <c r="E201" s="4" t="s">
        <v>5</v>
      </c>
      <c r="F201" s="148" t="s">
        <v>519</v>
      </c>
      <c r="G201" s="48">
        <v>80</v>
      </c>
      <c r="H201" s="48">
        <v>150</v>
      </c>
      <c r="I201" s="3">
        <f t="shared" si="57"/>
        <v>7.1919999999999993</v>
      </c>
      <c r="J201" s="3">
        <f t="shared" si="61"/>
        <v>13.484999999999999</v>
      </c>
      <c r="K201" s="52">
        <v>8.9899999999999994E-2</v>
      </c>
      <c r="L201" s="44">
        <v>0.4</v>
      </c>
      <c r="M201" s="44">
        <v>1</v>
      </c>
      <c r="X201" s="45">
        <v>4.5</v>
      </c>
      <c r="Y201" s="45">
        <f t="shared" si="65"/>
        <v>50.055617352614021</v>
      </c>
      <c r="Z201" s="108" t="e">
        <f t="shared" si="64"/>
        <v>#DIV/0!</v>
      </c>
      <c r="AA201" s="58">
        <v>0.999</v>
      </c>
      <c r="AB201" s="58">
        <v>0.999</v>
      </c>
      <c r="AI201" s="3">
        <v>90</v>
      </c>
      <c r="AJ201" s="3">
        <v>90</v>
      </c>
      <c r="AL201" s="3">
        <v>4</v>
      </c>
    </row>
    <row r="202" spans="1:52" ht="15">
      <c r="A202" s="1" t="s">
        <v>136</v>
      </c>
      <c r="B202" s="1" t="s">
        <v>374</v>
      </c>
      <c r="C202" s="1" t="s">
        <v>380</v>
      </c>
      <c r="D202" s="104">
        <v>1</v>
      </c>
      <c r="E202" s="4" t="s">
        <v>5</v>
      </c>
      <c r="F202" s="148" t="s">
        <v>519</v>
      </c>
      <c r="G202" s="48">
        <v>150</v>
      </c>
      <c r="H202" s="48">
        <v>400</v>
      </c>
      <c r="I202" s="3">
        <f t="shared" si="57"/>
        <v>13.484999999999999</v>
      </c>
      <c r="J202" s="3">
        <f t="shared" si="61"/>
        <v>35.96</v>
      </c>
      <c r="K202" s="52">
        <v>8.9899999999999994E-2</v>
      </c>
      <c r="L202" s="44">
        <v>0.4</v>
      </c>
      <c r="M202" s="44">
        <v>1</v>
      </c>
      <c r="X202" s="45">
        <v>4.4000000000000004</v>
      </c>
      <c r="Y202" s="45">
        <f t="shared" si="65"/>
        <v>48.943270300333708</v>
      </c>
      <c r="Z202" s="108" t="e">
        <f t="shared" si="64"/>
        <v>#DIV/0!</v>
      </c>
      <c r="AA202" s="58">
        <v>0.999</v>
      </c>
      <c r="AB202" s="58">
        <v>0.999</v>
      </c>
      <c r="AI202" s="3">
        <v>90</v>
      </c>
      <c r="AJ202" s="3">
        <v>90</v>
      </c>
      <c r="AL202" s="3">
        <v>3</v>
      </c>
    </row>
    <row r="203" spans="1:52" ht="15">
      <c r="A203" s="1" t="s">
        <v>136</v>
      </c>
      <c r="B203" s="1" t="s">
        <v>374</v>
      </c>
      <c r="C203" s="1" t="s">
        <v>381</v>
      </c>
      <c r="D203" s="104">
        <v>1</v>
      </c>
      <c r="E203" s="4" t="s">
        <v>5</v>
      </c>
      <c r="F203" s="148" t="s">
        <v>519</v>
      </c>
      <c r="G203" s="48">
        <v>400</v>
      </c>
      <c r="H203" s="48">
        <v>1000</v>
      </c>
      <c r="I203" s="3">
        <f t="shared" si="57"/>
        <v>35.96</v>
      </c>
      <c r="J203" s="3">
        <f t="shared" si="61"/>
        <v>89.899999999999991</v>
      </c>
      <c r="K203" s="52">
        <v>8.9899999999999994E-2</v>
      </c>
      <c r="L203" s="44">
        <v>0.4</v>
      </c>
      <c r="M203" s="44">
        <v>1</v>
      </c>
      <c r="X203" s="45">
        <v>4.4000000000000004</v>
      </c>
      <c r="Y203" s="45">
        <f t="shared" si="65"/>
        <v>48.943270300333708</v>
      </c>
      <c r="Z203" s="108" t="e">
        <f t="shared" si="64"/>
        <v>#DIV/0!</v>
      </c>
      <c r="AA203" s="58">
        <v>0.999</v>
      </c>
      <c r="AB203" s="58">
        <v>0.999</v>
      </c>
      <c r="AI203" s="3">
        <v>90</v>
      </c>
      <c r="AJ203" s="3">
        <v>90</v>
      </c>
      <c r="AL203" s="3">
        <v>3</v>
      </c>
    </row>
    <row r="204" spans="1:52" ht="15">
      <c r="A204" s="1" t="s">
        <v>136</v>
      </c>
      <c r="B204" s="1" t="s">
        <v>382</v>
      </c>
      <c r="C204" s="1" t="s">
        <v>383</v>
      </c>
      <c r="D204" s="104">
        <v>1</v>
      </c>
      <c r="E204" s="4" t="s">
        <v>5</v>
      </c>
      <c r="F204" s="148" t="s">
        <v>519</v>
      </c>
      <c r="G204" s="48">
        <v>50</v>
      </c>
      <c r="H204" s="48">
        <v>50</v>
      </c>
      <c r="I204" s="3">
        <f t="shared" si="57"/>
        <v>4.4950000000000001</v>
      </c>
      <c r="J204" s="3">
        <f t="shared" si="61"/>
        <v>4.4950000000000001</v>
      </c>
      <c r="K204" s="52">
        <v>8.9899999999999994E-2</v>
      </c>
      <c r="L204" s="44">
        <v>0.3</v>
      </c>
      <c r="M204" s="44">
        <v>1</v>
      </c>
      <c r="T204" s="45">
        <v>4.4000000000000004</v>
      </c>
      <c r="U204" s="45">
        <f>T204/K204</f>
        <v>48.943270300333708</v>
      </c>
      <c r="V204" s="45">
        <v>4.5999999999999996</v>
      </c>
      <c r="W204" s="45">
        <f>V204/K204</f>
        <v>51.167964404894327</v>
      </c>
      <c r="Z204" s="108">
        <f t="shared" si="64"/>
        <v>0</v>
      </c>
      <c r="AA204" s="46">
        <v>0.99999899999999997</v>
      </c>
      <c r="AB204" s="46">
        <v>0.99999899999999997</v>
      </c>
      <c r="AE204" s="3">
        <v>-65</v>
      </c>
      <c r="AG204" s="3">
        <v>16</v>
      </c>
      <c r="AH204" s="3">
        <v>32</v>
      </c>
      <c r="AJ204" s="3">
        <v>40</v>
      </c>
      <c r="AO204" s="3">
        <v>1</v>
      </c>
      <c r="AP204" s="3">
        <f>AO204/K204</f>
        <v>11.123470522803116</v>
      </c>
    </row>
    <row r="205" spans="1:52" ht="15">
      <c r="A205" s="1" t="s">
        <v>136</v>
      </c>
      <c r="B205" s="1" t="s">
        <v>382</v>
      </c>
      <c r="C205" s="1" t="s">
        <v>384</v>
      </c>
      <c r="D205" s="104">
        <v>1</v>
      </c>
      <c r="E205" s="4" t="s">
        <v>5</v>
      </c>
      <c r="F205" s="148" t="s">
        <v>519</v>
      </c>
      <c r="G205" s="48">
        <v>100</v>
      </c>
      <c r="H205" s="48">
        <v>100</v>
      </c>
      <c r="I205" s="3">
        <f t="shared" si="57"/>
        <v>8.99</v>
      </c>
      <c r="J205" s="3">
        <f t="shared" si="61"/>
        <v>8.99</v>
      </c>
      <c r="K205" s="52">
        <v>8.9899999999999994E-2</v>
      </c>
      <c r="L205" s="44">
        <v>0.3</v>
      </c>
      <c r="M205" s="44">
        <v>1</v>
      </c>
      <c r="T205" s="45">
        <v>4.4000000000000004</v>
      </c>
      <c r="U205" s="45">
        <f t="shared" ref="U205:U215" si="66">T205/K205</f>
        <v>48.943270300333708</v>
      </c>
      <c r="V205" s="45">
        <v>4.5999999999999996</v>
      </c>
      <c r="W205" s="45">
        <f t="shared" ref="W205:W215" si="67">V205/K205</f>
        <v>51.167964404894327</v>
      </c>
      <c r="Z205" s="108">
        <f t="shared" si="64"/>
        <v>0</v>
      </c>
      <c r="AA205" s="46">
        <v>0.99999899999999997</v>
      </c>
      <c r="AB205" s="46">
        <v>0.99999899999999997</v>
      </c>
      <c r="AE205" s="3">
        <v>-65</v>
      </c>
      <c r="AG205" s="3">
        <v>16</v>
      </c>
      <c r="AH205" s="3">
        <v>32</v>
      </c>
      <c r="AJ205" s="3">
        <v>40</v>
      </c>
      <c r="AO205" s="3">
        <v>1</v>
      </c>
      <c r="AP205" s="3">
        <f t="shared" ref="AP205:AP213" si="68">AO205/K205</f>
        <v>11.123470522803116</v>
      </c>
    </row>
    <row r="206" spans="1:52" ht="15">
      <c r="A206" s="1" t="s">
        <v>136</v>
      </c>
      <c r="B206" s="1" t="s">
        <v>382</v>
      </c>
      <c r="C206" s="1" t="s">
        <v>385</v>
      </c>
      <c r="D206" s="104">
        <v>1</v>
      </c>
      <c r="E206" s="4" t="s">
        <v>5</v>
      </c>
      <c r="F206" s="148" t="s">
        <v>519</v>
      </c>
      <c r="G206" s="48">
        <v>150</v>
      </c>
      <c r="H206" s="48">
        <v>150</v>
      </c>
      <c r="I206" s="3">
        <f t="shared" si="57"/>
        <v>13.484999999999999</v>
      </c>
      <c r="J206" s="3">
        <f t="shared" si="61"/>
        <v>13.484999999999999</v>
      </c>
      <c r="K206" s="52">
        <v>8.9899999999999994E-2</v>
      </c>
      <c r="L206" s="44">
        <v>0.3</v>
      </c>
      <c r="M206" s="44">
        <v>1</v>
      </c>
      <c r="T206" s="45">
        <v>4.4000000000000004</v>
      </c>
      <c r="U206" s="45">
        <f t="shared" si="66"/>
        <v>48.943270300333708</v>
      </c>
      <c r="V206" s="45">
        <v>4.5999999999999996</v>
      </c>
      <c r="W206" s="45">
        <f t="shared" si="67"/>
        <v>51.167964404894327</v>
      </c>
      <c r="Z206" s="108">
        <f t="shared" si="64"/>
        <v>0</v>
      </c>
      <c r="AA206" s="46">
        <v>0.99999899999999997</v>
      </c>
      <c r="AB206" s="46">
        <v>0.99999899999999997</v>
      </c>
      <c r="AE206" s="3">
        <v>-65</v>
      </c>
      <c r="AG206" s="3">
        <v>16</v>
      </c>
      <c r="AH206" s="3">
        <v>32</v>
      </c>
      <c r="AJ206" s="3">
        <v>40</v>
      </c>
      <c r="AO206" s="3">
        <v>1</v>
      </c>
      <c r="AP206" s="3">
        <f t="shared" si="68"/>
        <v>11.123470522803116</v>
      </c>
    </row>
    <row r="207" spans="1:52" ht="15">
      <c r="A207" s="1" t="s">
        <v>136</v>
      </c>
      <c r="B207" s="1" t="s">
        <v>382</v>
      </c>
      <c r="C207" s="1" t="s">
        <v>386</v>
      </c>
      <c r="D207" s="104">
        <v>1</v>
      </c>
      <c r="E207" s="4" t="s">
        <v>5</v>
      </c>
      <c r="F207" s="148" t="s">
        <v>519</v>
      </c>
      <c r="G207" s="48">
        <v>200</v>
      </c>
      <c r="H207" s="48">
        <v>200</v>
      </c>
      <c r="I207" s="3">
        <f t="shared" si="57"/>
        <v>17.98</v>
      </c>
      <c r="J207" s="3">
        <f t="shared" si="61"/>
        <v>17.98</v>
      </c>
      <c r="K207" s="52">
        <v>8.9899999999999994E-2</v>
      </c>
      <c r="L207" s="44">
        <v>0.3</v>
      </c>
      <c r="M207" s="44">
        <v>1</v>
      </c>
      <c r="T207" s="45">
        <v>4.4000000000000004</v>
      </c>
      <c r="U207" s="45">
        <f t="shared" si="66"/>
        <v>48.943270300333708</v>
      </c>
      <c r="V207" s="45">
        <v>4.5999999999999996</v>
      </c>
      <c r="W207" s="45">
        <f t="shared" si="67"/>
        <v>51.167964404894327</v>
      </c>
      <c r="Z207" s="108">
        <f t="shared" si="64"/>
        <v>0</v>
      </c>
      <c r="AA207" s="46">
        <v>0.99999899999999997</v>
      </c>
      <c r="AB207" s="46">
        <v>0.99999899999999997</v>
      </c>
      <c r="AE207" s="3">
        <v>-65</v>
      </c>
      <c r="AG207" s="3">
        <v>16</v>
      </c>
      <c r="AH207" s="3">
        <v>32</v>
      </c>
      <c r="AJ207" s="3">
        <v>40</v>
      </c>
      <c r="AO207" s="3">
        <v>1</v>
      </c>
      <c r="AP207" s="3">
        <f t="shared" si="68"/>
        <v>11.123470522803116</v>
      </c>
    </row>
    <row r="208" spans="1:52" ht="15">
      <c r="A208" s="1" t="s">
        <v>136</v>
      </c>
      <c r="B208" s="1" t="s">
        <v>382</v>
      </c>
      <c r="C208" s="1" t="s">
        <v>392</v>
      </c>
      <c r="D208" s="104">
        <v>1</v>
      </c>
      <c r="E208" s="4" t="s">
        <v>5</v>
      </c>
      <c r="F208" s="148" t="s">
        <v>519</v>
      </c>
      <c r="G208" s="48">
        <v>5</v>
      </c>
      <c r="H208" s="48">
        <v>5</v>
      </c>
      <c r="I208" s="3">
        <f t="shared" si="57"/>
        <v>0.44949999999999996</v>
      </c>
      <c r="J208" s="3">
        <f t="shared" si="61"/>
        <v>0.44949999999999996</v>
      </c>
      <c r="K208" s="52">
        <v>8.9899999999999994E-2</v>
      </c>
      <c r="L208" s="44">
        <v>0.3</v>
      </c>
      <c r="M208" s="44">
        <v>1</v>
      </c>
      <c r="T208" s="45">
        <v>4.4000000000000004</v>
      </c>
      <c r="U208" s="45">
        <f t="shared" si="66"/>
        <v>48.943270300333708</v>
      </c>
      <c r="V208" s="45">
        <v>4.5999999999999996</v>
      </c>
      <c r="W208" s="45">
        <f t="shared" si="67"/>
        <v>51.167964404894327</v>
      </c>
      <c r="Z208" s="108">
        <f t="shared" si="64"/>
        <v>0</v>
      </c>
      <c r="AA208" s="46">
        <v>0.99999899999999997</v>
      </c>
      <c r="AB208" s="46">
        <v>0.99999899999999997</v>
      </c>
      <c r="AE208" s="3">
        <v>-65</v>
      </c>
      <c r="AG208" s="3">
        <v>16</v>
      </c>
      <c r="AH208" s="3">
        <v>32</v>
      </c>
      <c r="AJ208" s="3">
        <v>40</v>
      </c>
      <c r="AO208" s="3">
        <v>1</v>
      </c>
      <c r="AP208" s="3">
        <f t="shared" si="68"/>
        <v>11.123470522803116</v>
      </c>
      <c r="AT208" s="3">
        <v>43</v>
      </c>
    </row>
    <row r="209" spans="1:50" ht="15">
      <c r="A209" s="1" t="s">
        <v>136</v>
      </c>
      <c r="B209" s="1" t="s">
        <v>382</v>
      </c>
      <c r="C209" s="1" t="s">
        <v>387</v>
      </c>
      <c r="D209" s="104">
        <v>1</v>
      </c>
      <c r="E209" s="4" t="s">
        <v>5</v>
      </c>
      <c r="F209" s="148" t="s">
        <v>519</v>
      </c>
      <c r="G209" s="48">
        <v>10</v>
      </c>
      <c r="H209" s="48">
        <v>10</v>
      </c>
      <c r="I209" s="3">
        <f t="shared" si="57"/>
        <v>0.89899999999999991</v>
      </c>
      <c r="J209" s="3">
        <f t="shared" si="61"/>
        <v>0.89899999999999991</v>
      </c>
      <c r="K209" s="52">
        <v>8.9899999999999994E-2</v>
      </c>
      <c r="L209" s="44">
        <v>0.3</v>
      </c>
      <c r="M209" s="44">
        <v>1</v>
      </c>
      <c r="T209" s="45">
        <v>4.4000000000000004</v>
      </c>
      <c r="U209" s="45">
        <f t="shared" si="66"/>
        <v>48.943270300333708</v>
      </c>
      <c r="V209" s="45">
        <v>4.5999999999999996</v>
      </c>
      <c r="W209" s="45">
        <f t="shared" si="67"/>
        <v>51.167964404894327</v>
      </c>
      <c r="Z209" s="108">
        <f t="shared" si="64"/>
        <v>0</v>
      </c>
      <c r="AA209" s="46">
        <v>0.99999899999999997</v>
      </c>
      <c r="AB209" s="46">
        <v>0.99999899999999997</v>
      </c>
      <c r="AE209" s="3">
        <v>-65</v>
      </c>
      <c r="AG209" s="3">
        <v>16</v>
      </c>
      <c r="AH209" s="3">
        <v>32</v>
      </c>
      <c r="AJ209" s="3">
        <v>40</v>
      </c>
      <c r="AO209" s="3">
        <v>1</v>
      </c>
      <c r="AP209" s="3">
        <f t="shared" si="68"/>
        <v>11.123470522803116</v>
      </c>
      <c r="AT209" s="3">
        <v>85</v>
      </c>
    </row>
    <row r="210" spans="1:50" ht="15">
      <c r="A210" s="1" t="s">
        <v>136</v>
      </c>
      <c r="B210" s="1" t="s">
        <v>382</v>
      </c>
      <c r="C210" s="1" t="s">
        <v>388</v>
      </c>
      <c r="D210" s="104">
        <v>1</v>
      </c>
      <c r="E210" s="4" t="s">
        <v>5</v>
      </c>
      <c r="F210" s="148" t="s">
        <v>519</v>
      </c>
      <c r="G210" s="48">
        <v>15</v>
      </c>
      <c r="H210" s="48">
        <v>15</v>
      </c>
      <c r="I210" s="3">
        <f t="shared" si="57"/>
        <v>1.3484999999999998</v>
      </c>
      <c r="J210" s="3">
        <f t="shared" si="61"/>
        <v>1.3484999999999998</v>
      </c>
      <c r="K210" s="52">
        <v>8.9899999999999994E-2</v>
      </c>
      <c r="L210" s="44">
        <v>0.3</v>
      </c>
      <c r="M210" s="44">
        <v>1</v>
      </c>
      <c r="T210" s="45">
        <v>4.4000000000000004</v>
      </c>
      <c r="U210" s="45">
        <f t="shared" si="66"/>
        <v>48.943270300333708</v>
      </c>
      <c r="V210" s="45">
        <v>4.5999999999999996</v>
      </c>
      <c r="W210" s="45">
        <f t="shared" si="67"/>
        <v>51.167964404894327</v>
      </c>
      <c r="Z210" s="108">
        <f t="shared" si="64"/>
        <v>0</v>
      </c>
      <c r="AA210" s="46">
        <v>0.99999899999999997</v>
      </c>
      <c r="AB210" s="46">
        <v>0.99999899999999997</v>
      </c>
      <c r="AE210" s="3">
        <v>-65</v>
      </c>
      <c r="AG210" s="3">
        <v>16</v>
      </c>
      <c r="AH210" s="3">
        <v>32</v>
      </c>
      <c r="AJ210" s="3">
        <v>40</v>
      </c>
      <c r="AO210" s="3">
        <v>1</v>
      </c>
      <c r="AP210" s="3">
        <f t="shared" si="68"/>
        <v>11.123470522803116</v>
      </c>
      <c r="AT210" s="3">
        <v>120</v>
      </c>
    </row>
    <row r="211" spans="1:50" ht="15">
      <c r="A211" s="1" t="s">
        <v>136</v>
      </c>
      <c r="B211" s="1" t="s">
        <v>382</v>
      </c>
      <c r="C211" s="1" t="s">
        <v>389</v>
      </c>
      <c r="D211" s="104">
        <v>1</v>
      </c>
      <c r="E211" s="4" t="s">
        <v>5</v>
      </c>
      <c r="F211" s="148" t="s">
        <v>519</v>
      </c>
      <c r="G211" s="48">
        <v>20</v>
      </c>
      <c r="H211" s="48">
        <v>20</v>
      </c>
      <c r="I211" s="3">
        <f t="shared" si="57"/>
        <v>1.7979999999999998</v>
      </c>
      <c r="J211" s="3">
        <f t="shared" si="61"/>
        <v>1.7979999999999998</v>
      </c>
      <c r="K211" s="52">
        <v>8.9899999999999994E-2</v>
      </c>
      <c r="L211" s="44">
        <v>0.3</v>
      </c>
      <c r="M211" s="44">
        <v>1</v>
      </c>
      <c r="T211" s="45">
        <v>4.4000000000000004</v>
      </c>
      <c r="U211" s="45">
        <f t="shared" si="66"/>
        <v>48.943270300333708</v>
      </c>
      <c r="V211" s="45">
        <v>4.5999999999999996</v>
      </c>
      <c r="W211" s="45">
        <f t="shared" si="67"/>
        <v>51.167964404894327</v>
      </c>
      <c r="Z211" s="108">
        <f t="shared" si="64"/>
        <v>0</v>
      </c>
      <c r="AA211" s="46">
        <v>0.99999899999999997</v>
      </c>
      <c r="AB211" s="46">
        <v>0.99999899999999997</v>
      </c>
      <c r="AE211" s="3">
        <v>-65</v>
      </c>
      <c r="AG211" s="3">
        <v>16</v>
      </c>
      <c r="AH211" s="3">
        <v>32</v>
      </c>
      <c r="AJ211" s="3">
        <v>40</v>
      </c>
      <c r="AO211" s="3">
        <v>1</v>
      </c>
      <c r="AP211" s="3">
        <f t="shared" si="68"/>
        <v>11.123470522803116</v>
      </c>
      <c r="AT211" s="3">
        <v>160</v>
      </c>
    </row>
    <row r="212" spans="1:50" ht="15">
      <c r="A212" s="1" t="s">
        <v>136</v>
      </c>
      <c r="B212" s="1" t="s">
        <v>382</v>
      </c>
      <c r="C212" s="1" t="s">
        <v>390</v>
      </c>
      <c r="D212" s="104">
        <v>1</v>
      </c>
      <c r="E212" s="4" t="s">
        <v>5</v>
      </c>
      <c r="F212" s="148" t="s">
        <v>519</v>
      </c>
      <c r="G212" s="48">
        <v>25</v>
      </c>
      <c r="H212" s="48">
        <v>25</v>
      </c>
      <c r="I212" s="3">
        <f t="shared" si="57"/>
        <v>2.2475000000000001</v>
      </c>
      <c r="J212" s="3">
        <f t="shared" si="61"/>
        <v>2.2475000000000001</v>
      </c>
      <c r="K212" s="52">
        <v>8.9899999999999994E-2</v>
      </c>
      <c r="L212" s="44">
        <v>0.3</v>
      </c>
      <c r="M212" s="44">
        <v>1</v>
      </c>
      <c r="T212" s="45">
        <v>4.4000000000000004</v>
      </c>
      <c r="U212" s="45">
        <f t="shared" si="66"/>
        <v>48.943270300333708</v>
      </c>
      <c r="V212" s="45">
        <v>4.5999999999999996</v>
      </c>
      <c r="W212" s="45">
        <f t="shared" si="67"/>
        <v>51.167964404894327</v>
      </c>
      <c r="Z212" s="108">
        <f t="shared" si="64"/>
        <v>0</v>
      </c>
      <c r="AA212" s="46">
        <v>0.99999899999999997</v>
      </c>
      <c r="AB212" s="46">
        <v>0.99999899999999997</v>
      </c>
      <c r="AE212" s="3">
        <v>-65</v>
      </c>
      <c r="AG212" s="3">
        <v>16</v>
      </c>
      <c r="AH212" s="3">
        <v>32</v>
      </c>
      <c r="AJ212" s="3">
        <v>40</v>
      </c>
      <c r="AO212" s="3">
        <v>1</v>
      </c>
      <c r="AP212" s="3">
        <f t="shared" si="68"/>
        <v>11.123470522803116</v>
      </c>
      <c r="AT212" s="3">
        <v>200</v>
      </c>
    </row>
    <row r="213" spans="1:50" ht="15">
      <c r="A213" s="1" t="s">
        <v>136</v>
      </c>
      <c r="B213" s="1" t="s">
        <v>382</v>
      </c>
      <c r="C213" s="1" t="s">
        <v>391</v>
      </c>
      <c r="D213" s="104">
        <v>1</v>
      </c>
      <c r="E213" s="4" t="s">
        <v>5</v>
      </c>
      <c r="F213" s="148" t="s">
        <v>519</v>
      </c>
      <c r="G213" s="48">
        <v>30</v>
      </c>
      <c r="H213" s="48">
        <v>30</v>
      </c>
      <c r="I213" s="3">
        <f t="shared" si="57"/>
        <v>2.6969999999999996</v>
      </c>
      <c r="J213" s="3">
        <f t="shared" si="61"/>
        <v>2.6969999999999996</v>
      </c>
      <c r="K213" s="52">
        <v>8.9899999999999994E-2</v>
      </c>
      <c r="L213" s="44">
        <v>0.3</v>
      </c>
      <c r="M213" s="44">
        <v>1</v>
      </c>
      <c r="T213" s="45">
        <v>4.4000000000000004</v>
      </c>
      <c r="U213" s="45">
        <f t="shared" si="66"/>
        <v>48.943270300333708</v>
      </c>
      <c r="V213" s="45">
        <v>4.5999999999999996</v>
      </c>
      <c r="W213" s="45">
        <f t="shared" si="67"/>
        <v>51.167964404894327</v>
      </c>
      <c r="Z213" s="108">
        <f t="shared" si="64"/>
        <v>0</v>
      </c>
      <c r="AA213" s="46">
        <v>0.99999899999999997</v>
      </c>
      <c r="AB213" s="46">
        <v>0.99999899999999997</v>
      </c>
      <c r="AE213" s="3">
        <v>-65</v>
      </c>
      <c r="AG213" s="3">
        <v>16</v>
      </c>
      <c r="AH213" s="3">
        <v>32</v>
      </c>
      <c r="AJ213" s="3">
        <v>40</v>
      </c>
      <c r="AO213" s="3">
        <v>1</v>
      </c>
      <c r="AP213" s="3">
        <f t="shared" si="68"/>
        <v>11.123470522803116</v>
      </c>
      <c r="AT213" s="3">
        <v>240</v>
      </c>
    </row>
    <row r="214" spans="1:50" ht="15">
      <c r="A214" s="1" t="s">
        <v>75</v>
      </c>
      <c r="B214" s="1" t="s">
        <v>396</v>
      </c>
      <c r="C214" s="1" t="s">
        <v>397</v>
      </c>
      <c r="D214" s="104">
        <v>1</v>
      </c>
      <c r="E214" s="4" t="s">
        <v>5</v>
      </c>
      <c r="F214" s="148" t="s">
        <v>519</v>
      </c>
      <c r="G214" s="3">
        <v>200</v>
      </c>
      <c r="H214" s="3">
        <v>200</v>
      </c>
      <c r="I214" s="3">
        <f t="shared" si="57"/>
        <v>17.98</v>
      </c>
      <c r="J214" s="3">
        <f t="shared" si="61"/>
        <v>17.98</v>
      </c>
      <c r="K214" s="52">
        <v>8.9899999999999994E-2</v>
      </c>
      <c r="L214" s="44">
        <v>0.1</v>
      </c>
      <c r="M214" s="44">
        <v>1.1000000000000001</v>
      </c>
      <c r="N214" s="3">
        <v>8</v>
      </c>
      <c r="T214" s="45">
        <v>3.6</v>
      </c>
      <c r="U214" s="45">
        <f t="shared" si="66"/>
        <v>40.044493882091217</v>
      </c>
      <c r="V214" s="45">
        <v>4.5</v>
      </c>
      <c r="W214" s="45">
        <f t="shared" si="67"/>
        <v>50.055617352614021</v>
      </c>
      <c r="Z214" s="3">
        <f t="shared" si="64"/>
        <v>0</v>
      </c>
      <c r="AA214" s="46">
        <v>0.999996</v>
      </c>
      <c r="AB214" s="46">
        <v>0.999996</v>
      </c>
      <c r="AI214" s="3">
        <v>5</v>
      </c>
      <c r="AJ214" s="3">
        <v>40</v>
      </c>
    </row>
    <row r="215" spans="1:50" ht="15">
      <c r="A215" s="1" t="s">
        <v>75</v>
      </c>
      <c r="B215" s="1" t="s">
        <v>396</v>
      </c>
      <c r="C215" s="1" t="s">
        <v>512</v>
      </c>
      <c r="D215" s="104">
        <v>1</v>
      </c>
      <c r="E215" s="4" t="s">
        <v>5</v>
      </c>
      <c r="F215" s="148" t="s">
        <v>519</v>
      </c>
      <c r="G215" s="3">
        <v>22</v>
      </c>
      <c r="H215" s="3">
        <v>22</v>
      </c>
      <c r="I215" s="3">
        <f t="shared" si="57"/>
        <v>1.9777999999999998</v>
      </c>
      <c r="J215" s="3">
        <f t="shared" si="61"/>
        <v>1.9777999999999998</v>
      </c>
      <c r="K215" s="52">
        <v>8.9899999999999994E-2</v>
      </c>
      <c r="L215" s="44">
        <v>0.1</v>
      </c>
      <c r="M215" s="44">
        <v>1.1000000000000001</v>
      </c>
      <c r="T215" s="45">
        <v>3.6</v>
      </c>
      <c r="U215" s="45">
        <f t="shared" si="66"/>
        <v>40.044493882091217</v>
      </c>
      <c r="V215" s="45">
        <v>4.5</v>
      </c>
      <c r="W215" s="45">
        <f t="shared" si="67"/>
        <v>50.055617352614021</v>
      </c>
      <c r="Z215" s="3">
        <f t="shared" si="64"/>
        <v>0</v>
      </c>
      <c r="AA215" s="46">
        <v>0.999996</v>
      </c>
      <c r="AB215" s="46">
        <v>0.999996</v>
      </c>
      <c r="AC215" s="3" t="s">
        <v>513</v>
      </c>
      <c r="AG215" s="3">
        <v>10</v>
      </c>
      <c r="AH215" s="3">
        <v>30</v>
      </c>
    </row>
    <row r="216" spans="1:50" ht="15">
      <c r="A216" s="1" t="s">
        <v>75</v>
      </c>
      <c r="B216" s="1" t="s">
        <v>398</v>
      </c>
      <c r="C216" s="1"/>
      <c r="D216" s="104">
        <v>1</v>
      </c>
      <c r="E216" s="4" t="s">
        <v>5</v>
      </c>
      <c r="F216" s="148" t="s">
        <v>519</v>
      </c>
      <c r="G216" s="3">
        <v>0.3</v>
      </c>
      <c r="H216" s="3">
        <v>1</v>
      </c>
      <c r="I216" s="3">
        <f t="shared" si="57"/>
        <v>2.6969999999999997E-2</v>
      </c>
      <c r="J216" s="3">
        <f t="shared" si="61"/>
        <v>8.9899999999999994E-2</v>
      </c>
      <c r="K216" s="52">
        <v>8.9899999999999994E-2</v>
      </c>
      <c r="L216" s="44">
        <v>0.1</v>
      </c>
      <c r="M216" s="44">
        <v>1.1000000000000001</v>
      </c>
      <c r="X216" s="45">
        <v>4.3</v>
      </c>
      <c r="Y216" s="45">
        <f>X216/K216</f>
        <v>47.830923248053395</v>
      </c>
      <c r="Z216" s="46"/>
      <c r="AA216" s="46"/>
      <c r="AF216" s="3">
        <v>15</v>
      </c>
      <c r="AG216" s="3">
        <v>50</v>
      </c>
      <c r="AH216" s="3">
        <v>60</v>
      </c>
      <c r="AI216" s="3">
        <v>80</v>
      </c>
    </row>
    <row r="217" spans="1:50" ht="15">
      <c r="A217" s="1" t="s">
        <v>75</v>
      </c>
      <c r="B217" s="1" t="s">
        <v>398</v>
      </c>
      <c r="C217" s="1"/>
      <c r="D217" s="104">
        <v>1</v>
      </c>
      <c r="E217" s="4" t="s">
        <v>5</v>
      </c>
      <c r="F217" s="148" t="s">
        <v>519</v>
      </c>
      <c r="G217" s="3">
        <v>2</v>
      </c>
      <c r="H217" s="3">
        <v>8</v>
      </c>
      <c r="I217" s="3">
        <f t="shared" si="57"/>
        <v>0.17979999999999999</v>
      </c>
      <c r="J217" s="3">
        <f t="shared" si="61"/>
        <v>0.71919999999999995</v>
      </c>
      <c r="K217" s="52">
        <v>8.9899999999999994E-2</v>
      </c>
      <c r="L217" s="44">
        <v>0.1</v>
      </c>
      <c r="M217" s="44">
        <v>1.1000000000000001</v>
      </c>
      <c r="X217" s="45">
        <v>4.3</v>
      </c>
      <c r="Y217" s="45">
        <f t="shared" ref="Y217:Y226" si="69">X217/K217</f>
        <v>47.830923248053395</v>
      </c>
      <c r="Z217" s="46"/>
      <c r="AA217" s="46"/>
      <c r="AF217" s="3">
        <v>15</v>
      </c>
      <c r="AG217" s="3">
        <v>50</v>
      </c>
      <c r="AH217" s="3">
        <v>60</v>
      </c>
      <c r="AI217" s="3">
        <v>80</v>
      </c>
    </row>
    <row r="218" spans="1:50" ht="15">
      <c r="A218" s="1" t="s">
        <v>75</v>
      </c>
      <c r="B218" s="1" t="s">
        <v>398</v>
      </c>
      <c r="C218" s="1"/>
      <c r="D218" s="104">
        <v>1</v>
      </c>
      <c r="E218" s="4" t="s">
        <v>5</v>
      </c>
      <c r="F218" s="148" t="s">
        <v>519</v>
      </c>
      <c r="G218" s="3">
        <v>10</v>
      </c>
      <c r="H218" s="3">
        <v>20</v>
      </c>
      <c r="I218" s="3">
        <f t="shared" si="57"/>
        <v>0.89899999999999991</v>
      </c>
      <c r="J218" s="3">
        <f t="shared" si="61"/>
        <v>1.7979999999999998</v>
      </c>
      <c r="K218" s="52">
        <v>8.9899999999999994E-2</v>
      </c>
      <c r="L218" s="44">
        <v>0.1</v>
      </c>
      <c r="M218" s="44">
        <v>1.1000000000000001</v>
      </c>
      <c r="X218" s="45">
        <v>4.3</v>
      </c>
      <c r="Y218" s="45">
        <f t="shared" si="69"/>
        <v>47.830923248053395</v>
      </c>
      <c r="Z218" s="46"/>
      <c r="AA218" s="46"/>
      <c r="AF218" s="3">
        <v>15</v>
      </c>
      <c r="AG218" s="3">
        <v>50</v>
      </c>
      <c r="AH218" s="3">
        <v>60</v>
      </c>
      <c r="AI218" s="3">
        <v>80</v>
      </c>
    </row>
    <row r="219" spans="1:50" ht="15">
      <c r="A219" s="1" t="s">
        <v>75</v>
      </c>
      <c r="B219" s="1" t="s">
        <v>398</v>
      </c>
      <c r="C219" s="1"/>
      <c r="D219" s="104">
        <v>1</v>
      </c>
      <c r="E219" s="4" t="s">
        <v>5</v>
      </c>
      <c r="F219" s="148" t="s">
        <v>519</v>
      </c>
      <c r="G219" s="3">
        <v>25</v>
      </c>
      <c r="H219" s="3">
        <v>50</v>
      </c>
      <c r="I219" s="3">
        <f t="shared" si="57"/>
        <v>2.2475000000000001</v>
      </c>
      <c r="J219" s="3">
        <f t="shared" si="61"/>
        <v>4.4950000000000001</v>
      </c>
      <c r="K219" s="52">
        <v>8.9899999999999994E-2</v>
      </c>
      <c r="L219" s="44">
        <v>0.1</v>
      </c>
      <c r="M219" s="44">
        <v>1.1000000000000001</v>
      </c>
      <c r="X219" s="45">
        <v>4.3</v>
      </c>
      <c r="Y219" s="45">
        <f t="shared" si="69"/>
        <v>47.830923248053395</v>
      </c>
      <c r="Z219" s="46"/>
      <c r="AA219" s="46"/>
      <c r="AF219" s="3">
        <v>15</v>
      </c>
      <c r="AG219" s="3">
        <v>50</v>
      </c>
      <c r="AH219" s="3">
        <v>60</v>
      </c>
      <c r="AI219" s="3">
        <v>80</v>
      </c>
    </row>
    <row r="220" spans="1:50" ht="15">
      <c r="A220" s="1" t="s">
        <v>75</v>
      </c>
      <c r="B220" s="1" t="s">
        <v>398</v>
      </c>
      <c r="D220" s="104">
        <v>1</v>
      </c>
      <c r="E220" s="4" t="s">
        <v>5</v>
      </c>
      <c r="F220" s="148" t="s">
        <v>519</v>
      </c>
      <c r="G220" s="3">
        <v>60</v>
      </c>
      <c r="H220" s="3">
        <v>250</v>
      </c>
      <c r="I220" s="3">
        <f t="shared" si="57"/>
        <v>5.3939999999999992</v>
      </c>
      <c r="J220" s="3">
        <f t="shared" si="61"/>
        <v>22.474999999999998</v>
      </c>
      <c r="K220" s="52">
        <v>8.9899999999999994E-2</v>
      </c>
      <c r="L220" s="44">
        <v>0.1</v>
      </c>
      <c r="M220" s="44">
        <v>1.1000000000000001</v>
      </c>
      <c r="X220" s="45">
        <v>4.3</v>
      </c>
      <c r="Y220" s="45">
        <f t="shared" si="69"/>
        <v>47.830923248053395</v>
      </c>
      <c r="Z220" s="46"/>
      <c r="AA220" s="46"/>
      <c r="AF220" s="3">
        <v>15</v>
      </c>
      <c r="AG220" s="3">
        <v>50</v>
      </c>
      <c r="AH220" s="3">
        <v>60</v>
      </c>
      <c r="AI220" s="3">
        <v>80</v>
      </c>
    </row>
    <row r="221" spans="1:50" ht="15">
      <c r="A221" s="1" t="s">
        <v>75</v>
      </c>
      <c r="B221" s="1" t="s">
        <v>398</v>
      </c>
      <c r="C221" s="1" t="s">
        <v>399</v>
      </c>
      <c r="D221" s="104">
        <v>1</v>
      </c>
      <c r="E221" s="4" t="s">
        <v>5</v>
      </c>
      <c r="F221" s="148" t="s">
        <v>519</v>
      </c>
      <c r="G221" s="3">
        <v>0.3</v>
      </c>
      <c r="H221" s="3">
        <v>1</v>
      </c>
      <c r="I221" s="3">
        <f t="shared" si="57"/>
        <v>2.6969999999999997E-2</v>
      </c>
      <c r="J221" s="3">
        <f t="shared" si="61"/>
        <v>8.9899999999999994E-2</v>
      </c>
      <c r="K221" s="52">
        <v>8.9899999999999994E-2</v>
      </c>
      <c r="L221" s="44">
        <v>0</v>
      </c>
      <c r="M221" s="44">
        <v>1.5</v>
      </c>
      <c r="T221" s="45">
        <f>1.5/G221</f>
        <v>5</v>
      </c>
      <c r="U221" s="45">
        <f t="shared" ref="U221:U224" si="70">T221/K221</f>
        <v>55.61735261401558</v>
      </c>
      <c r="V221" s="45">
        <f>7/H221</f>
        <v>7</v>
      </c>
      <c r="W221" s="45">
        <f t="shared" ref="W221:W224" si="71">V221/K221</f>
        <v>77.864293659621808</v>
      </c>
      <c r="AA221" s="46">
        <v>0.99999000000000005</v>
      </c>
      <c r="AB221" s="46">
        <v>0.99999000000000005</v>
      </c>
      <c r="AG221" s="3">
        <v>15</v>
      </c>
      <c r="AH221" s="3">
        <v>50</v>
      </c>
      <c r="AQ221" s="3" t="s">
        <v>83</v>
      </c>
      <c r="AU221" s="3">
        <v>220</v>
      </c>
    </row>
    <row r="222" spans="1:50" ht="15">
      <c r="A222" s="1" t="s">
        <v>75</v>
      </c>
      <c r="B222" s="1" t="s">
        <v>398</v>
      </c>
      <c r="C222" s="1" t="s">
        <v>400</v>
      </c>
      <c r="D222" s="104">
        <v>1</v>
      </c>
      <c r="E222" s="4" t="s">
        <v>5</v>
      </c>
      <c r="F222" s="148" t="s">
        <v>519</v>
      </c>
      <c r="G222" s="3">
        <v>2</v>
      </c>
      <c r="H222" s="3">
        <v>8</v>
      </c>
      <c r="I222" s="3">
        <f t="shared" si="57"/>
        <v>0.17979999999999999</v>
      </c>
      <c r="J222" s="3">
        <f t="shared" si="61"/>
        <v>0.71919999999999995</v>
      </c>
      <c r="K222" s="52">
        <v>8.9899999999999994E-2</v>
      </c>
      <c r="L222" s="44">
        <v>0</v>
      </c>
      <c r="M222" s="44">
        <v>1.5</v>
      </c>
      <c r="T222" s="45">
        <f>50/H222</f>
        <v>6.25</v>
      </c>
      <c r="U222" s="45">
        <f t="shared" si="70"/>
        <v>69.521690767519473</v>
      </c>
      <c r="V222" s="45">
        <f>15/G222</f>
        <v>7.5</v>
      </c>
      <c r="W222" s="45">
        <f t="shared" si="71"/>
        <v>83.426028921023359</v>
      </c>
      <c r="AA222" s="46">
        <v>0.99999000000000005</v>
      </c>
      <c r="AB222" s="46">
        <v>0.99999000000000005</v>
      </c>
      <c r="AG222" s="3">
        <v>15</v>
      </c>
      <c r="AH222" s="3">
        <v>50</v>
      </c>
      <c r="AQ222" s="3" t="s">
        <v>87</v>
      </c>
      <c r="AU222" s="3">
        <v>380</v>
      </c>
    </row>
    <row r="223" spans="1:50" ht="15">
      <c r="A223" s="1" t="s">
        <v>75</v>
      </c>
      <c r="B223" s="1" t="s">
        <v>398</v>
      </c>
      <c r="C223" s="1" t="s">
        <v>401</v>
      </c>
      <c r="D223" s="104">
        <v>1</v>
      </c>
      <c r="E223" s="4" t="s">
        <v>5</v>
      </c>
      <c r="F223" s="148" t="s">
        <v>519</v>
      </c>
      <c r="G223" s="3">
        <v>10</v>
      </c>
      <c r="H223" s="3">
        <v>50</v>
      </c>
      <c r="I223" s="3">
        <f t="shared" si="57"/>
        <v>0.89899999999999991</v>
      </c>
      <c r="J223" s="3">
        <f t="shared" si="61"/>
        <v>4.4950000000000001</v>
      </c>
      <c r="K223" s="52">
        <v>8.9899999999999994E-2</v>
      </c>
      <c r="L223" s="44">
        <v>0</v>
      </c>
      <c r="M223" s="44">
        <v>1.25</v>
      </c>
      <c r="T223" s="45">
        <f>160/H223</f>
        <v>3.2</v>
      </c>
      <c r="U223" s="45">
        <f t="shared" si="70"/>
        <v>35.595105672969972</v>
      </c>
      <c r="V223" s="45">
        <f>60/G223</f>
        <v>6</v>
      </c>
      <c r="W223" s="45">
        <f t="shared" si="71"/>
        <v>66.74082313681869</v>
      </c>
      <c r="AA223" s="46">
        <v>0.99999000000000005</v>
      </c>
      <c r="AB223" s="46">
        <v>0.99999000000000005</v>
      </c>
      <c r="AG223" s="3">
        <v>15</v>
      </c>
      <c r="AH223" s="3">
        <v>50</v>
      </c>
      <c r="AQ223" s="3" t="s">
        <v>87</v>
      </c>
      <c r="AU223" s="3">
        <v>380</v>
      </c>
    </row>
    <row r="224" spans="1:50" ht="15">
      <c r="A224" s="1" t="s">
        <v>75</v>
      </c>
      <c r="B224" s="1" t="s">
        <v>398</v>
      </c>
      <c r="C224" s="1" t="s">
        <v>402</v>
      </c>
      <c r="D224" s="104">
        <v>1</v>
      </c>
      <c r="E224" s="4" t="s">
        <v>5</v>
      </c>
      <c r="F224" s="148" t="s">
        <v>519</v>
      </c>
      <c r="G224" s="3">
        <v>100</v>
      </c>
      <c r="H224" s="3">
        <v>1000</v>
      </c>
      <c r="I224" s="3">
        <f t="shared" si="57"/>
        <v>8.99</v>
      </c>
      <c r="J224" s="3">
        <f t="shared" si="61"/>
        <v>89.899999999999991</v>
      </c>
      <c r="K224" s="52">
        <v>8.9899999999999994E-2</v>
      </c>
      <c r="L224" s="44">
        <v>0</v>
      </c>
      <c r="M224" s="44">
        <v>1.25</v>
      </c>
      <c r="T224" s="45">
        <f>5000/H224</f>
        <v>5</v>
      </c>
      <c r="U224" s="45">
        <f t="shared" si="70"/>
        <v>55.61735261401558</v>
      </c>
      <c r="V224" s="45">
        <f>550/G224</f>
        <v>5.5</v>
      </c>
      <c r="W224" s="45">
        <f t="shared" si="71"/>
        <v>61.179087875417132</v>
      </c>
      <c r="AA224" s="46">
        <v>0.99999000000000005</v>
      </c>
      <c r="AB224" s="46">
        <v>0.99999000000000005</v>
      </c>
      <c r="AG224" s="3">
        <v>15</v>
      </c>
      <c r="AH224" s="3">
        <v>50</v>
      </c>
      <c r="AQ224" s="3" t="s">
        <v>87</v>
      </c>
      <c r="AU224" s="3">
        <v>380</v>
      </c>
      <c r="AX224" s="3">
        <v>10</v>
      </c>
    </row>
    <row r="225" spans="1:52" ht="15">
      <c r="A225" s="1" t="s">
        <v>75</v>
      </c>
      <c r="B225" s="1" t="s">
        <v>403</v>
      </c>
      <c r="C225" s="1" t="s">
        <v>404</v>
      </c>
      <c r="D225" s="104">
        <v>1</v>
      </c>
      <c r="E225" s="4" t="s">
        <v>5</v>
      </c>
      <c r="F225" s="148" t="s">
        <v>519</v>
      </c>
      <c r="G225" s="3">
        <v>200</v>
      </c>
      <c r="H225" s="3">
        <v>200</v>
      </c>
      <c r="I225" s="3">
        <f t="shared" si="57"/>
        <v>17.98</v>
      </c>
      <c r="J225" s="3">
        <f t="shared" si="61"/>
        <v>17.98</v>
      </c>
      <c r="K225" s="52">
        <v>8.9899999999999994E-2</v>
      </c>
      <c r="L225" s="44">
        <v>0.05</v>
      </c>
      <c r="M225" s="44">
        <v>1.5</v>
      </c>
      <c r="N225" s="3">
        <v>5</v>
      </c>
      <c r="X225" s="45">
        <v>4.3</v>
      </c>
      <c r="Y225" s="45">
        <f t="shared" si="69"/>
        <v>47.830923248053395</v>
      </c>
      <c r="AA225" s="46">
        <v>0.99999000000000005</v>
      </c>
      <c r="AB225" s="46">
        <v>0.99999000000000005</v>
      </c>
      <c r="AG225" s="3">
        <v>5</v>
      </c>
      <c r="AH225" s="3">
        <v>35</v>
      </c>
      <c r="AZ225" s="3">
        <v>1</v>
      </c>
    </row>
    <row r="226" spans="1:52" ht="15">
      <c r="A226" s="1" t="s">
        <v>75</v>
      </c>
      <c r="B226" s="1" t="s">
        <v>403</v>
      </c>
      <c r="C226" s="1" t="s">
        <v>405</v>
      </c>
      <c r="D226" s="104">
        <v>1</v>
      </c>
      <c r="E226" s="4" t="s">
        <v>5</v>
      </c>
      <c r="F226" s="148" t="s">
        <v>519</v>
      </c>
      <c r="G226" s="3">
        <v>50</v>
      </c>
      <c r="H226" s="3">
        <v>50</v>
      </c>
      <c r="I226" s="3">
        <f t="shared" si="57"/>
        <v>4.4950000000000001</v>
      </c>
      <c r="J226" s="3">
        <f t="shared" si="61"/>
        <v>4.4950000000000001</v>
      </c>
      <c r="K226" s="52">
        <v>8.9899999999999994E-2</v>
      </c>
      <c r="L226" s="44">
        <v>0.05</v>
      </c>
      <c r="M226" s="44">
        <v>1.5</v>
      </c>
      <c r="N226" s="3">
        <v>5</v>
      </c>
      <c r="X226" s="45">
        <v>4.3</v>
      </c>
      <c r="Y226" s="45">
        <f t="shared" si="69"/>
        <v>47.830923248053395</v>
      </c>
      <c r="AA226" s="46">
        <v>0.99999000000000005</v>
      </c>
      <c r="AB226" s="46">
        <v>0.99999000000000005</v>
      </c>
      <c r="AG226" s="3">
        <v>5</v>
      </c>
      <c r="AH226" s="3">
        <v>35</v>
      </c>
      <c r="AZ226" s="3">
        <v>1</v>
      </c>
    </row>
    <row r="227" spans="1:52" ht="15">
      <c r="A227" s="1" t="s">
        <v>136</v>
      </c>
      <c r="B227" s="110" t="s">
        <v>406</v>
      </c>
      <c r="C227" s="110" t="s">
        <v>407</v>
      </c>
      <c r="D227" s="111">
        <v>1</v>
      </c>
      <c r="E227" s="112" t="s">
        <v>5</v>
      </c>
      <c r="F227" s="149" t="s">
        <v>515</v>
      </c>
      <c r="G227" s="113">
        <f>I227/K227</f>
        <v>656.28476084538386</v>
      </c>
      <c r="H227" s="113">
        <f>J227/K227</f>
        <v>656.28476084538386</v>
      </c>
      <c r="I227" s="114">
        <v>59</v>
      </c>
      <c r="J227" s="114">
        <v>59</v>
      </c>
      <c r="K227" s="115">
        <v>8.9899999999999994E-2</v>
      </c>
      <c r="L227" s="116">
        <v>0.25</v>
      </c>
      <c r="M227" s="116">
        <v>1</v>
      </c>
      <c r="N227" s="114" t="s">
        <v>153</v>
      </c>
      <c r="O227" s="114"/>
      <c r="P227" s="114">
        <v>1</v>
      </c>
      <c r="Q227" s="114"/>
      <c r="R227" s="114"/>
      <c r="S227" s="116">
        <v>0.78</v>
      </c>
      <c r="T227" s="113"/>
      <c r="U227" s="113"/>
      <c r="V227" s="113"/>
      <c r="W227" s="113"/>
      <c r="X227" s="113">
        <f>3100/H227</f>
        <v>4.7235593220338972</v>
      </c>
      <c r="Y227" s="113">
        <f>X227/K227</f>
        <v>52.542372881355924</v>
      </c>
      <c r="AA227" s="117">
        <v>0.997</v>
      </c>
      <c r="AB227" s="118"/>
      <c r="AC227" s="114"/>
      <c r="AD227" s="114"/>
      <c r="AE227" s="114"/>
      <c r="AF227" s="114"/>
      <c r="AG227" s="114"/>
      <c r="AH227" s="114">
        <v>35</v>
      </c>
      <c r="AI227" s="114"/>
      <c r="AJ227" s="114"/>
      <c r="AK227" s="114"/>
      <c r="AL227" s="114"/>
      <c r="AM227" s="114"/>
      <c r="AN227" s="114"/>
      <c r="AO227" s="114"/>
      <c r="AP227" s="114"/>
      <c r="AQ227" s="114"/>
      <c r="AR227" s="114"/>
      <c r="AS227" s="114"/>
      <c r="AT227" s="114"/>
      <c r="AU227" s="114"/>
      <c r="AV227" s="114"/>
      <c r="AW227" s="114"/>
    </row>
    <row r="228" spans="1:52" ht="15">
      <c r="A228" s="1" t="s">
        <v>136</v>
      </c>
      <c r="B228" s="110" t="s">
        <v>408</v>
      </c>
      <c r="C228" s="110" t="s">
        <v>409</v>
      </c>
      <c r="D228" s="111">
        <v>1</v>
      </c>
      <c r="E228" s="112" t="s">
        <v>5</v>
      </c>
      <c r="F228" s="149" t="s">
        <v>521</v>
      </c>
      <c r="G228" s="119">
        <v>200</v>
      </c>
      <c r="H228" s="119">
        <v>200</v>
      </c>
      <c r="I228" s="114">
        <f>G228*K228</f>
        <v>17.98</v>
      </c>
      <c r="J228" s="114">
        <f>H228*K228</f>
        <v>17.98</v>
      </c>
      <c r="K228" s="115">
        <v>8.9899999999999994E-2</v>
      </c>
      <c r="L228" s="116">
        <v>0.3</v>
      </c>
      <c r="M228" s="116">
        <v>1</v>
      </c>
      <c r="N228" s="114"/>
      <c r="O228" s="114"/>
      <c r="P228" s="114"/>
      <c r="Q228" s="114"/>
      <c r="R228" s="114"/>
      <c r="S228" s="114"/>
      <c r="T228" s="113">
        <v>4.5</v>
      </c>
      <c r="U228" s="113">
        <f>T228/K227</f>
        <v>50.055617352614021</v>
      </c>
      <c r="V228" s="113">
        <v>5.2</v>
      </c>
      <c r="W228" s="113">
        <f>V228/K227</f>
        <v>57.842046718576199</v>
      </c>
      <c r="X228" s="113"/>
      <c r="Y228" s="113"/>
      <c r="AA228" s="117">
        <v>0.998</v>
      </c>
      <c r="AB228" s="118"/>
      <c r="AC228" s="114"/>
      <c r="AD228" s="114"/>
      <c r="AE228" s="114"/>
      <c r="AF228" s="114"/>
      <c r="AG228" s="114">
        <v>16</v>
      </c>
      <c r="AH228" s="114">
        <v>16</v>
      </c>
      <c r="AI228" s="114"/>
      <c r="AJ228" s="114">
        <v>90</v>
      </c>
      <c r="AK228" s="114"/>
      <c r="AL228" s="114"/>
      <c r="AM228" s="114"/>
      <c r="AN228" s="114"/>
      <c r="AO228" s="114">
        <v>1</v>
      </c>
      <c r="AP228" s="114">
        <f>AO228/K228</f>
        <v>11.123470522803116</v>
      </c>
      <c r="AQ228" s="114"/>
      <c r="AR228" s="114"/>
      <c r="AS228" s="114"/>
      <c r="AT228" s="114"/>
      <c r="AU228" s="114"/>
      <c r="AV228" s="114"/>
      <c r="AW228" s="114"/>
    </row>
    <row r="229" spans="1:52" ht="15">
      <c r="A229" s="1" t="s">
        <v>136</v>
      </c>
      <c r="B229" s="110" t="s">
        <v>408</v>
      </c>
      <c r="C229" s="110" t="s">
        <v>410</v>
      </c>
      <c r="D229" s="111">
        <v>1</v>
      </c>
      <c r="E229" s="112" t="s">
        <v>5</v>
      </c>
      <c r="F229" s="149" t="s">
        <v>521</v>
      </c>
      <c r="G229" s="119">
        <v>1000</v>
      </c>
      <c r="H229" s="119">
        <v>1000</v>
      </c>
      <c r="I229" s="114">
        <f>G229*K229</f>
        <v>89.899999999999991</v>
      </c>
      <c r="J229" s="114">
        <f>H229*K229</f>
        <v>89.899999999999991</v>
      </c>
      <c r="K229" s="115">
        <v>8.9899999999999994E-2</v>
      </c>
      <c r="L229" s="116">
        <v>0.3</v>
      </c>
      <c r="M229" s="116">
        <v>1</v>
      </c>
      <c r="N229" s="114"/>
      <c r="O229" s="114"/>
      <c r="P229" s="114"/>
      <c r="Q229" s="114"/>
      <c r="R229" s="114"/>
      <c r="S229" s="114"/>
      <c r="T229" s="113">
        <v>4.5</v>
      </c>
      <c r="U229" s="113">
        <f>T229/K228</f>
        <v>50.055617352614021</v>
      </c>
      <c r="V229" s="113">
        <v>5.2</v>
      </c>
      <c r="W229" s="113">
        <f>V229/K228</f>
        <v>57.842046718576199</v>
      </c>
      <c r="X229" s="113"/>
      <c r="Y229" s="113"/>
      <c r="AA229" s="117">
        <v>0.998</v>
      </c>
      <c r="AB229" s="114"/>
      <c r="AC229" s="114"/>
      <c r="AD229" s="114"/>
      <c r="AE229" s="114"/>
      <c r="AF229" s="114"/>
      <c r="AG229" s="114"/>
      <c r="AH229" s="114"/>
      <c r="AI229" s="114"/>
      <c r="AJ229" s="114"/>
      <c r="AK229" s="114"/>
      <c r="AL229" s="114"/>
      <c r="AM229" s="114"/>
      <c r="AN229" s="114"/>
      <c r="AO229" s="114"/>
      <c r="AP229" s="114"/>
      <c r="AQ229" s="114"/>
      <c r="AR229" s="114"/>
      <c r="AS229" s="114"/>
      <c r="AT229" s="114"/>
      <c r="AU229" s="114"/>
      <c r="AV229" s="114"/>
      <c r="AW229" s="114"/>
    </row>
    <row r="230" spans="1:52" ht="15">
      <c r="A230" s="1" t="s">
        <v>136</v>
      </c>
      <c r="B230" s="110" t="s">
        <v>411</v>
      </c>
      <c r="C230" s="110" t="s">
        <v>412</v>
      </c>
      <c r="D230" s="111">
        <v>1</v>
      </c>
      <c r="E230" s="112" t="s">
        <v>5</v>
      </c>
      <c r="F230" s="149" t="s">
        <v>516</v>
      </c>
      <c r="G230" s="119">
        <f>I230/K230</f>
        <v>0.9269558769002596</v>
      </c>
      <c r="H230" s="119">
        <f>J230/K230</f>
        <v>0.9269558769002596</v>
      </c>
      <c r="I230" s="113">
        <v>8.3333333333333329E-2</v>
      </c>
      <c r="J230" s="113">
        <v>8.3333333333333329E-2</v>
      </c>
      <c r="K230" s="115">
        <v>8.9899999999999994E-2</v>
      </c>
      <c r="L230" s="114"/>
      <c r="M230" s="114"/>
      <c r="N230" s="114"/>
      <c r="O230" s="114"/>
      <c r="P230" s="114"/>
      <c r="Q230" s="114"/>
      <c r="R230" s="114"/>
      <c r="S230" s="114"/>
      <c r="T230" s="113"/>
      <c r="U230" s="113"/>
      <c r="V230" s="113"/>
      <c r="W230" s="113"/>
      <c r="X230" s="113">
        <f>Y230*K230</f>
        <v>4.3151999999999999</v>
      </c>
      <c r="Y230" s="113">
        <v>48</v>
      </c>
      <c r="AA230" s="120">
        <v>0.99995000000000001</v>
      </c>
      <c r="AB230" s="120">
        <v>0.99995000000000001</v>
      </c>
      <c r="AC230" s="114"/>
      <c r="AD230" s="114"/>
      <c r="AE230" s="114"/>
      <c r="AF230" s="114"/>
      <c r="AG230" s="114"/>
      <c r="AH230" s="114"/>
      <c r="AI230" s="114"/>
      <c r="AJ230" s="114"/>
      <c r="AK230" s="114"/>
      <c r="AL230" s="114"/>
      <c r="AM230" s="114"/>
      <c r="AN230" s="114"/>
      <c r="AO230" s="114"/>
      <c r="AP230" s="114"/>
      <c r="AQ230" s="114"/>
      <c r="AR230" s="114"/>
      <c r="AS230" s="114"/>
      <c r="AT230" s="114"/>
      <c r="AU230" s="114"/>
      <c r="AV230" s="114"/>
      <c r="AW230" s="114"/>
    </row>
    <row r="231" spans="1:52" ht="15">
      <c r="A231" s="1" t="s">
        <v>136</v>
      </c>
      <c r="B231" s="110" t="s">
        <v>411</v>
      </c>
      <c r="C231" s="110" t="s">
        <v>413</v>
      </c>
      <c r="D231" s="111">
        <v>1</v>
      </c>
      <c r="E231" s="112" t="s">
        <v>5</v>
      </c>
      <c r="F231" s="149" t="s">
        <v>516</v>
      </c>
      <c r="G231" s="119">
        <f>I231/K231</f>
        <v>1.8539117538005192</v>
      </c>
      <c r="H231" s="119">
        <f>J231/K231</f>
        <v>1.8539117538005192</v>
      </c>
      <c r="I231" s="113">
        <v>0.16666666666666666</v>
      </c>
      <c r="J231" s="113">
        <v>0.16666666666666666</v>
      </c>
      <c r="K231" s="115">
        <v>8.9899999999999994E-2</v>
      </c>
      <c r="L231" s="114"/>
      <c r="M231" s="114"/>
      <c r="N231" s="114"/>
      <c r="O231" s="114"/>
      <c r="P231" s="114"/>
      <c r="Q231" s="114"/>
      <c r="R231" s="114"/>
      <c r="S231" s="114"/>
      <c r="T231" s="113"/>
      <c r="U231" s="113"/>
      <c r="V231" s="113"/>
      <c r="W231" s="113"/>
      <c r="X231" s="113">
        <f>Y231*K231</f>
        <v>4.3151999999999999</v>
      </c>
      <c r="Y231" s="113">
        <v>48</v>
      </c>
      <c r="AA231" s="120">
        <v>0.99995000000000001</v>
      </c>
      <c r="AB231" s="120">
        <v>0.99995000000000001</v>
      </c>
      <c r="AC231" s="114"/>
      <c r="AD231" s="114"/>
      <c r="AE231" s="114"/>
      <c r="AF231" s="114"/>
      <c r="AG231" s="114"/>
      <c r="AH231" s="114"/>
      <c r="AI231" s="114"/>
      <c r="AJ231" s="114"/>
      <c r="AK231" s="114"/>
      <c r="AL231" s="114"/>
      <c r="AM231" s="114"/>
      <c r="AN231" s="114"/>
      <c r="AO231" s="114"/>
      <c r="AP231" s="114"/>
      <c r="AQ231" s="114"/>
      <c r="AR231" s="114"/>
      <c r="AS231" s="114"/>
      <c r="AT231" s="114"/>
      <c r="AU231" s="114"/>
      <c r="AV231" s="114"/>
      <c r="AW231" s="114"/>
    </row>
    <row r="232" spans="1:52" ht="15">
      <c r="A232" s="1" t="s">
        <v>136</v>
      </c>
      <c r="B232" s="110" t="s">
        <v>411</v>
      </c>
      <c r="C232" s="110" t="s">
        <v>414</v>
      </c>
      <c r="D232" s="111">
        <v>1</v>
      </c>
      <c r="E232" s="112" t="s">
        <v>5</v>
      </c>
      <c r="F232" s="149" t="s">
        <v>516</v>
      </c>
      <c r="G232" s="119">
        <f>I232/K232</f>
        <v>5.5617352614015578</v>
      </c>
      <c r="H232" s="119">
        <f>J232/K232</f>
        <v>5.5617352614015578</v>
      </c>
      <c r="I232" s="113">
        <v>0.5</v>
      </c>
      <c r="J232" s="113">
        <v>0.5</v>
      </c>
      <c r="K232" s="115">
        <v>8.9899999999999994E-2</v>
      </c>
      <c r="L232" s="114"/>
      <c r="M232" s="114"/>
      <c r="N232" s="114"/>
      <c r="O232" s="114"/>
      <c r="P232" s="114"/>
      <c r="Q232" s="114"/>
      <c r="R232" s="114"/>
      <c r="S232" s="114"/>
      <c r="T232" s="113"/>
      <c r="U232" s="113"/>
      <c r="V232" s="113"/>
      <c r="W232" s="113"/>
      <c r="X232" s="113">
        <f>Y232*K232</f>
        <v>4.3151999999999999</v>
      </c>
      <c r="Y232" s="113">
        <v>48</v>
      </c>
      <c r="AA232" s="120">
        <v>0.99995000000000001</v>
      </c>
      <c r="AB232" s="120">
        <v>0.99995000000000001</v>
      </c>
      <c r="AC232" s="114"/>
      <c r="AD232" s="114"/>
      <c r="AE232" s="114"/>
      <c r="AF232" s="114"/>
      <c r="AG232" s="114"/>
      <c r="AH232" s="114"/>
      <c r="AI232" s="114"/>
      <c r="AJ232" s="114"/>
      <c r="AK232" s="114"/>
      <c r="AL232" s="114"/>
      <c r="AM232" s="114"/>
      <c r="AN232" s="114"/>
      <c r="AO232" s="114"/>
      <c r="AP232" s="114"/>
      <c r="AQ232" s="114"/>
      <c r="AR232" s="114"/>
      <c r="AS232" s="114"/>
      <c r="AT232" s="114"/>
      <c r="AU232" s="114"/>
      <c r="AV232" s="114"/>
      <c r="AW232" s="114"/>
    </row>
    <row r="233" spans="1:52" ht="15">
      <c r="A233" s="1" t="s">
        <v>136</v>
      </c>
      <c r="B233" s="110" t="s">
        <v>411</v>
      </c>
      <c r="C233" s="110" t="s">
        <v>415</v>
      </c>
      <c r="D233" s="111">
        <v>1</v>
      </c>
      <c r="E233" s="112" t="s">
        <v>5</v>
      </c>
      <c r="F233" s="149" t="s">
        <v>516</v>
      </c>
      <c r="G233" s="121">
        <v>2.1</v>
      </c>
      <c r="H233" s="121">
        <v>2.1</v>
      </c>
      <c r="I233" s="113">
        <f>G233*K233</f>
        <v>0.18878999999999999</v>
      </c>
      <c r="J233" s="113">
        <f>H233*K233</f>
        <v>0.18878999999999999</v>
      </c>
      <c r="K233" s="115">
        <v>8.9899999999999994E-2</v>
      </c>
      <c r="L233" s="114"/>
      <c r="M233" s="114"/>
      <c r="N233" s="114"/>
      <c r="O233" s="114"/>
      <c r="P233" s="114"/>
      <c r="Q233" s="114"/>
      <c r="R233" s="114"/>
      <c r="S233" s="114" t="s">
        <v>416</v>
      </c>
      <c r="T233" s="113"/>
      <c r="U233" s="113"/>
      <c r="V233" s="113">
        <f>10/G233</f>
        <v>4.7619047619047619</v>
      </c>
      <c r="W233" s="113">
        <f>V233/K233</f>
        <v>52.968907251443405</v>
      </c>
      <c r="X233" s="113"/>
      <c r="Y233" s="113"/>
      <c r="AA233" s="120">
        <v>0.995</v>
      </c>
      <c r="AB233" s="120">
        <v>0.995</v>
      </c>
      <c r="AC233" s="114"/>
      <c r="AD233" s="114"/>
      <c r="AE233" s="114"/>
      <c r="AF233" s="114"/>
      <c r="AG233" s="114"/>
      <c r="AH233" s="114"/>
      <c r="AI233" s="114"/>
      <c r="AJ233" s="114"/>
      <c r="AK233" s="114"/>
      <c r="AL233" s="114"/>
      <c r="AM233" s="114"/>
      <c r="AN233" s="114"/>
      <c r="AO233" s="114"/>
      <c r="AP233" s="114"/>
      <c r="AQ233" s="114"/>
      <c r="AR233" s="114"/>
      <c r="AS233" s="114"/>
      <c r="AT233" s="114"/>
      <c r="AU233" s="114">
        <v>240</v>
      </c>
      <c r="AV233" s="114">
        <v>240</v>
      </c>
      <c r="AW233" s="114"/>
    </row>
    <row r="234" spans="1:52" ht="15">
      <c r="A234" s="1" t="s">
        <v>136</v>
      </c>
      <c r="B234" s="110" t="s">
        <v>411</v>
      </c>
      <c r="C234" s="110" t="s">
        <v>417</v>
      </c>
      <c r="D234" s="111">
        <v>1</v>
      </c>
      <c r="E234" s="112" t="s">
        <v>5</v>
      </c>
      <c r="F234" s="149" t="s">
        <v>516</v>
      </c>
      <c r="G234" s="119">
        <v>1</v>
      </c>
      <c r="H234" s="119">
        <v>1</v>
      </c>
      <c r="I234" s="113">
        <f>G234*K234</f>
        <v>8.9899999999999994E-2</v>
      </c>
      <c r="J234" s="113">
        <f>H234*K234</f>
        <v>8.9899999999999994E-2</v>
      </c>
      <c r="K234" s="115">
        <v>8.9899999999999994E-2</v>
      </c>
      <c r="L234" s="114"/>
      <c r="M234" s="114"/>
      <c r="N234" s="114"/>
      <c r="O234" s="114"/>
      <c r="P234" s="114"/>
      <c r="Q234" s="114"/>
      <c r="R234" s="114"/>
      <c r="S234" s="114" t="s">
        <v>416</v>
      </c>
      <c r="T234" s="113"/>
      <c r="U234" s="113"/>
      <c r="V234" s="113">
        <f>4.4/G234</f>
        <v>4.4000000000000004</v>
      </c>
      <c r="W234" s="113">
        <f t="shared" ref="W234:W235" si="72">V234/K234</f>
        <v>48.943270300333708</v>
      </c>
      <c r="X234" s="113"/>
      <c r="Y234" s="113"/>
      <c r="AA234" s="120">
        <v>0.995</v>
      </c>
      <c r="AB234" s="120">
        <v>0.995</v>
      </c>
      <c r="AC234" s="114"/>
      <c r="AD234" s="114"/>
      <c r="AE234" s="114"/>
      <c r="AF234" s="114"/>
      <c r="AG234" s="114"/>
      <c r="AH234" s="114"/>
      <c r="AI234" s="114"/>
      <c r="AJ234" s="114"/>
      <c r="AK234" s="114"/>
      <c r="AL234" s="114"/>
      <c r="AM234" s="114"/>
      <c r="AN234" s="114"/>
      <c r="AO234" s="114"/>
      <c r="AP234" s="114"/>
      <c r="AQ234" s="114"/>
      <c r="AR234" s="114"/>
      <c r="AS234" s="114"/>
      <c r="AT234" s="114"/>
      <c r="AU234" s="114"/>
      <c r="AV234" s="114"/>
      <c r="AW234" s="114"/>
    </row>
    <row r="235" spans="1:52" ht="15">
      <c r="A235" s="1" t="s">
        <v>136</v>
      </c>
      <c r="B235" s="110" t="s">
        <v>411</v>
      </c>
      <c r="C235" s="110" t="s">
        <v>418</v>
      </c>
      <c r="D235" s="111">
        <v>1</v>
      </c>
      <c r="E235" s="112" t="s">
        <v>5</v>
      </c>
      <c r="F235" s="149" t="s">
        <v>516</v>
      </c>
      <c r="G235" s="113">
        <v>0.14000000000000001</v>
      </c>
      <c r="H235" s="113">
        <f>J235/K235</f>
        <v>0.4634779384501298</v>
      </c>
      <c r="I235" s="113">
        <f>G235*K235</f>
        <v>1.2586E-2</v>
      </c>
      <c r="J235" s="113">
        <v>4.1666666666666664E-2</v>
      </c>
      <c r="K235" s="115">
        <v>8.9899999999999994E-2</v>
      </c>
      <c r="L235" s="114"/>
      <c r="M235" s="114"/>
      <c r="N235" s="114"/>
      <c r="O235" s="114"/>
      <c r="P235" s="114"/>
      <c r="Q235" s="114"/>
      <c r="R235" s="114"/>
      <c r="S235" s="114" t="s">
        <v>416</v>
      </c>
      <c r="T235" s="113"/>
      <c r="U235" s="113"/>
      <c r="V235" s="113">
        <f>1.8/H235</f>
        <v>3.88368</v>
      </c>
      <c r="W235" s="113">
        <f t="shared" si="72"/>
        <v>43.2</v>
      </c>
      <c r="X235" s="113"/>
      <c r="Y235" s="113"/>
      <c r="AA235" s="120">
        <v>0.995</v>
      </c>
      <c r="AB235" s="120">
        <v>0.995</v>
      </c>
      <c r="AC235" s="114"/>
      <c r="AD235" s="114"/>
      <c r="AE235" s="114"/>
      <c r="AF235" s="114"/>
      <c r="AG235" s="114"/>
      <c r="AH235" s="114"/>
      <c r="AI235" s="114"/>
      <c r="AJ235" s="114"/>
      <c r="AK235" s="114"/>
      <c r="AL235" s="114"/>
      <c r="AM235" s="114"/>
      <c r="AN235" s="114"/>
      <c r="AO235" s="114"/>
      <c r="AP235" s="114"/>
      <c r="AQ235" s="114"/>
      <c r="AR235" s="114"/>
      <c r="AS235" s="114"/>
      <c r="AT235" s="114"/>
      <c r="AU235" s="114">
        <v>120</v>
      </c>
      <c r="AV235" s="114">
        <v>120</v>
      </c>
      <c r="AW235" s="114"/>
    </row>
    <row r="236" spans="1:52">
      <c r="A236" s="1"/>
      <c r="B236" s="110" t="s">
        <v>419</v>
      </c>
      <c r="C236" s="110"/>
      <c r="D236" s="111">
        <v>0</v>
      </c>
      <c r="E236" s="114"/>
      <c r="F236" s="114"/>
      <c r="G236" s="119"/>
      <c r="H236" s="119"/>
      <c r="I236" s="113"/>
      <c r="J236" s="113"/>
      <c r="K236" s="115"/>
      <c r="L236" s="114"/>
      <c r="M236" s="114"/>
      <c r="N236" s="114"/>
      <c r="O236" s="114"/>
      <c r="P236" s="114"/>
      <c r="Q236" s="114"/>
      <c r="R236" s="114"/>
      <c r="S236" s="114"/>
      <c r="T236" s="113"/>
      <c r="U236" s="113"/>
      <c r="V236" s="113"/>
      <c r="W236" s="113"/>
      <c r="X236" s="113"/>
      <c r="Y236" s="113"/>
      <c r="AA236" s="114"/>
      <c r="AB236" s="114"/>
      <c r="AC236" s="114"/>
      <c r="AD236" s="114"/>
      <c r="AE236" s="114"/>
      <c r="AF236" s="114"/>
      <c r="AG236" s="114"/>
      <c r="AH236" s="114"/>
      <c r="AI236" s="114"/>
      <c r="AJ236" s="114"/>
      <c r="AK236" s="114"/>
      <c r="AL236" s="114"/>
      <c r="AM236" s="114"/>
      <c r="AN236" s="114"/>
      <c r="AO236" s="114"/>
      <c r="AP236" s="114"/>
      <c r="AQ236" s="114"/>
      <c r="AR236" s="114"/>
      <c r="AS236" s="114"/>
      <c r="AT236" s="114"/>
      <c r="AU236" s="114"/>
      <c r="AV236" s="114"/>
      <c r="AW236" s="114"/>
    </row>
    <row r="237" spans="1:52" ht="15">
      <c r="A237" s="1" t="s">
        <v>136</v>
      </c>
      <c r="B237" s="110" t="s">
        <v>420</v>
      </c>
      <c r="C237" s="110" t="s">
        <v>421</v>
      </c>
      <c r="D237" s="111">
        <v>1</v>
      </c>
      <c r="E237" s="112" t="s">
        <v>5</v>
      </c>
      <c r="F237" s="149" t="s">
        <v>519</v>
      </c>
      <c r="G237" s="119">
        <v>1000</v>
      </c>
      <c r="H237" s="119">
        <v>1000</v>
      </c>
      <c r="I237" s="113">
        <f>G237*K237</f>
        <v>89.899999999999991</v>
      </c>
      <c r="J237" s="113">
        <f>H237*K237</f>
        <v>89.899999999999991</v>
      </c>
      <c r="K237" s="115">
        <v>8.9899999999999994E-2</v>
      </c>
      <c r="L237" s="116">
        <v>0.3</v>
      </c>
      <c r="M237" s="116">
        <v>1.1000000000000001</v>
      </c>
      <c r="N237" s="114"/>
      <c r="O237" s="114"/>
      <c r="P237" s="114"/>
      <c r="Q237" s="114"/>
      <c r="R237" s="114"/>
      <c r="S237" s="116">
        <v>0.82</v>
      </c>
      <c r="T237" s="113"/>
      <c r="U237" s="113"/>
      <c r="V237" s="113"/>
      <c r="W237" s="113"/>
      <c r="X237" s="113">
        <v>4.3</v>
      </c>
      <c r="Y237" s="113">
        <f>X237/K237</f>
        <v>47.830923248053395</v>
      </c>
      <c r="AA237" s="120">
        <v>0.99999000000000005</v>
      </c>
      <c r="AB237" s="120">
        <v>0.99999000000000005</v>
      </c>
      <c r="AC237" s="114"/>
      <c r="AD237" s="114"/>
      <c r="AE237" s="114"/>
      <c r="AF237" s="114"/>
      <c r="AG237" s="114">
        <v>16</v>
      </c>
      <c r="AH237" s="114">
        <v>16</v>
      </c>
      <c r="AI237" s="114">
        <v>85</v>
      </c>
      <c r="AJ237" s="114">
        <v>95</v>
      </c>
      <c r="AK237" s="114"/>
      <c r="AL237" s="114"/>
      <c r="AM237" s="114"/>
      <c r="AN237" s="114"/>
      <c r="AO237" s="114">
        <f>1000/G237</f>
        <v>1</v>
      </c>
      <c r="AP237" s="114">
        <f>AO237/K237</f>
        <v>11.123470522803116</v>
      </c>
      <c r="AQ237" s="114"/>
      <c r="AR237" s="114"/>
      <c r="AS237" s="114"/>
      <c r="AT237" s="114"/>
      <c r="AU237" s="114"/>
      <c r="AV237" s="114"/>
      <c r="AW237" s="114"/>
    </row>
    <row r="238" spans="1:52" ht="15">
      <c r="A238" s="1" t="s">
        <v>136</v>
      </c>
      <c r="B238" s="110" t="s">
        <v>420</v>
      </c>
      <c r="C238" s="110" t="s">
        <v>422</v>
      </c>
      <c r="D238" s="111">
        <v>1</v>
      </c>
      <c r="E238" s="112" t="s">
        <v>5</v>
      </c>
      <c r="F238" s="149" t="s">
        <v>519</v>
      </c>
      <c r="G238" s="119">
        <v>2000</v>
      </c>
      <c r="H238" s="119">
        <v>2000</v>
      </c>
      <c r="I238" s="113">
        <f>G238*K238</f>
        <v>179.79999999999998</v>
      </c>
      <c r="J238" s="113">
        <f>H238*K238</f>
        <v>179.79999999999998</v>
      </c>
      <c r="K238" s="115">
        <v>8.9899999999999994E-2</v>
      </c>
      <c r="L238" s="116">
        <v>0.3</v>
      </c>
      <c r="M238" s="116">
        <v>1.1000000000000001</v>
      </c>
      <c r="N238" s="114"/>
      <c r="O238" s="114"/>
      <c r="P238" s="114"/>
      <c r="Q238" s="114"/>
      <c r="R238" s="114"/>
      <c r="S238" s="116">
        <v>0.8</v>
      </c>
      <c r="T238" s="113"/>
      <c r="U238" s="113"/>
      <c r="V238" s="113"/>
      <c r="W238" s="113"/>
      <c r="X238" s="113">
        <v>4.4000000000000004</v>
      </c>
      <c r="Y238" s="113">
        <f>X238/K238</f>
        <v>48.943270300333708</v>
      </c>
      <c r="AA238" s="120">
        <v>0.99999000000000005</v>
      </c>
      <c r="AB238" s="120">
        <v>0.99999000000000005</v>
      </c>
      <c r="AC238" s="114"/>
      <c r="AD238" s="114"/>
      <c r="AE238" s="114"/>
      <c r="AF238" s="114"/>
      <c r="AG238" s="114">
        <v>16</v>
      </c>
      <c r="AH238" s="114">
        <v>16</v>
      </c>
      <c r="AI238" s="114">
        <v>85</v>
      </c>
      <c r="AJ238" s="114">
        <v>95</v>
      </c>
      <c r="AK238" s="114"/>
      <c r="AL238" s="114"/>
      <c r="AM238" s="114"/>
      <c r="AN238" s="114"/>
      <c r="AO238" s="114">
        <v>1</v>
      </c>
      <c r="AP238" s="114">
        <f>AO238/K238</f>
        <v>11.123470522803116</v>
      </c>
      <c r="AQ238" s="114"/>
      <c r="AR238" s="114"/>
      <c r="AS238" s="114"/>
      <c r="AT238" s="114"/>
      <c r="AU238" s="114"/>
      <c r="AV238" s="114"/>
      <c r="AW238" s="114"/>
    </row>
    <row r="239" spans="1:52" ht="15">
      <c r="A239" s="1" t="s">
        <v>75</v>
      </c>
      <c r="B239" s="110" t="s">
        <v>420</v>
      </c>
      <c r="C239" s="110" t="s">
        <v>423</v>
      </c>
      <c r="D239" s="111">
        <v>1</v>
      </c>
      <c r="E239" s="112" t="s">
        <v>5</v>
      </c>
      <c r="F239" s="149" t="s">
        <v>519</v>
      </c>
      <c r="G239" s="119">
        <v>50</v>
      </c>
      <c r="H239" s="119">
        <v>50</v>
      </c>
      <c r="I239" s="113">
        <f t="shared" ref="I239:I241" si="73">G239*K239</f>
        <v>4.4950000000000001</v>
      </c>
      <c r="J239" s="113">
        <f t="shared" ref="J239:J241" si="74">H239*K239</f>
        <v>4.4950000000000001</v>
      </c>
      <c r="K239" s="115">
        <v>8.9899999999999994E-2</v>
      </c>
      <c r="L239" s="116">
        <v>0.05</v>
      </c>
      <c r="M239" s="116">
        <v>1.1000000000000001</v>
      </c>
      <c r="N239" s="114">
        <v>5</v>
      </c>
      <c r="O239" s="114"/>
      <c r="P239" s="114"/>
      <c r="Q239" s="114"/>
      <c r="R239" s="114"/>
      <c r="S239" s="116">
        <v>0.8</v>
      </c>
      <c r="T239" s="113"/>
      <c r="U239" s="113"/>
      <c r="V239" s="113"/>
      <c r="W239" s="113"/>
      <c r="X239" s="113">
        <v>4.3</v>
      </c>
      <c r="Y239" s="113">
        <f t="shared" ref="Y239:Y241" si="75">X239/K239</f>
        <v>47.830923248053395</v>
      </c>
      <c r="AA239" s="120">
        <v>0.99999000000000005</v>
      </c>
      <c r="AB239" s="120">
        <v>0.99999000000000005</v>
      </c>
      <c r="AC239" s="114"/>
      <c r="AD239" s="114"/>
      <c r="AE239" s="114"/>
      <c r="AF239" s="114"/>
      <c r="AG239" s="114">
        <v>30</v>
      </c>
      <c r="AH239" s="114">
        <v>30</v>
      </c>
      <c r="AI239" s="114">
        <v>65</v>
      </c>
      <c r="AJ239" s="114">
        <v>65</v>
      </c>
      <c r="AK239" s="114"/>
      <c r="AL239" s="114"/>
      <c r="AM239" s="114"/>
      <c r="AN239" s="114"/>
      <c r="AO239" s="114">
        <v>1</v>
      </c>
      <c r="AP239" s="114">
        <f>AO239/K239</f>
        <v>11.123470522803116</v>
      </c>
      <c r="AQ239" s="114"/>
      <c r="AR239" s="114"/>
      <c r="AS239" s="114"/>
      <c r="AT239" s="114"/>
      <c r="AU239" s="114"/>
      <c r="AV239" s="114"/>
      <c r="AW239" s="114"/>
    </row>
    <row r="240" spans="1:52" ht="15">
      <c r="A240" s="1" t="s">
        <v>75</v>
      </c>
      <c r="B240" s="110" t="s">
        <v>420</v>
      </c>
      <c r="C240" s="110" t="s">
        <v>424</v>
      </c>
      <c r="D240" s="111">
        <v>1</v>
      </c>
      <c r="E240" s="112" t="s">
        <v>5</v>
      </c>
      <c r="F240" s="149" t="s">
        <v>519</v>
      </c>
      <c r="G240" s="119">
        <v>300</v>
      </c>
      <c r="H240" s="119">
        <v>300</v>
      </c>
      <c r="I240" s="113">
        <f t="shared" si="73"/>
        <v>26.97</v>
      </c>
      <c r="J240" s="113">
        <f t="shared" si="74"/>
        <v>26.97</v>
      </c>
      <c r="K240" s="115">
        <v>8.9899999999999994E-2</v>
      </c>
      <c r="L240" s="116">
        <v>0.05</v>
      </c>
      <c r="M240" s="116">
        <v>1.1000000000000001</v>
      </c>
      <c r="N240" s="114">
        <v>5</v>
      </c>
      <c r="O240" s="114"/>
      <c r="P240" s="114"/>
      <c r="Q240" s="114"/>
      <c r="R240" s="114"/>
      <c r="S240" s="116">
        <v>0.8</v>
      </c>
      <c r="T240" s="113"/>
      <c r="U240" s="113"/>
      <c r="V240" s="113"/>
      <c r="W240" s="113"/>
      <c r="X240" s="113">
        <v>4.3</v>
      </c>
      <c r="Y240" s="113">
        <f t="shared" si="75"/>
        <v>47.830923248053395</v>
      </c>
      <c r="AA240" s="120">
        <v>0.99999000000000005</v>
      </c>
      <c r="AB240" s="120">
        <v>0.99999000000000005</v>
      </c>
      <c r="AC240" s="114"/>
      <c r="AD240" s="114"/>
      <c r="AE240" s="114"/>
      <c r="AF240" s="114"/>
      <c r="AG240" s="114">
        <v>30</v>
      </c>
      <c r="AH240" s="114">
        <v>30</v>
      </c>
      <c r="AI240" s="114">
        <v>65</v>
      </c>
      <c r="AJ240" s="114">
        <v>65</v>
      </c>
      <c r="AK240" s="114"/>
      <c r="AL240" s="114"/>
      <c r="AM240" s="114"/>
      <c r="AN240" s="114"/>
      <c r="AO240" s="114">
        <v>1</v>
      </c>
      <c r="AP240" s="114">
        <f>AO240/K240</f>
        <v>11.123470522803116</v>
      </c>
      <c r="AQ240" s="114"/>
      <c r="AR240" s="114"/>
      <c r="AS240" s="114"/>
      <c r="AT240" s="114"/>
      <c r="AU240" s="114"/>
      <c r="AV240" s="114"/>
      <c r="AW240" s="114"/>
    </row>
    <row r="241" spans="1:52" ht="15">
      <c r="A241" s="1" t="s">
        <v>236</v>
      </c>
      <c r="B241" s="110" t="s">
        <v>420</v>
      </c>
      <c r="C241" s="110" t="s">
        <v>425</v>
      </c>
      <c r="D241" s="111">
        <v>1</v>
      </c>
      <c r="E241" s="112" t="s">
        <v>5</v>
      </c>
      <c r="F241" s="149" t="s">
        <v>519</v>
      </c>
      <c r="G241" s="119">
        <v>2</v>
      </c>
      <c r="H241" s="119">
        <v>2</v>
      </c>
      <c r="I241" s="113">
        <f t="shared" si="73"/>
        <v>0.17979999999999999</v>
      </c>
      <c r="J241" s="113">
        <f t="shared" si="74"/>
        <v>0.17979999999999999</v>
      </c>
      <c r="K241" s="115">
        <v>8.9899999999999994E-2</v>
      </c>
      <c r="L241" s="116">
        <v>0.1</v>
      </c>
      <c r="M241" s="116">
        <v>1.2</v>
      </c>
      <c r="N241" s="114"/>
      <c r="O241" s="114"/>
      <c r="P241" s="114">
        <v>10</v>
      </c>
      <c r="Q241" s="114"/>
      <c r="R241" s="114"/>
      <c r="S241" s="116">
        <v>0.75</v>
      </c>
      <c r="T241" s="113"/>
      <c r="U241" s="113"/>
      <c r="V241" s="113"/>
      <c r="W241" s="113"/>
      <c r="X241" s="113">
        <v>4.4000000000000004</v>
      </c>
      <c r="Y241" s="113">
        <f t="shared" si="75"/>
        <v>48.943270300333708</v>
      </c>
      <c r="AA241" s="120">
        <v>0.99999000000000005</v>
      </c>
      <c r="AB241" s="120">
        <v>0.99999000000000005</v>
      </c>
      <c r="AC241" s="114"/>
      <c r="AD241" s="114"/>
      <c r="AE241" s="114"/>
      <c r="AF241" s="114"/>
      <c r="AG241" s="114">
        <v>16</v>
      </c>
      <c r="AH241" s="114">
        <v>16</v>
      </c>
      <c r="AI241" s="114">
        <v>60</v>
      </c>
      <c r="AJ241" s="114">
        <v>60</v>
      </c>
      <c r="AK241" s="114"/>
      <c r="AL241" s="114"/>
      <c r="AM241" s="114"/>
      <c r="AN241" s="114"/>
      <c r="AO241" s="114">
        <f>1.8/2</f>
        <v>0.9</v>
      </c>
      <c r="AP241" s="114">
        <f>AO241/K241</f>
        <v>10.011123470522804</v>
      </c>
      <c r="AQ241" s="114"/>
      <c r="AR241" s="114"/>
      <c r="AS241" s="114"/>
      <c r="AT241" s="114"/>
      <c r="AU241" s="114"/>
      <c r="AV241" s="114"/>
      <c r="AW241" s="114"/>
    </row>
    <row r="242" spans="1:52" ht="15">
      <c r="A242" s="1" t="s">
        <v>136</v>
      </c>
      <c r="B242" s="110" t="s">
        <v>426</v>
      </c>
      <c r="C242" s="110" t="s">
        <v>427</v>
      </c>
      <c r="D242" s="111">
        <v>0</v>
      </c>
      <c r="E242" s="112" t="s">
        <v>5</v>
      </c>
      <c r="F242" s="149"/>
      <c r="G242" s="119"/>
      <c r="H242" s="119"/>
      <c r="I242" s="113"/>
      <c r="J242" s="113"/>
      <c r="K242" s="114"/>
      <c r="L242" s="114"/>
      <c r="M242" s="114"/>
      <c r="N242" s="114"/>
      <c r="O242" s="114"/>
      <c r="P242" s="114"/>
      <c r="Q242" s="114"/>
      <c r="R242" s="114"/>
      <c r="S242" s="114"/>
      <c r="T242" s="113"/>
      <c r="U242" s="113"/>
      <c r="V242" s="113"/>
      <c r="W242" s="113"/>
      <c r="X242" s="113"/>
      <c r="Y242" s="113"/>
      <c r="AA242" s="120"/>
      <c r="AB242" s="120"/>
      <c r="AC242" s="114"/>
      <c r="AD242" s="114"/>
      <c r="AE242" s="114"/>
      <c r="AF242" s="114"/>
      <c r="AG242" s="114"/>
      <c r="AH242" s="114"/>
      <c r="AI242" s="114"/>
      <c r="AJ242" s="114"/>
      <c r="AK242" s="114"/>
      <c r="AL242" s="114"/>
      <c r="AM242" s="114"/>
      <c r="AN242" s="114"/>
      <c r="AO242" s="114"/>
      <c r="AP242" s="114"/>
      <c r="AQ242" s="114"/>
      <c r="AR242" s="114"/>
      <c r="AS242" s="114"/>
      <c r="AT242" s="114"/>
      <c r="AU242" s="114"/>
      <c r="AV242" s="114"/>
      <c r="AW242" s="114"/>
    </row>
    <row r="243" spans="1:52" ht="15">
      <c r="A243" s="1" t="s">
        <v>136</v>
      </c>
      <c r="B243" s="110" t="s">
        <v>428</v>
      </c>
      <c r="C243" s="110" t="s">
        <v>427</v>
      </c>
      <c r="D243" s="111">
        <v>0</v>
      </c>
      <c r="E243" s="112" t="s">
        <v>5</v>
      </c>
      <c r="F243" s="149"/>
      <c r="G243" s="119"/>
      <c r="H243" s="119"/>
      <c r="I243" s="113"/>
      <c r="J243" s="113"/>
      <c r="K243" s="114"/>
      <c r="L243" s="114"/>
      <c r="M243" s="116"/>
      <c r="N243" s="114"/>
      <c r="O243" s="114"/>
      <c r="P243" s="114"/>
      <c r="Q243" s="114"/>
      <c r="R243" s="114"/>
      <c r="S243" s="114"/>
      <c r="T243" s="113"/>
      <c r="U243" s="113"/>
      <c r="V243" s="113"/>
      <c r="W243" s="113"/>
      <c r="X243" s="113"/>
      <c r="Y243" s="113"/>
      <c r="AA243" s="114"/>
      <c r="AB243" s="114"/>
      <c r="AC243" s="114"/>
      <c r="AD243" s="114"/>
      <c r="AE243" s="114"/>
      <c r="AF243" s="114"/>
      <c r="AG243" s="114"/>
      <c r="AH243" s="114"/>
      <c r="AI243" s="114"/>
      <c r="AJ243" s="114"/>
      <c r="AK243" s="114"/>
      <c r="AL243" s="114"/>
      <c r="AM243" s="114"/>
      <c r="AN243" s="114"/>
      <c r="AO243" s="114"/>
      <c r="AP243" s="114"/>
      <c r="AQ243" s="114"/>
      <c r="AR243" s="114"/>
      <c r="AS243" s="114"/>
      <c r="AT243" s="114"/>
      <c r="AU243" s="114"/>
      <c r="AV243" s="114"/>
      <c r="AW243" s="114"/>
    </row>
    <row r="244" spans="1:52" ht="15">
      <c r="A244" s="1" t="s">
        <v>75</v>
      </c>
      <c r="B244" s="110" t="s">
        <v>429</v>
      </c>
      <c r="C244" s="110" t="s">
        <v>427</v>
      </c>
      <c r="D244" s="111">
        <v>0</v>
      </c>
      <c r="E244" s="112" t="s">
        <v>5</v>
      </c>
      <c r="F244" s="149"/>
      <c r="G244" s="119"/>
      <c r="H244" s="119"/>
      <c r="I244" s="113"/>
      <c r="J244" s="113"/>
      <c r="K244" s="114"/>
      <c r="L244" s="114"/>
      <c r="M244" s="114"/>
      <c r="N244" s="114"/>
      <c r="O244" s="114"/>
      <c r="P244" s="114"/>
      <c r="Q244" s="114"/>
      <c r="R244" s="114"/>
      <c r="S244" s="114"/>
      <c r="T244" s="113"/>
      <c r="U244" s="113"/>
      <c r="V244" s="113"/>
      <c r="W244" s="113"/>
      <c r="X244" s="113"/>
      <c r="Y244" s="113"/>
      <c r="AA244" s="114"/>
      <c r="AB244" s="114"/>
      <c r="AC244" s="114"/>
      <c r="AD244" s="114"/>
      <c r="AE244" s="114"/>
      <c r="AF244" s="114"/>
      <c r="AG244" s="114"/>
      <c r="AH244" s="114"/>
      <c r="AI244" s="114"/>
      <c r="AJ244" s="114"/>
      <c r="AK244" s="114"/>
      <c r="AL244" s="114"/>
      <c r="AM244" s="114"/>
      <c r="AN244" s="114"/>
      <c r="AO244" s="114"/>
      <c r="AP244" s="114"/>
      <c r="AQ244" s="114"/>
      <c r="AR244" s="114"/>
      <c r="AS244" s="114"/>
      <c r="AT244" s="114"/>
      <c r="AU244" s="114"/>
      <c r="AV244" s="114"/>
      <c r="AW244" s="114"/>
    </row>
    <row r="245" spans="1:52" ht="15">
      <c r="A245" s="1" t="s">
        <v>75</v>
      </c>
      <c r="B245" s="110" t="s">
        <v>430</v>
      </c>
      <c r="C245" s="110" t="s">
        <v>431</v>
      </c>
      <c r="D245" s="111">
        <v>1</v>
      </c>
      <c r="E245" s="112" t="s">
        <v>5</v>
      </c>
      <c r="F245" s="149" t="s">
        <v>522</v>
      </c>
      <c r="G245" s="121">
        <v>5.7</v>
      </c>
      <c r="H245" s="121">
        <v>5.7</v>
      </c>
      <c r="I245" s="121">
        <v>0.5</v>
      </c>
      <c r="J245" s="121">
        <v>0.5</v>
      </c>
      <c r="K245" s="122">
        <f>I245/G245</f>
        <v>8.771929824561403E-2</v>
      </c>
      <c r="L245" s="121"/>
      <c r="M245" s="114"/>
      <c r="N245" s="114"/>
      <c r="O245" s="114"/>
      <c r="P245" s="114"/>
      <c r="Q245" s="114"/>
      <c r="R245" s="114"/>
      <c r="S245" s="114"/>
      <c r="T245" s="113"/>
      <c r="U245" s="113"/>
      <c r="V245" s="113"/>
      <c r="W245" s="113"/>
      <c r="X245" s="113">
        <f>Y245*K245</f>
        <v>5.1754385964912277</v>
      </c>
      <c r="Y245" s="113">
        <v>59</v>
      </c>
      <c r="AA245" s="114"/>
      <c r="AB245" s="114"/>
      <c r="AC245" s="114"/>
      <c r="AD245" s="114"/>
      <c r="AE245" s="114"/>
      <c r="AF245" s="114"/>
      <c r="AG245" s="114">
        <v>30</v>
      </c>
      <c r="AH245" s="114">
        <v>30</v>
      </c>
      <c r="AI245" s="114">
        <v>5</v>
      </c>
      <c r="AJ245" s="114">
        <v>45</v>
      </c>
      <c r="AK245" s="114"/>
      <c r="AL245" s="114"/>
      <c r="AM245" s="114"/>
      <c r="AN245" s="114"/>
      <c r="AO245" s="114">
        <f t="shared" ref="AO245:AO250" si="76">AP245*K245</f>
        <v>2.807017543859649</v>
      </c>
      <c r="AP245" s="114">
        <v>32</v>
      </c>
      <c r="AQ245" s="114" t="s">
        <v>432</v>
      </c>
      <c r="AR245" s="114"/>
      <c r="AS245" s="114"/>
      <c r="AT245" s="114"/>
      <c r="AU245" s="114">
        <v>400</v>
      </c>
      <c r="AV245" s="114">
        <v>400</v>
      </c>
      <c r="AW245" s="114">
        <v>3</v>
      </c>
    </row>
    <row r="246" spans="1:52" ht="15">
      <c r="A246" s="1" t="s">
        <v>75</v>
      </c>
      <c r="B246" s="110" t="s">
        <v>430</v>
      </c>
      <c r="C246" s="110" t="s">
        <v>433</v>
      </c>
      <c r="D246" s="111">
        <v>1</v>
      </c>
      <c r="E246" s="112" t="s">
        <v>5</v>
      </c>
      <c r="F246" s="149" t="s">
        <v>522</v>
      </c>
      <c r="G246" s="121">
        <v>11.4</v>
      </c>
      <c r="H246" s="121">
        <v>11.4</v>
      </c>
      <c r="I246" s="119">
        <v>1</v>
      </c>
      <c r="J246" s="119">
        <v>1</v>
      </c>
      <c r="K246" s="122">
        <f t="shared" ref="K246:K250" si="77">I246/G246</f>
        <v>8.771929824561403E-2</v>
      </c>
      <c r="L246" s="121"/>
      <c r="M246" s="114"/>
      <c r="N246" s="114"/>
      <c r="O246" s="114"/>
      <c r="P246" s="114"/>
      <c r="Q246" s="114"/>
      <c r="R246" s="114"/>
      <c r="S246" s="114"/>
      <c r="T246" s="113"/>
      <c r="U246" s="113"/>
      <c r="V246" s="113"/>
      <c r="W246" s="113"/>
      <c r="X246" s="113">
        <f t="shared" ref="X246:X250" si="78">Y246*K246</f>
        <v>5.0877192982456139</v>
      </c>
      <c r="Y246" s="113">
        <v>58</v>
      </c>
      <c r="AA246" s="114"/>
      <c r="AB246" s="114"/>
      <c r="AC246" s="114"/>
      <c r="AD246" s="114"/>
      <c r="AE246" s="114"/>
      <c r="AF246" s="114"/>
      <c r="AG246" s="114">
        <v>30</v>
      </c>
      <c r="AH246" s="114">
        <v>30</v>
      </c>
      <c r="AI246" s="114">
        <v>5</v>
      </c>
      <c r="AJ246" s="114">
        <v>45</v>
      </c>
      <c r="AK246" s="114"/>
      <c r="AL246" s="114"/>
      <c r="AM246" s="114"/>
      <c r="AN246" s="114"/>
      <c r="AO246" s="114">
        <f t="shared" si="76"/>
        <v>2.807017543859649</v>
      </c>
      <c r="AP246" s="114">
        <v>32</v>
      </c>
      <c r="AQ246" s="114" t="s">
        <v>432</v>
      </c>
      <c r="AR246" s="114"/>
      <c r="AS246" s="114"/>
      <c r="AT246" s="114"/>
      <c r="AU246" s="114">
        <v>400</v>
      </c>
      <c r="AV246" s="114">
        <v>400</v>
      </c>
      <c r="AW246" s="114">
        <v>3</v>
      </c>
    </row>
    <row r="247" spans="1:52" ht="15">
      <c r="A247" s="1" t="s">
        <v>75</v>
      </c>
      <c r="B247" s="110" t="s">
        <v>430</v>
      </c>
      <c r="C247" s="110" t="s">
        <v>434</v>
      </c>
      <c r="D247" s="111">
        <v>1</v>
      </c>
      <c r="E247" s="112" t="s">
        <v>5</v>
      </c>
      <c r="F247" s="149" t="s">
        <v>522</v>
      </c>
      <c r="G247" s="121">
        <v>22.9</v>
      </c>
      <c r="H247" s="121">
        <v>22.9</v>
      </c>
      <c r="I247" s="119">
        <v>2</v>
      </c>
      <c r="J247" s="119">
        <v>2</v>
      </c>
      <c r="K247" s="122">
        <f t="shared" si="77"/>
        <v>8.7336244541484725E-2</v>
      </c>
      <c r="L247" s="121"/>
      <c r="M247" s="114"/>
      <c r="N247" s="114"/>
      <c r="O247" s="114"/>
      <c r="P247" s="114"/>
      <c r="Q247" s="114"/>
      <c r="R247" s="114"/>
      <c r="S247" s="114"/>
      <c r="T247" s="113"/>
      <c r="U247" s="113"/>
      <c r="V247" s="113"/>
      <c r="W247" s="113"/>
      <c r="X247" s="113">
        <f t="shared" si="78"/>
        <v>5.0655021834061138</v>
      </c>
      <c r="Y247" s="113">
        <v>58</v>
      </c>
      <c r="AA247" s="114"/>
      <c r="AB247" s="114"/>
      <c r="AC247" s="114"/>
      <c r="AD247" s="114"/>
      <c r="AE247" s="114"/>
      <c r="AF247" s="114"/>
      <c r="AG247" s="114">
        <v>30</v>
      </c>
      <c r="AH247" s="114">
        <v>30</v>
      </c>
      <c r="AI247" s="114">
        <v>5</v>
      </c>
      <c r="AJ247" s="114">
        <v>45</v>
      </c>
      <c r="AK247" s="114"/>
      <c r="AL247" s="114"/>
      <c r="AM247" s="114"/>
      <c r="AN247" s="114"/>
      <c r="AO247" s="114">
        <f t="shared" si="76"/>
        <v>2.7947598253275112</v>
      </c>
      <c r="AP247" s="114">
        <v>32</v>
      </c>
      <c r="AQ247" s="114" t="s">
        <v>432</v>
      </c>
      <c r="AR247" s="114"/>
      <c r="AS247" s="114"/>
      <c r="AT247" s="114"/>
      <c r="AU247" s="114">
        <v>400</v>
      </c>
      <c r="AV247" s="114">
        <v>400</v>
      </c>
      <c r="AW247" s="114">
        <v>3</v>
      </c>
    </row>
    <row r="248" spans="1:52" ht="15">
      <c r="A248" s="1" t="s">
        <v>75</v>
      </c>
      <c r="B248" s="110" t="s">
        <v>430</v>
      </c>
      <c r="C248" s="110" t="s">
        <v>435</v>
      </c>
      <c r="D248" s="111">
        <v>1</v>
      </c>
      <c r="E248" s="112" t="s">
        <v>5</v>
      </c>
      <c r="F248" s="149" t="s">
        <v>522</v>
      </c>
      <c r="G248" s="121">
        <v>34</v>
      </c>
      <c r="H248" s="121">
        <v>34</v>
      </c>
      <c r="I248" s="114">
        <v>2.8</v>
      </c>
      <c r="J248" s="114">
        <v>2.8</v>
      </c>
      <c r="K248" s="122">
        <f t="shared" si="77"/>
        <v>8.2352941176470587E-2</v>
      </c>
      <c r="L248" s="121"/>
      <c r="M248" s="114"/>
      <c r="N248" s="114"/>
      <c r="O248" s="114"/>
      <c r="P248" s="114"/>
      <c r="Q248" s="114"/>
      <c r="R248" s="114"/>
      <c r="S248" s="114"/>
      <c r="T248" s="113"/>
      <c r="U248" s="113"/>
      <c r="V248" s="113"/>
      <c r="W248" s="113"/>
      <c r="X248" s="113">
        <f t="shared" si="78"/>
        <v>4.776470588235294</v>
      </c>
      <c r="Y248" s="113">
        <v>58</v>
      </c>
      <c r="AA248" s="114"/>
      <c r="AB248" s="114"/>
      <c r="AC248" s="114"/>
      <c r="AD248" s="114"/>
      <c r="AE248" s="114"/>
      <c r="AF248" s="114"/>
      <c r="AG248" s="114">
        <v>30</v>
      </c>
      <c r="AH248" s="114">
        <v>30</v>
      </c>
      <c r="AI248" s="114">
        <v>5</v>
      </c>
      <c r="AJ248" s="114">
        <v>45</v>
      </c>
      <c r="AK248" s="114"/>
      <c r="AL248" s="114"/>
      <c r="AM248" s="114"/>
      <c r="AN248" s="114"/>
      <c r="AO248" s="114">
        <f t="shared" si="76"/>
        <v>2.6352941176470588</v>
      </c>
      <c r="AP248" s="114">
        <v>32</v>
      </c>
      <c r="AQ248" s="114" t="s">
        <v>432</v>
      </c>
      <c r="AR248" s="114"/>
      <c r="AS248" s="114"/>
      <c r="AT248" s="114"/>
      <c r="AU248" s="114">
        <v>400</v>
      </c>
      <c r="AV248" s="114">
        <v>400</v>
      </c>
      <c r="AW248" s="114">
        <v>3</v>
      </c>
    </row>
    <row r="249" spans="1:52" ht="15">
      <c r="A249" s="1" t="s">
        <v>75</v>
      </c>
      <c r="B249" s="110" t="s">
        <v>430</v>
      </c>
      <c r="C249" s="110" t="s">
        <v>436</v>
      </c>
      <c r="D249" s="111">
        <v>1</v>
      </c>
      <c r="E249" s="112" t="s">
        <v>5</v>
      </c>
      <c r="F249" s="149" t="s">
        <v>522</v>
      </c>
      <c r="G249" s="121">
        <v>45.4</v>
      </c>
      <c r="H249" s="121">
        <v>45.4</v>
      </c>
      <c r="I249" s="121">
        <v>3.8</v>
      </c>
      <c r="J249" s="121">
        <v>3.8</v>
      </c>
      <c r="K249" s="122">
        <f t="shared" si="77"/>
        <v>8.3700440528634359E-2</v>
      </c>
      <c r="L249" s="121"/>
      <c r="M249" s="114"/>
      <c r="N249" s="114"/>
      <c r="O249" s="114"/>
      <c r="P249" s="114"/>
      <c r="Q249" s="114"/>
      <c r="R249" s="114"/>
      <c r="S249" s="114"/>
      <c r="T249" s="113"/>
      <c r="U249" s="113"/>
      <c r="V249" s="113"/>
      <c r="W249" s="113"/>
      <c r="X249" s="113">
        <f t="shared" si="78"/>
        <v>4.8546255506607929</v>
      </c>
      <c r="Y249" s="113">
        <v>58</v>
      </c>
      <c r="AA249" s="114"/>
      <c r="AB249" s="114"/>
      <c r="AC249" s="114"/>
      <c r="AD249" s="114"/>
      <c r="AE249" s="114"/>
      <c r="AF249" s="114"/>
      <c r="AG249" s="114">
        <v>30</v>
      </c>
      <c r="AH249" s="114">
        <v>30</v>
      </c>
      <c r="AI249" s="114">
        <v>5</v>
      </c>
      <c r="AJ249" s="114">
        <v>45</v>
      </c>
      <c r="AK249" s="114"/>
      <c r="AL249" s="114"/>
      <c r="AM249" s="114"/>
      <c r="AN249" s="114"/>
      <c r="AO249" s="114">
        <f t="shared" si="76"/>
        <v>2.6784140969162995</v>
      </c>
      <c r="AP249" s="114">
        <v>32</v>
      </c>
      <c r="AQ249" s="114" t="s">
        <v>432</v>
      </c>
      <c r="AR249" s="114"/>
      <c r="AS249" s="114"/>
      <c r="AT249" s="114"/>
      <c r="AU249" s="114">
        <v>400</v>
      </c>
      <c r="AV249" s="114">
        <v>400</v>
      </c>
      <c r="AW249" s="114">
        <v>3</v>
      </c>
    </row>
    <row r="250" spans="1:52" ht="15">
      <c r="A250" s="1" t="s">
        <v>75</v>
      </c>
      <c r="B250" s="110" t="s">
        <v>430</v>
      </c>
      <c r="C250" s="110" t="s">
        <v>437</v>
      </c>
      <c r="D250" s="111">
        <v>1</v>
      </c>
      <c r="E250" s="112" t="s">
        <v>5</v>
      </c>
      <c r="F250" s="149" t="s">
        <v>522</v>
      </c>
      <c r="G250" s="121">
        <v>56.5</v>
      </c>
      <c r="H250" s="121">
        <v>56.5</v>
      </c>
      <c r="I250" s="121">
        <v>4.7</v>
      </c>
      <c r="J250" s="121">
        <v>4.7</v>
      </c>
      <c r="K250" s="122">
        <f t="shared" si="77"/>
        <v>8.3185840707964601E-2</v>
      </c>
      <c r="L250" s="121"/>
      <c r="M250" s="114"/>
      <c r="N250" s="114"/>
      <c r="O250" s="114"/>
      <c r="P250" s="114"/>
      <c r="Q250" s="114"/>
      <c r="R250" s="114"/>
      <c r="S250" s="114"/>
      <c r="T250" s="113"/>
      <c r="U250" s="113"/>
      <c r="V250" s="113"/>
      <c r="W250" s="113"/>
      <c r="X250" s="113">
        <f t="shared" si="78"/>
        <v>4.824778761061947</v>
      </c>
      <c r="Y250" s="113">
        <v>58</v>
      </c>
      <c r="AA250" s="114"/>
      <c r="AB250" s="114"/>
      <c r="AC250" s="114"/>
      <c r="AD250" s="114"/>
      <c r="AE250" s="114"/>
      <c r="AF250" s="114"/>
      <c r="AG250" s="114">
        <v>30</v>
      </c>
      <c r="AH250" s="114">
        <v>30</v>
      </c>
      <c r="AI250" s="114">
        <v>5</v>
      </c>
      <c r="AJ250" s="114">
        <v>45</v>
      </c>
      <c r="AK250" s="114"/>
      <c r="AL250" s="114"/>
      <c r="AM250" s="114"/>
      <c r="AN250" s="114"/>
      <c r="AO250" s="114">
        <f t="shared" si="76"/>
        <v>2.6619469026548672</v>
      </c>
      <c r="AP250" s="114">
        <v>32</v>
      </c>
      <c r="AQ250" s="114" t="s">
        <v>432</v>
      </c>
      <c r="AR250" s="114"/>
      <c r="AS250" s="114"/>
      <c r="AT250" s="114"/>
      <c r="AU250" s="114">
        <v>400</v>
      </c>
      <c r="AV250" s="114">
        <v>400</v>
      </c>
      <c r="AW250" s="114">
        <v>3</v>
      </c>
    </row>
    <row r="251" spans="1:52" ht="15">
      <c r="A251" s="1" t="s">
        <v>75</v>
      </c>
      <c r="B251" s="110" t="s">
        <v>438</v>
      </c>
      <c r="C251" s="110" t="s">
        <v>439</v>
      </c>
      <c r="D251" s="111">
        <v>1</v>
      </c>
      <c r="E251" s="112" t="s">
        <v>5</v>
      </c>
      <c r="F251" s="149" t="s">
        <v>515</v>
      </c>
      <c r="G251" s="3">
        <v>10</v>
      </c>
      <c r="H251" s="3">
        <v>10</v>
      </c>
      <c r="I251" s="3">
        <f>G251*K251</f>
        <v>0.89899999999999991</v>
      </c>
      <c r="J251" s="3">
        <f>H251*K251</f>
        <v>0.89899999999999991</v>
      </c>
      <c r="K251" s="3">
        <v>8.9899999999999994E-2</v>
      </c>
      <c r="X251" s="45">
        <v>5.4</v>
      </c>
      <c r="Y251" s="45">
        <f>X251/K251</f>
        <v>60.066740823136826</v>
      </c>
      <c r="AA251" s="46">
        <v>0.99999899999999997</v>
      </c>
      <c r="AB251" s="46">
        <v>0.99999899999999997</v>
      </c>
      <c r="AC251" s="3">
        <v>5</v>
      </c>
      <c r="AE251" s="3">
        <v>-70</v>
      </c>
      <c r="AG251" s="3">
        <v>40</v>
      </c>
      <c r="AH251" s="3">
        <v>40</v>
      </c>
      <c r="AY251" s="3">
        <v>9</v>
      </c>
      <c r="AZ251" s="3">
        <v>20</v>
      </c>
    </row>
    <row r="252" spans="1:52" ht="15">
      <c r="A252" s="1" t="s">
        <v>75</v>
      </c>
      <c r="B252" s="110" t="s">
        <v>438</v>
      </c>
      <c r="C252" s="110" t="s">
        <v>440</v>
      </c>
      <c r="D252" s="111">
        <v>1</v>
      </c>
      <c r="E252" s="112" t="s">
        <v>5</v>
      </c>
      <c r="F252" s="149" t="s">
        <v>515</v>
      </c>
      <c r="G252" s="3">
        <v>30</v>
      </c>
      <c r="H252" s="3">
        <v>30</v>
      </c>
      <c r="I252" s="3">
        <f t="shared" ref="I252:I256" si="79">G252*K252</f>
        <v>2.6969999999999996</v>
      </c>
      <c r="J252" s="3">
        <f t="shared" ref="J252:J256" si="80">H252*K252</f>
        <v>2.6969999999999996</v>
      </c>
      <c r="K252" s="3">
        <v>8.9899999999999994E-2</v>
      </c>
      <c r="X252" s="45">
        <v>5.2</v>
      </c>
      <c r="Y252" s="45">
        <f t="shared" ref="Y252:Y256" si="81">X252/K252</f>
        <v>57.842046718576199</v>
      </c>
      <c r="AA252" s="46">
        <v>0.99999899999999997</v>
      </c>
      <c r="AB252" s="46">
        <v>0.99999899999999997</v>
      </c>
      <c r="AC252" s="3">
        <v>5</v>
      </c>
      <c r="AE252" s="3">
        <v>-70</v>
      </c>
      <c r="AG252" s="3">
        <v>40</v>
      </c>
      <c r="AH252" s="3">
        <v>40</v>
      </c>
      <c r="AY252" s="3">
        <v>9</v>
      </c>
      <c r="AZ252" s="3">
        <v>20</v>
      </c>
    </row>
    <row r="253" spans="1:52" ht="15">
      <c r="A253" s="1" t="s">
        <v>75</v>
      </c>
      <c r="B253" s="110" t="s">
        <v>438</v>
      </c>
      <c r="C253" s="110" t="s">
        <v>441</v>
      </c>
      <c r="D253" s="111">
        <v>1</v>
      </c>
      <c r="E253" s="112" t="s">
        <v>5</v>
      </c>
      <c r="F253" s="149" t="s">
        <v>515</v>
      </c>
      <c r="G253" s="3">
        <v>60</v>
      </c>
      <c r="H253" s="3">
        <v>60</v>
      </c>
      <c r="I253" s="3">
        <f t="shared" si="79"/>
        <v>5.3939999999999992</v>
      </c>
      <c r="J253" s="3">
        <f t="shared" si="80"/>
        <v>5.3939999999999992</v>
      </c>
      <c r="K253" s="3">
        <v>8.9899999999999994E-2</v>
      </c>
      <c r="X253" s="45">
        <v>5.2</v>
      </c>
      <c r="Y253" s="45">
        <f t="shared" si="81"/>
        <v>57.842046718576199</v>
      </c>
      <c r="AA253" s="46">
        <v>0.99999899999999997</v>
      </c>
      <c r="AB253" s="46">
        <v>0.99999899999999997</v>
      </c>
      <c r="AC253" s="3">
        <v>5</v>
      </c>
      <c r="AE253" s="3">
        <v>-70</v>
      </c>
      <c r="AG253" s="3">
        <v>40</v>
      </c>
      <c r="AH253" s="3">
        <v>40</v>
      </c>
      <c r="AY253" s="3">
        <v>9</v>
      </c>
      <c r="AZ253" s="3">
        <v>20</v>
      </c>
    </row>
    <row r="254" spans="1:52" ht="15">
      <c r="A254" s="1" t="s">
        <v>75</v>
      </c>
      <c r="B254" s="110" t="s">
        <v>438</v>
      </c>
      <c r="C254" s="110" t="s">
        <v>442</v>
      </c>
      <c r="D254" s="111">
        <v>1</v>
      </c>
      <c r="E254" s="112" t="s">
        <v>5</v>
      </c>
      <c r="F254" s="149" t="s">
        <v>515</v>
      </c>
      <c r="G254" s="3">
        <v>100</v>
      </c>
      <c r="H254" s="3">
        <v>100</v>
      </c>
      <c r="I254" s="3">
        <f t="shared" si="79"/>
        <v>8.99</v>
      </c>
      <c r="J254" s="3">
        <f t="shared" si="80"/>
        <v>8.99</v>
      </c>
      <c r="K254" s="3">
        <v>8.9899999999999994E-2</v>
      </c>
      <c r="X254" s="45">
        <v>5.4</v>
      </c>
      <c r="Y254" s="45">
        <f t="shared" si="81"/>
        <v>60.066740823136826</v>
      </c>
      <c r="AA254" s="46">
        <v>0.99999899999999997</v>
      </c>
      <c r="AB254" s="46">
        <v>0.99999899999999997</v>
      </c>
      <c r="AC254" s="3">
        <v>5</v>
      </c>
      <c r="AE254" s="3">
        <v>-70</v>
      </c>
      <c r="AG254" s="3">
        <v>40</v>
      </c>
      <c r="AH254" s="3">
        <v>40</v>
      </c>
      <c r="AY254" s="3">
        <v>9</v>
      </c>
      <c r="AZ254" s="3">
        <v>20</v>
      </c>
    </row>
    <row r="255" spans="1:52" ht="15">
      <c r="A255" s="1" t="s">
        <v>75</v>
      </c>
      <c r="B255" s="110" t="s">
        <v>438</v>
      </c>
      <c r="C255" s="110" t="s">
        <v>443</v>
      </c>
      <c r="D255" s="111">
        <v>1</v>
      </c>
      <c r="E255" s="112" t="s">
        <v>5</v>
      </c>
      <c r="F255" s="149" t="s">
        <v>515</v>
      </c>
      <c r="G255" s="3">
        <v>160</v>
      </c>
      <c r="H255" s="3">
        <v>160</v>
      </c>
      <c r="I255" s="3">
        <f t="shared" si="79"/>
        <v>14.383999999999999</v>
      </c>
      <c r="J255" s="3">
        <f t="shared" si="80"/>
        <v>14.383999999999999</v>
      </c>
      <c r="K255" s="3">
        <v>8.9899999999999994E-2</v>
      </c>
      <c r="X255" s="45">
        <v>5.4</v>
      </c>
      <c r="Y255" s="45">
        <f t="shared" si="81"/>
        <v>60.066740823136826</v>
      </c>
      <c r="AA255" s="46">
        <v>0.99999899999999997</v>
      </c>
      <c r="AB255" s="46">
        <v>0.99999899999999997</v>
      </c>
      <c r="AC255" s="3">
        <v>5</v>
      </c>
      <c r="AE255" s="3">
        <v>-70</v>
      </c>
      <c r="AG255" s="3">
        <v>40</v>
      </c>
      <c r="AH255" s="3">
        <v>40</v>
      </c>
      <c r="AY255" s="3">
        <v>9</v>
      </c>
      <c r="AZ255" s="3">
        <v>20</v>
      </c>
    </row>
    <row r="256" spans="1:52" ht="15">
      <c r="A256" s="1" t="s">
        <v>75</v>
      </c>
      <c r="B256" s="110" t="s">
        <v>438</v>
      </c>
      <c r="C256" s="110" t="s">
        <v>444</v>
      </c>
      <c r="D256" s="111">
        <v>1</v>
      </c>
      <c r="E256" s="112" t="s">
        <v>5</v>
      </c>
      <c r="F256" s="149" t="s">
        <v>515</v>
      </c>
      <c r="G256" s="3">
        <v>320</v>
      </c>
      <c r="H256" s="3">
        <v>320</v>
      </c>
      <c r="I256" s="3">
        <f t="shared" si="79"/>
        <v>28.767999999999997</v>
      </c>
      <c r="J256" s="3">
        <f t="shared" si="80"/>
        <v>28.767999999999997</v>
      </c>
      <c r="K256" s="3">
        <v>8.9899999999999994E-2</v>
      </c>
      <c r="X256" s="45">
        <v>5.3</v>
      </c>
      <c r="Y256" s="45">
        <f t="shared" si="81"/>
        <v>58.954393770856512</v>
      </c>
      <c r="AA256" s="46">
        <v>0.99999899999999997</v>
      </c>
      <c r="AB256" s="46">
        <v>0.99999899999999997</v>
      </c>
      <c r="AC256" s="3">
        <v>5</v>
      </c>
      <c r="AE256" s="3">
        <v>-70</v>
      </c>
      <c r="AG256" s="3">
        <v>40</v>
      </c>
      <c r="AH256" s="3">
        <v>40</v>
      </c>
      <c r="AY256" s="3">
        <v>9</v>
      </c>
      <c r="AZ256" s="3">
        <v>20</v>
      </c>
    </row>
    <row r="257" spans="1:51" ht="15">
      <c r="A257" s="1" t="s">
        <v>75</v>
      </c>
      <c r="B257" s="1" t="s">
        <v>445</v>
      </c>
      <c r="C257" s="1" t="s">
        <v>446</v>
      </c>
      <c r="D257" s="111">
        <v>1</v>
      </c>
      <c r="E257" s="4" t="s">
        <v>5</v>
      </c>
      <c r="F257" s="149" t="s">
        <v>515</v>
      </c>
      <c r="G257" s="3">
        <v>2130</v>
      </c>
      <c r="H257" s="3">
        <v>2130</v>
      </c>
      <c r="I257" s="3">
        <f>4600/24</f>
        <v>191.66666666666666</v>
      </c>
      <c r="J257" s="3">
        <f>4600/24</f>
        <v>191.66666666666666</v>
      </c>
      <c r="K257" s="3">
        <f>I257/G257</f>
        <v>8.9984350547730824E-2</v>
      </c>
      <c r="L257" s="44">
        <v>0.1</v>
      </c>
      <c r="M257" s="44">
        <v>1</v>
      </c>
      <c r="O257" s="3">
        <v>30</v>
      </c>
      <c r="S257" s="44">
        <v>0.77</v>
      </c>
      <c r="X257" s="45">
        <v>4.5999999999999996</v>
      </c>
      <c r="Y257" s="45">
        <v>51</v>
      </c>
      <c r="AA257" s="58">
        <v>0.999</v>
      </c>
      <c r="AB257" s="57">
        <v>0.99999000000000005</v>
      </c>
      <c r="AG257" s="3">
        <v>30</v>
      </c>
      <c r="AH257" s="3">
        <v>30</v>
      </c>
      <c r="AI257" s="3">
        <v>5</v>
      </c>
      <c r="AJ257" s="3">
        <v>40</v>
      </c>
      <c r="AM257" s="3" t="s">
        <v>447</v>
      </c>
      <c r="AN257" s="3" t="s">
        <v>447</v>
      </c>
      <c r="AQ257" s="3" t="s">
        <v>312</v>
      </c>
    </row>
    <row r="258" spans="1:51" ht="15">
      <c r="A258" s="1" t="s">
        <v>75</v>
      </c>
      <c r="B258" s="1" t="s">
        <v>445</v>
      </c>
      <c r="C258" s="1" t="s">
        <v>448</v>
      </c>
      <c r="D258" s="111">
        <v>1</v>
      </c>
      <c r="E258" s="4" t="s">
        <v>5</v>
      </c>
      <c r="F258" s="149" t="s">
        <v>515</v>
      </c>
      <c r="G258" s="3">
        <v>210</v>
      </c>
      <c r="H258" s="3">
        <v>210</v>
      </c>
      <c r="I258" s="3">
        <f>450/24</f>
        <v>18.75</v>
      </c>
      <c r="J258" s="3">
        <f>450/24</f>
        <v>18.75</v>
      </c>
      <c r="K258" s="3">
        <f>I258/G258</f>
        <v>8.9285714285714288E-2</v>
      </c>
      <c r="L258" s="44">
        <v>0.2</v>
      </c>
      <c r="M258" s="44">
        <v>1</v>
      </c>
      <c r="O258" s="3">
        <v>30</v>
      </c>
      <c r="S258" s="44">
        <v>0.75</v>
      </c>
      <c r="X258" s="45">
        <v>4.7</v>
      </c>
      <c r="Y258" s="45">
        <v>53</v>
      </c>
      <c r="AA258" s="57">
        <v>0.99999000000000005</v>
      </c>
      <c r="AB258" s="57">
        <v>0.99999000000000005</v>
      </c>
      <c r="AG258" s="3">
        <v>20</v>
      </c>
      <c r="AH258" s="3">
        <v>30</v>
      </c>
      <c r="AI258" s="3">
        <v>-20</v>
      </c>
      <c r="AJ258" s="3">
        <v>40</v>
      </c>
      <c r="AU258" s="3">
        <v>480</v>
      </c>
      <c r="AV258" s="3">
        <v>480</v>
      </c>
      <c r="AW258" s="3">
        <v>3</v>
      </c>
    </row>
    <row r="259" spans="1:51" ht="15">
      <c r="A259" s="1" t="s">
        <v>75</v>
      </c>
      <c r="B259" s="1" t="s">
        <v>449</v>
      </c>
      <c r="C259" s="1" t="s">
        <v>450</v>
      </c>
      <c r="D259" s="111">
        <v>1</v>
      </c>
      <c r="E259" s="4" t="s">
        <v>5</v>
      </c>
      <c r="F259" s="149" t="s">
        <v>515</v>
      </c>
      <c r="G259" s="3">
        <v>200</v>
      </c>
      <c r="H259" s="3">
        <v>200</v>
      </c>
      <c r="I259" s="3">
        <f>G259*K259</f>
        <v>17.98</v>
      </c>
      <c r="J259" s="3">
        <f>H259*K259</f>
        <v>17.98</v>
      </c>
      <c r="K259" s="3">
        <v>8.9899999999999994E-2</v>
      </c>
      <c r="L259" s="44">
        <v>0.1</v>
      </c>
      <c r="M259" s="44">
        <v>1</v>
      </c>
      <c r="N259" s="3" t="s">
        <v>153</v>
      </c>
      <c r="X259" s="45">
        <f>Y259*K259</f>
        <v>5.2141999999999999</v>
      </c>
      <c r="Y259" s="45">
        <v>58</v>
      </c>
      <c r="AA259" s="57">
        <v>0.99999000000000005</v>
      </c>
      <c r="AB259" s="57">
        <v>0.99999000000000005</v>
      </c>
      <c r="AC259" s="3" t="s">
        <v>190</v>
      </c>
      <c r="AG259" s="3">
        <v>40</v>
      </c>
      <c r="AH259" s="3">
        <v>40</v>
      </c>
      <c r="AO259" s="3">
        <f>400/G259</f>
        <v>2</v>
      </c>
      <c r="AP259" s="3">
        <f t="shared" ref="AP259:AP270" si="82">AO259/K259</f>
        <v>22.246941045606231</v>
      </c>
      <c r="AU259" s="3">
        <v>400</v>
      </c>
      <c r="AV259" s="3">
        <v>400</v>
      </c>
    </row>
    <row r="260" spans="1:51" ht="15">
      <c r="A260" s="1" t="s">
        <v>75</v>
      </c>
      <c r="B260" s="1" t="s">
        <v>449</v>
      </c>
      <c r="C260" s="1" t="s">
        <v>451</v>
      </c>
      <c r="D260" s="111">
        <v>1</v>
      </c>
      <c r="E260" s="4" t="s">
        <v>5</v>
      </c>
      <c r="F260" s="149" t="s">
        <v>515</v>
      </c>
      <c r="G260" s="3">
        <v>400</v>
      </c>
      <c r="H260" s="3">
        <v>400</v>
      </c>
      <c r="I260" s="3">
        <f t="shared" ref="I260:I263" si="83">G260*K260</f>
        <v>35.96</v>
      </c>
      <c r="J260" s="3">
        <f t="shared" ref="J260:J263" si="84">H260*K260</f>
        <v>35.96</v>
      </c>
      <c r="K260" s="3">
        <v>8.9899999999999994E-2</v>
      </c>
      <c r="L260" s="44">
        <v>0.1</v>
      </c>
      <c r="M260" s="44">
        <v>1</v>
      </c>
      <c r="N260" s="3" t="s">
        <v>153</v>
      </c>
      <c r="X260" s="45">
        <f t="shared" ref="X260:X263" si="85">Y260*K260</f>
        <v>5.2141999999999999</v>
      </c>
      <c r="Y260" s="45">
        <v>58</v>
      </c>
      <c r="AA260" s="57">
        <v>0.99999000000000005</v>
      </c>
      <c r="AB260" s="57">
        <v>0.99999000000000005</v>
      </c>
      <c r="AC260" s="3" t="s">
        <v>190</v>
      </c>
      <c r="AG260" s="3">
        <v>40</v>
      </c>
      <c r="AH260" s="3">
        <v>40</v>
      </c>
      <c r="AO260" s="3">
        <f>800/G260</f>
        <v>2</v>
      </c>
      <c r="AP260" s="3">
        <f t="shared" si="82"/>
        <v>22.246941045606231</v>
      </c>
    </row>
    <row r="261" spans="1:51" ht="15">
      <c r="A261" s="1" t="s">
        <v>75</v>
      </c>
      <c r="B261" s="1" t="s">
        <v>449</v>
      </c>
      <c r="C261" s="1" t="s">
        <v>452</v>
      </c>
      <c r="D261" s="111">
        <v>1</v>
      </c>
      <c r="E261" s="4" t="s">
        <v>5</v>
      </c>
      <c r="F261" s="149" t="s">
        <v>515</v>
      </c>
      <c r="G261" s="3">
        <v>600</v>
      </c>
      <c r="H261" s="3">
        <v>600</v>
      </c>
      <c r="I261" s="3">
        <f t="shared" si="83"/>
        <v>53.94</v>
      </c>
      <c r="J261" s="3">
        <f t="shared" si="84"/>
        <v>53.94</v>
      </c>
      <c r="K261" s="3">
        <v>8.9899999999999994E-2</v>
      </c>
      <c r="L261" s="44">
        <v>0.1</v>
      </c>
      <c r="M261" s="44">
        <v>1</v>
      </c>
      <c r="N261" s="3" t="s">
        <v>153</v>
      </c>
      <c r="X261" s="45">
        <f t="shared" si="85"/>
        <v>5.2141999999999999</v>
      </c>
      <c r="Y261" s="45">
        <v>58</v>
      </c>
      <c r="AA261" s="57">
        <v>0.99999000000000005</v>
      </c>
      <c r="AB261" s="57">
        <v>0.99999000000000005</v>
      </c>
      <c r="AC261" s="3" t="s">
        <v>190</v>
      </c>
      <c r="AG261" s="3">
        <v>40</v>
      </c>
      <c r="AH261" s="3">
        <v>40</v>
      </c>
      <c r="AO261" s="3">
        <f>1200/G261</f>
        <v>2</v>
      </c>
      <c r="AP261" s="3">
        <f t="shared" si="82"/>
        <v>22.246941045606231</v>
      </c>
    </row>
    <row r="262" spans="1:51" ht="15">
      <c r="A262" s="1" t="s">
        <v>75</v>
      </c>
      <c r="B262" s="1" t="s">
        <v>449</v>
      </c>
      <c r="C262" s="1" t="s">
        <v>453</v>
      </c>
      <c r="D262" s="111">
        <v>1</v>
      </c>
      <c r="E262" s="4" t="s">
        <v>5</v>
      </c>
      <c r="F262" s="149" t="s">
        <v>515</v>
      </c>
      <c r="G262" s="3">
        <v>800</v>
      </c>
      <c r="H262" s="3">
        <v>800</v>
      </c>
      <c r="I262" s="3">
        <f t="shared" si="83"/>
        <v>71.92</v>
      </c>
      <c r="J262" s="3">
        <f t="shared" si="84"/>
        <v>71.92</v>
      </c>
      <c r="K262" s="3">
        <v>8.9899999999999994E-2</v>
      </c>
      <c r="L262" s="44">
        <v>0.1</v>
      </c>
      <c r="M262" s="44">
        <v>1</v>
      </c>
      <c r="N262" s="3" t="s">
        <v>153</v>
      </c>
      <c r="X262" s="45">
        <f t="shared" si="85"/>
        <v>5.2141999999999999</v>
      </c>
      <c r="Y262" s="45">
        <v>58</v>
      </c>
      <c r="AA262" s="57">
        <v>0.99999000000000005</v>
      </c>
      <c r="AB262" s="57">
        <v>0.99999000000000005</v>
      </c>
      <c r="AC262" s="3" t="s">
        <v>190</v>
      </c>
      <c r="AG262" s="3">
        <v>40</v>
      </c>
      <c r="AH262" s="3">
        <v>40</v>
      </c>
      <c r="AO262" s="3">
        <f>1600/G262</f>
        <v>2</v>
      </c>
      <c r="AP262" s="3">
        <f t="shared" si="82"/>
        <v>22.246941045606231</v>
      </c>
    </row>
    <row r="263" spans="1:51" ht="15">
      <c r="A263" s="1" t="s">
        <v>75</v>
      </c>
      <c r="B263" s="1" t="s">
        <v>449</v>
      </c>
      <c r="C263" s="1" t="s">
        <v>454</v>
      </c>
      <c r="D263" s="111">
        <v>1</v>
      </c>
      <c r="E263" s="4" t="s">
        <v>5</v>
      </c>
      <c r="F263" s="149" t="s">
        <v>515</v>
      </c>
      <c r="G263" s="3">
        <v>1000</v>
      </c>
      <c r="H263" s="3">
        <v>1000</v>
      </c>
      <c r="I263" s="3">
        <f t="shared" si="83"/>
        <v>89.899999999999991</v>
      </c>
      <c r="J263" s="3">
        <f t="shared" si="84"/>
        <v>89.899999999999991</v>
      </c>
      <c r="K263" s="3">
        <v>8.9899999999999994E-2</v>
      </c>
      <c r="L263" s="44">
        <v>0.1</v>
      </c>
      <c r="M263" s="44">
        <v>1</v>
      </c>
      <c r="N263" s="3" t="s">
        <v>153</v>
      </c>
      <c r="X263" s="45">
        <f t="shared" si="85"/>
        <v>5.2141999999999999</v>
      </c>
      <c r="Y263" s="45">
        <v>58</v>
      </c>
      <c r="AA263" s="57">
        <v>0.99999000000000005</v>
      </c>
      <c r="AB263" s="57">
        <v>0.99999000000000005</v>
      </c>
      <c r="AC263" s="3" t="s">
        <v>190</v>
      </c>
      <c r="AG263" s="3">
        <v>40</v>
      </c>
      <c r="AH263" s="3">
        <v>40</v>
      </c>
      <c r="AO263" s="3">
        <f>2000/G263</f>
        <v>2</v>
      </c>
      <c r="AP263" s="3">
        <f t="shared" si="82"/>
        <v>22.246941045606231</v>
      </c>
    </row>
    <row r="264" spans="1:51" ht="15">
      <c r="A264" s="1" t="s">
        <v>75</v>
      </c>
      <c r="B264" s="1" t="s">
        <v>455</v>
      </c>
      <c r="C264" s="123">
        <v>200</v>
      </c>
      <c r="D264" s="111">
        <v>1</v>
      </c>
      <c r="E264" s="4" t="s">
        <v>5</v>
      </c>
      <c r="F264" s="149" t="s">
        <v>515</v>
      </c>
      <c r="G264" s="3">
        <v>40</v>
      </c>
      <c r="H264" s="3">
        <v>40</v>
      </c>
      <c r="I264" s="3">
        <v>3.4</v>
      </c>
      <c r="J264" s="3">
        <v>3.4</v>
      </c>
      <c r="K264" s="3">
        <f>I264/G264</f>
        <v>8.4999999999999992E-2</v>
      </c>
      <c r="L264" s="44">
        <v>0.2</v>
      </c>
      <c r="M264" s="44">
        <v>1</v>
      </c>
      <c r="T264" s="45">
        <f>200/G264</f>
        <v>5</v>
      </c>
      <c r="U264" s="45">
        <f>T264/K264</f>
        <v>58.82352941176471</v>
      </c>
      <c r="AA264" s="57">
        <v>0.99997999999999998</v>
      </c>
      <c r="AB264" s="57">
        <v>0.99997999999999998</v>
      </c>
      <c r="AH264" s="3">
        <v>40</v>
      </c>
      <c r="AI264" s="3">
        <v>-20</v>
      </c>
      <c r="AJ264" s="3">
        <v>35</v>
      </c>
      <c r="AM264" s="3" t="s">
        <v>456</v>
      </c>
      <c r="AO264" s="3">
        <f>40/G264</f>
        <v>1</v>
      </c>
      <c r="AP264" s="3">
        <f t="shared" si="82"/>
        <v>11.764705882352942</v>
      </c>
      <c r="AU264" s="3">
        <v>400</v>
      </c>
      <c r="AV264" s="3">
        <v>400</v>
      </c>
      <c r="AW264" s="3">
        <v>3</v>
      </c>
    </row>
    <row r="265" spans="1:51" ht="15">
      <c r="A265" s="1" t="s">
        <v>75</v>
      </c>
      <c r="B265" s="1" t="s">
        <v>455</v>
      </c>
      <c r="C265" s="123">
        <v>300</v>
      </c>
      <c r="D265" s="111">
        <v>1</v>
      </c>
      <c r="E265" s="4" t="s">
        <v>5</v>
      </c>
      <c r="F265" s="149" t="s">
        <v>515</v>
      </c>
      <c r="G265" s="3">
        <v>60</v>
      </c>
      <c r="H265" s="3">
        <v>60</v>
      </c>
      <c r="I265" s="3">
        <v>5.0999999999999996</v>
      </c>
      <c r="J265" s="3">
        <v>5.0999999999999996</v>
      </c>
      <c r="K265" s="3">
        <f t="shared" ref="K265:K270" si="86">I265/G265</f>
        <v>8.4999999999999992E-2</v>
      </c>
      <c r="L265" s="44">
        <v>0.2</v>
      </c>
      <c r="M265" s="44">
        <v>1</v>
      </c>
      <c r="T265" s="45">
        <f>300/G265</f>
        <v>5</v>
      </c>
      <c r="U265" s="45">
        <f t="shared" ref="U265:U270" si="87">T265/K265</f>
        <v>58.82352941176471</v>
      </c>
      <c r="AA265" s="57">
        <v>0.99997999999999998</v>
      </c>
      <c r="AB265" s="57">
        <v>0.99997999999999998</v>
      </c>
      <c r="AH265" s="3">
        <v>40</v>
      </c>
      <c r="AI265" s="3">
        <v>-20</v>
      </c>
      <c r="AJ265" s="3">
        <v>35</v>
      </c>
      <c r="AM265" s="3" t="s">
        <v>457</v>
      </c>
      <c r="AO265" s="3">
        <v>1</v>
      </c>
      <c r="AP265" s="3">
        <f t="shared" si="82"/>
        <v>11.764705882352942</v>
      </c>
      <c r="AU265" s="3">
        <v>400</v>
      </c>
      <c r="AV265" s="3">
        <v>400</v>
      </c>
      <c r="AW265" s="3">
        <v>3</v>
      </c>
    </row>
    <row r="266" spans="1:51" ht="15">
      <c r="A266" s="1" t="s">
        <v>75</v>
      </c>
      <c r="B266" s="1" t="s">
        <v>455</v>
      </c>
      <c r="C266" s="123">
        <v>400</v>
      </c>
      <c r="D266" s="111">
        <v>1</v>
      </c>
      <c r="E266" s="4" t="s">
        <v>5</v>
      </c>
      <c r="F266" s="149" t="s">
        <v>515</v>
      </c>
      <c r="G266" s="3">
        <v>80</v>
      </c>
      <c r="H266" s="3">
        <v>80</v>
      </c>
      <c r="I266" s="3">
        <v>6.9</v>
      </c>
      <c r="J266" s="3">
        <v>6.9</v>
      </c>
      <c r="K266" s="3">
        <f t="shared" si="86"/>
        <v>8.6250000000000007E-2</v>
      </c>
      <c r="L266" s="44">
        <v>0.2</v>
      </c>
      <c r="M266" s="44">
        <v>1</v>
      </c>
      <c r="T266" s="45">
        <f>400/G266</f>
        <v>5</v>
      </c>
      <c r="U266" s="45">
        <f t="shared" si="87"/>
        <v>57.971014492753618</v>
      </c>
      <c r="AA266" s="57">
        <v>0.99997999999999998</v>
      </c>
      <c r="AB266" s="57">
        <v>0.99997999999999998</v>
      </c>
      <c r="AH266" s="3">
        <v>40</v>
      </c>
      <c r="AI266" s="3">
        <v>-20</v>
      </c>
      <c r="AJ266" s="3">
        <v>35</v>
      </c>
      <c r="AM266" s="3" t="s">
        <v>458</v>
      </c>
      <c r="AO266" s="3">
        <v>1</v>
      </c>
      <c r="AP266" s="3">
        <f t="shared" si="82"/>
        <v>11.594202898550723</v>
      </c>
      <c r="AU266" s="3">
        <v>400</v>
      </c>
      <c r="AV266" s="3">
        <v>400</v>
      </c>
      <c r="AW266" s="3">
        <v>3</v>
      </c>
    </row>
    <row r="267" spans="1:51" ht="15">
      <c r="A267" s="1" t="s">
        <v>75</v>
      </c>
      <c r="B267" s="1" t="s">
        <v>455</v>
      </c>
      <c r="C267" s="123">
        <v>450</v>
      </c>
      <c r="D267" s="111">
        <v>1</v>
      </c>
      <c r="E267" s="4" t="s">
        <v>5</v>
      </c>
      <c r="F267" s="149" t="s">
        <v>515</v>
      </c>
      <c r="G267" s="3">
        <v>90</v>
      </c>
      <c r="H267" s="3">
        <v>90</v>
      </c>
      <c r="I267" s="3">
        <v>7.8</v>
      </c>
      <c r="J267" s="3">
        <v>7.8</v>
      </c>
      <c r="K267" s="3">
        <f t="shared" si="86"/>
        <v>8.666666666666667E-2</v>
      </c>
      <c r="L267" s="44">
        <v>0.2</v>
      </c>
      <c r="M267" s="44">
        <v>1</v>
      </c>
      <c r="T267" s="45">
        <f>450/G267</f>
        <v>5</v>
      </c>
      <c r="U267" s="45">
        <f t="shared" si="87"/>
        <v>57.692307692307693</v>
      </c>
      <c r="AA267" s="57">
        <v>0.99997999999999998</v>
      </c>
      <c r="AB267" s="57">
        <v>0.99997999999999998</v>
      </c>
      <c r="AH267" s="3">
        <v>40</v>
      </c>
      <c r="AI267" s="3">
        <v>-20</v>
      </c>
      <c r="AJ267" s="3">
        <v>35</v>
      </c>
      <c r="AM267" s="3" t="s">
        <v>459</v>
      </c>
      <c r="AO267" s="3">
        <f>95/90</f>
        <v>1.0555555555555556</v>
      </c>
      <c r="AP267" s="3">
        <f t="shared" si="82"/>
        <v>12.179487179487179</v>
      </c>
      <c r="AU267" s="3">
        <v>400</v>
      </c>
      <c r="AV267" s="3">
        <v>400</v>
      </c>
      <c r="AW267" s="3">
        <v>3</v>
      </c>
    </row>
    <row r="268" spans="1:51" ht="15">
      <c r="A268" s="1" t="s">
        <v>75</v>
      </c>
      <c r="B268" s="1" t="s">
        <v>455</v>
      </c>
      <c r="C268" s="123">
        <v>600</v>
      </c>
      <c r="D268" s="111">
        <v>1</v>
      </c>
      <c r="E268" s="4" t="s">
        <v>5</v>
      </c>
      <c r="F268" s="149" t="s">
        <v>515</v>
      </c>
      <c r="G268" s="3">
        <v>120</v>
      </c>
      <c r="H268" s="3">
        <v>120</v>
      </c>
      <c r="I268" s="3">
        <v>10.4</v>
      </c>
      <c r="J268" s="3">
        <v>10.4</v>
      </c>
      <c r="K268" s="3">
        <f t="shared" si="86"/>
        <v>8.666666666666667E-2</v>
      </c>
      <c r="L268" s="44">
        <v>0.2</v>
      </c>
      <c r="M268" s="44">
        <v>1</v>
      </c>
      <c r="T268" s="45">
        <v>5</v>
      </c>
      <c r="U268" s="45">
        <f t="shared" si="87"/>
        <v>57.692307692307693</v>
      </c>
      <c r="AA268" s="57">
        <v>0.99997999999999998</v>
      </c>
      <c r="AB268" s="57">
        <v>0.99997999999999998</v>
      </c>
      <c r="AH268" s="3">
        <v>40</v>
      </c>
      <c r="AI268" s="3">
        <v>-20</v>
      </c>
      <c r="AJ268" s="3">
        <v>35</v>
      </c>
      <c r="AM268" s="3" t="s">
        <v>460</v>
      </c>
      <c r="AO268" s="3">
        <f>125/120</f>
        <v>1.0416666666666667</v>
      </c>
      <c r="AP268" s="3">
        <f t="shared" si="82"/>
        <v>12.01923076923077</v>
      </c>
      <c r="AU268" s="3">
        <v>400</v>
      </c>
      <c r="AV268" s="3">
        <v>400</v>
      </c>
      <c r="AW268" s="3">
        <v>3</v>
      </c>
    </row>
    <row r="269" spans="1:51" ht="15">
      <c r="A269" s="1" t="s">
        <v>75</v>
      </c>
      <c r="B269" s="1" t="s">
        <v>455</v>
      </c>
      <c r="C269" s="123">
        <v>750</v>
      </c>
      <c r="D269" s="111">
        <v>1</v>
      </c>
      <c r="E269" s="4" t="s">
        <v>5</v>
      </c>
      <c r="F269" s="149" t="s">
        <v>515</v>
      </c>
      <c r="G269" s="3">
        <v>150</v>
      </c>
      <c r="H269" s="3">
        <v>150</v>
      </c>
      <c r="I269" s="3">
        <v>13</v>
      </c>
      <c r="J269" s="3">
        <v>13</v>
      </c>
      <c r="K269" s="3">
        <f t="shared" si="86"/>
        <v>8.666666666666667E-2</v>
      </c>
      <c r="L269" s="44">
        <v>0.2</v>
      </c>
      <c r="M269" s="44">
        <v>1</v>
      </c>
      <c r="T269" s="45">
        <v>5</v>
      </c>
      <c r="U269" s="45">
        <f t="shared" si="87"/>
        <v>57.692307692307693</v>
      </c>
      <c r="AA269" s="57">
        <v>0.99997999999999998</v>
      </c>
      <c r="AB269" s="57">
        <v>0.99997999999999998</v>
      </c>
      <c r="AH269" s="3">
        <v>40</v>
      </c>
      <c r="AI269" s="3">
        <v>-20</v>
      </c>
      <c r="AJ269" s="3">
        <v>35</v>
      </c>
      <c r="AM269" s="3" t="s">
        <v>461</v>
      </c>
      <c r="AO269" s="3">
        <v>1</v>
      </c>
      <c r="AP269" s="3">
        <f t="shared" si="82"/>
        <v>11.538461538461538</v>
      </c>
      <c r="AU269" s="3">
        <v>400</v>
      </c>
      <c r="AV269" s="3">
        <v>400</v>
      </c>
      <c r="AW269" s="3">
        <v>3</v>
      </c>
    </row>
    <row r="270" spans="1:51" ht="15">
      <c r="A270" s="1" t="s">
        <v>75</v>
      </c>
      <c r="B270" s="1" t="s">
        <v>455</v>
      </c>
      <c r="C270" s="123">
        <v>900</v>
      </c>
      <c r="D270" s="111">
        <v>1</v>
      </c>
      <c r="E270" s="4" t="s">
        <v>5</v>
      </c>
      <c r="F270" s="149" t="s">
        <v>515</v>
      </c>
      <c r="G270" s="3">
        <v>180</v>
      </c>
      <c r="H270" s="3">
        <v>180</v>
      </c>
      <c r="I270" s="3">
        <v>15.6</v>
      </c>
      <c r="J270" s="3">
        <v>15.6</v>
      </c>
      <c r="K270" s="3">
        <f t="shared" si="86"/>
        <v>8.666666666666667E-2</v>
      </c>
      <c r="L270" s="44">
        <v>0.2</v>
      </c>
      <c r="M270" s="44">
        <v>1</v>
      </c>
      <c r="T270" s="45">
        <f>900/G270</f>
        <v>5</v>
      </c>
      <c r="U270" s="45">
        <f t="shared" si="87"/>
        <v>57.692307692307693</v>
      </c>
      <c r="AA270" s="57">
        <v>0.99997999999999998</v>
      </c>
      <c r="AB270" s="57">
        <v>0.99997999999999998</v>
      </c>
      <c r="AH270" s="3">
        <v>40</v>
      </c>
      <c r="AI270" s="3">
        <v>-20</v>
      </c>
      <c r="AJ270" s="3">
        <v>35</v>
      </c>
      <c r="AM270" s="3" t="s">
        <v>462</v>
      </c>
      <c r="AO270" s="3">
        <f>190/180</f>
        <v>1.0555555555555556</v>
      </c>
      <c r="AP270" s="3">
        <f t="shared" si="82"/>
        <v>12.179487179487179</v>
      </c>
      <c r="AU270" s="3">
        <v>400</v>
      </c>
      <c r="AV270" s="3">
        <v>400</v>
      </c>
      <c r="AW270" s="3">
        <v>3</v>
      </c>
    </row>
    <row r="271" spans="1:51" ht="15">
      <c r="A271" s="1" t="s">
        <v>75</v>
      </c>
      <c r="B271" s="1" t="s">
        <v>463</v>
      </c>
      <c r="C271" s="1" t="s">
        <v>464</v>
      </c>
      <c r="D271" s="111">
        <v>1</v>
      </c>
      <c r="E271" s="4" t="s">
        <v>5</v>
      </c>
      <c r="F271" s="148" t="s">
        <v>522</v>
      </c>
      <c r="G271" s="45">
        <f>I271/K271</f>
        <v>222.46941045606232</v>
      </c>
      <c r="H271" s="45">
        <f>J271/K271</f>
        <v>222.46941045606232</v>
      </c>
      <c r="I271" s="3">
        <f>480/24</f>
        <v>20</v>
      </c>
      <c r="J271" s="3">
        <f>480/24</f>
        <v>20</v>
      </c>
      <c r="K271" s="3">
        <v>8.9899999999999994E-2</v>
      </c>
      <c r="AA271" s="57">
        <v>0.99999000000000005</v>
      </c>
      <c r="AB271" s="57">
        <v>0.99999000000000005</v>
      </c>
      <c r="AH271" s="3">
        <v>40</v>
      </c>
      <c r="AY271" s="3">
        <v>9</v>
      </c>
    </row>
    <row r="272" spans="1:51" ht="15">
      <c r="A272" s="1" t="s">
        <v>75</v>
      </c>
      <c r="B272" s="1" t="s">
        <v>463</v>
      </c>
      <c r="C272" s="1" t="s">
        <v>465</v>
      </c>
      <c r="D272" s="111">
        <v>1</v>
      </c>
      <c r="E272" s="4" t="s">
        <v>5</v>
      </c>
      <c r="F272" s="148" t="s">
        <v>522</v>
      </c>
      <c r="G272" s="45">
        <f>I272/K272</f>
        <v>1112.3470522803116</v>
      </c>
      <c r="H272" s="45">
        <f>J272/K272</f>
        <v>1112.3470522803116</v>
      </c>
      <c r="I272" s="3">
        <f>2400/24</f>
        <v>100</v>
      </c>
      <c r="J272" s="3">
        <f>2400/24</f>
        <v>100</v>
      </c>
      <c r="K272" s="3">
        <v>8.9899999999999994E-2</v>
      </c>
      <c r="AA272" s="57">
        <v>0.99999000000000005</v>
      </c>
      <c r="AB272" s="57">
        <v>0.99999000000000005</v>
      </c>
      <c r="AH272" s="3">
        <v>40</v>
      </c>
      <c r="AY272" s="3">
        <v>9</v>
      </c>
    </row>
    <row r="273" spans="1:52" ht="15">
      <c r="A273" s="1" t="s">
        <v>75</v>
      </c>
      <c r="B273" s="1" t="s">
        <v>463</v>
      </c>
      <c r="C273" s="1" t="s">
        <v>466</v>
      </c>
      <c r="D273" s="111">
        <v>1</v>
      </c>
      <c r="E273" s="4" t="s">
        <v>5</v>
      </c>
      <c r="F273" s="148" t="s">
        <v>522</v>
      </c>
      <c r="G273" s="45">
        <f>I273/K273</f>
        <v>11123.470522803116</v>
      </c>
      <c r="H273" s="45">
        <f>J273/K273</f>
        <v>11123.470522803116</v>
      </c>
      <c r="I273" s="3">
        <f>24000/24</f>
        <v>1000</v>
      </c>
      <c r="J273" s="3">
        <f>24000/24</f>
        <v>1000</v>
      </c>
      <c r="K273" s="3">
        <v>8.9899999999999994E-2</v>
      </c>
      <c r="AA273" s="57">
        <v>0.99999000000000005</v>
      </c>
      <c r="AB273" s="57">
        <v>0.99999000000000005</v>
      </c>
      <c r="AH273" s="3">
        <v>40</v>
      </c>
      <c r="AY273" s="3">
        <v>9</v>
      </c>
    </row>
    <row r="274" spans="1:52" ht="15">
      <c r="A274" s="1" t="s">
        <v>236</v>
      </c>
      <c r="B274" s="1" t="s">
        <v>467</v>
      </c>
      <c r="C274" s="1" t="s">
        <v>468</v>
      </c>
      <c r="D274" s="111">
        <v>1</v>
      </c>
      <c r="E274" s="4" t="s">
        <v>5</v>
      </c>
      <c r="F274" s="148" t="s">
        <v>523</v>
      </c>
      <c r="G274" s="3">
        <v>233.33</v>
      </c>
      <c r="H274" s="3">
        <v>233.33</v>
      </c>
      <c r="I274" s="3">
        <f>500/24</f>
        <v>20.833333333333332</v>
      </c>
      <c r="J274" s="3">
        <f>500/24</f>
        <v>20.833333333333332</v>
      </c>
      <c r="K274" s="3">
        <f>I274/G274</f>
        <v>8.9286989814140197E-2</v>
      </c>
      <c r="N274" s="3" t="s">
        <v>300</v>
      </c>
      <c r="S274" s="44">
        <v>0.82</v>
      </c>
      <c r="T274" s="45">
        <f>U274*K274</f>
        <v>4.2857755110787297</v>
      </c>
      <c r="U274" s="45">
        <v>48</v>
      </c>
      <c r="X274" s="45">
        <f>Y274*K274</f>
        <v>4.5000642866326661</v>
      </c>
      <c r="Y274" s="45">
        <v>50.4</v>
      </c>
      <c r="AA274" s="58">
        <v>0.99990000000000001</v>
      </c>
      <c r="AB274" s="57">
        <v>0.99999000000000005</v>
      </c>
      <c r="AH274" s="3">
        <v>35</v>
      </c>
      <c r="AI274" s="3">
        <v>60</v>
      </c>
      <c r="AJ274" s="3">
        <v>70</v>
      </c>
      <c r="AK274" s="3">
        <v>1</v>
      </c>
      <c r="AL274" s="3">
        <v>4</v>
      </c>
      <c r="AO274" s="3">
        <f>250/G274</f>
        <v>1.0714438777696824</v>
      </c>
      <c r="AP274" s="3">
        <f>AO274/K274</f>
        <v>12</v>
      </c>
      <c r="AU274" s="3">
        <v>400</v>
      </c>
      <c r="AV274" s="3">
        <v>400</v>
      </c>
      <c r="AW274" s="3">
        <v>3</v>
      </c>
    </row>
    <row r="275" spans="1:52" ht="15">
      <c r="A275" s="1" t="s">
        <v>236</v>
      </c>
      <c r="B275" s="1" t="s">
        <v>467</v>
      </c>
      <c r="C275" s="124" t="s">
        <v>469</v>
      </c>
      <c r="D275" s="111">
        <v>1</v>
      </c>
      <c r="E275" s="4" t="s">
        <v>5</v>
      </c>
      <c r="F275" s="148" t="s">
        <v>523</v>
      </c>
      <c r="G275" s="3">
        <v>4.67</v>
      </c>
      <c r="H275" s="3">
        <v>4.67</v>
      </c>
      <c r="I275" s="3">
        <f>10/24</f>
        <v>0.41666666666666669</v>
      </c>
      <c r="J275" s="3">
        <f>10/24</f>
        <v>0.41666666666666669</v>
      </c>
      <c r="K275" s="3">
        <f>I275/G275</f>
        <v>8.9221984296930776E-2</v>
      </c>
      <c r="N275" s="3" t="s">
        <v>300</v>
      </c>
      <c r="S275" s="44">
        <v>0.82</v>
      </c>
      <c r="T275" s="45">
        <f>U275*K275</f>
        <v>4.282655246252677</v>
      </c>
      <c r="U275" s="45">
        <v>48</v>
      </c>
      <c r="X275" s="45">
        <f>Y275*K275</f>
        <v>4.4967880085653107</v>
      </c>
      <c r="Y275" s="45">
        <v>50.4</v>
      </c>
      <c r="AA275" s="58">
        <v>0.99990000000000001</v>
      </c>
      <c r="AB275" s="57">
        <v>0.99999000000000005</v>
      </c>
      <c r="AH275" s="3">
        <v>10</v>
      </c>
      <c r="AI275" s="3">
        <v>60</v>
      </c>
      <c r="AJ275" s="3">
        <v>70</v>
      </c>
      <c r="AK275" s="3">
        <v>1</v>
      </c>
      <c r="AL275" s="3">
        <v>4</v>
      </c>
      <c r="AO275" s="3">
        <f>5/G275</f>
        <v>1.0706638115631693</v>
      </c>
      <c r="AP275" s="3">
        <f>AO275/K275</f>
        <v>12</v>
      </c>
      <c r="AU275" s="3">
        <v>400</v>
      </c>
      <c r="AV275" s="3">
        <v>400</v>
      </c>
      <c r="AW275" s="3">
        <v>3</v>
      </c>
    </row>
    <row r="276" spans="1:52" ht="15">
      <c r="A276" s="1" t="s">
        <v>236</v>
      </c>
      <c r="B276" s="1" t="s">
        <v>467</v>
      </c>
      <c r="C276" s="1" t="s">
        <v>470</v>
      </c>
      <c r="D276" s="111">
        <v>1</v>
      </c>
      <c r="E276" s="4" t="s">
        <v>5</v>
      </c>
      <c r="F276" s="148" t="s">
        <v>523</v>
      </c>
      <c r="G276" s="45">
        <f>I276/K276</f>
        <v>0.4634779384501298</v>
      </c>
      <c r="H276" s="45">
        <f>J276/K276</f>
        <v>0.4634779384501298</v>
      </c>
      <c r="I276" s="45">
        <v>4.1666666666666664E-2</v>
      </c>
      <c r="J276" s="45">
        <v>4.1666666666666664E-2</v>
      </c>
      <c r="K276" s="125">
        <v>8.9899999999999994E-2</v>
      </c>
      <c r="N276" s="3" t="s">
        <v>300</v>
      </c>
      <c r="S276" s="44">
        <v>0.82</v>
      </c>
      <c r="T276" s="45">
        <f>U276*K276</f>
        <v>4.3151999999999999</v>
      </c>
      <c r="U276" s="45">
        <v>48</v>
      </c>
      <c r="X276" s="45">
        <f>Y276*K276</f>
        <v>4.5309599999999994</v>
      </c>
      <c r="Y276" s="45">
        <v>50.4</v>
      </c>
      <c r="AA276" s="58">
        <v>0.99990000000000001</v>
      </c>
      <c r="AB276" s="57">
        <v>0.99999000000000005</v>
      </c>
      <c r="AH276" s="3">
        <v>10</v>
      </c>
      <c r="AI276" s="3">
        <v>60</v>
      </c>
      <c r="AJ276" s="3">
        <v>60</v>
      </c>
      <c r="AO276" s="3">
        <f>0.5/G276</f>
        <v>1.0788</v>
      </c>
      <c r="AP276" s="3">
        <f>AO276/K276</f>
        <v>12</v>
      </c>
    </row>
    <row r="277" spans="1:52" ht="15">
      <c r="A277" s="1" t="s">
        <v>236</v>
      </c>
      <c r="B277" s="1" t="s">
        <v>471</v>
      </c>
      <c r="C277" s="1" t="s">
        <v>472</v>
      </c>
      <c r="D277" s="111">
        <v>1</v>
      </c>
      <c r="E277" s="4" t="s">
        <v>5</v>
      </c>
      <c r="F277" s="148" t="s">
        <v>518</v>
      </c>
      <c r="G277" s="45">
        <f>I277/K277</f>
        <v>26.696329254727477</v>
      </c>
      <c r="H277" s="45">
        <f>J277/K277</f>
        <v>26.696329254727477</v>
      </c>
      <c r="I277" s="45">
        <v>2.4</v>
      </c>
      <c r="J277" s="45">
        <v>2.4</v>
      </c>
      <c r="K277" s="125">
        <v>8.9899999999999994E-2</v>
      </c>
      <c r="L277" s="44">
        <v>0.2</v>
      </c>
      <c r="M277" s="44">
        <v>1.2</v>
      </c>
      <c r="R277" s="44">
        <v>0.9</v>
      </c>
      <c r="V277" s="45">
        <v>3.95</v>
      </c>
      <c r="W277" s="45">
        <f>V277/K277</f>
        <v>43.937708565072306</v>
      </c>
      <c r="AA277" s="58">
        <v>0.99980000000000002</v>
      </c>
      <c r="AB277" s="57">
        <v>0.99999000000000005</v>
      </c>
      <c r="AH277" s="3">
        <v>30</v>
      </c>
      <c r="AI277" s="3">
        <v>5</v>
      </c>
      <c r="AJ277" s="3">
        <v>40</v>
      </c>
      <c r="AM277" s="3" t="s">
        <v>473</v>
      </c>
    </row>
    <row r="278" spans="1:52" ht="15">
      <c r="A278" s="1" t="s">
        <v>236</v>
      </c>
      <c r="B278" s="1" t="s">
        <v>474</v>
      </c>
      <c r="C278" s="1" t="s">
        <v>475</v>
      </c>
      <c r="D278" s="104">
        <v>0</v>
      </c>
      <c r="E278" s="4" t="s">
        <v>5</v>
      </c>
      <c r="F278" s="148"/>
    </row>
    <row r="279" spans="1:52" ht="15">
      <c r="A279" s="1" t="s">
        <v>236</v>
      </c>
      <c r="B279" s="1" t="s">
        <v>476</v>
      </c>
      <c r="C279" s="1" t="s">
        <v>477</v>
      </c>
      <c r="D279" s="104">
        <v>1</v>
      </c>
      <c r="E279" s="4" t="s">
        <v>5</v>
      </c>
      <c r="F279" s="148" t="s">
        <v>516</v>
      </c>
      <c r="G279" s="3">
        <v>4</v>
      </c>
      <c r="H279" s="3">
        <v>4</v>
      </c>
      <c r="I279" s="3">
        <f>8.4/24</f>
        <v>0.35000000000000003</v>
      </c>
      <c r="J279" s="3">
        <f>8.4/24</f>
        <v>0.35000000000000003</v>
      </c>
      <c r="K279" s="3">
        <f>I279/G279</f>
        <v>8.7500000000000008E-2</v>
      </c>
      <c r="L279" s="44">
        <v>0.4</v>
      </c>
      <c r="M279" s="44">
        <v>1</v>
      </c>
      <c r="T279" s="45">
        <v>4.8</v>
      </c>
      <c r="U279" s="45">
        <f>T279/K279</f>
        <v>54.857142857142847</v>
      </c>
      <c r="AW279" s="3">
        <v>3</v>
      </c>
    </row>
    <row r="280" spans="1:52" ht="15">
      <c r="A280" s="1" t="s">
        <v>236</v>
      </c>
      <c r="B280" s="1" t="s">
        <v>476</v>
      </c>
      <c r="C280" s="1" t="s">
        <v>478</v>
      </c>
      <c r="D280" s="104">
        <v>1</v>
      </c>
      <c r="E280" s="4" t="s">
        <v>5</v>
      </c>
      <c r="F280" s="148" t="s">
        <v>516</v>
      </c>
      <c r="G280" s="3">
        <v>12</v>
      </c>
      <c r="H280" s="3">
        <v>12</v>
      </c>
      <c r="I280" s="3">
        <f>25/24</f>
        <v>1.0416666666666667</v>
      </c>
      <c r="J280" s="3">
        <f>25/24</f>
        <v>1.0416666666666667</v>
      </c>
      <c r="K280" s="3">
        <f>I280/G280</f>
        <v>8.6805555555555566E-2</v>
      </c>
      <c r="L280" s="44">
        <v>0.4</v>
      </c>
      <c r="M280" s="44">
        <v>1</v>
      </c>
      <c r="T280" s="45">
        <v>4.8</v>
      </c>
      <c r="U280" s="45">
        <f>T280/K280</f>
        <v>55.295999999999992</v>
      </c>
      <c r="AW280" s="3">
        <v>3</v>
      </c>
    </row>
    <row r="281" spans="1:52" ht="15">
      <c r="A281" s="1" t="s">
        <v>236</v>
      </c>
      <c r="B281" s="1" t="s">
        <v>479</v>
      </c>
      <c r="C281" s="1" t="s">
        <v>475</v>
      </c>
      <c r="D281" s="104">
        <v>0</v>
      </c>
      <c r="E281" s="4" t="s">
        <v>5</v>
      </c>
      <c r="F281" s="148"/>
    </row>
    <row r="282" spans="1:52" ht="15">
      <c r="A282" s="1" t="s">
        <v>236</v>
      </c>
      <c r="B282" s="1" t="s">
        <v>480</v>
      </c>
      <c r="C282" s="1" t="s">
        <v>475</v>
      </c>
      <c r="D282" s="104">
        <v>0</v>
      </c>
      <c r="E282" s="4" t="s">
        <v>5</v>
      </c>
      <c r="F282" s="148"/>
    </row>
    <row r="283" spans="1:52" ht="15">
      <c r="A283" s="1" t="s">
        <v>163</v>
      </c>
      <c r="B283" s="1" t="s">
        <v>481</v>
      </c>
      <c r="C283" s="1" t="s">
        <v>475</v>
      </c>
      <c r="D283" s="104">
        <v>0</v>
      </c>
      <c r="E283" s="4" t="s">
        <v>5</v>
      </c>
      <c r="F283" s="148"/>
    </row>
    <row r="284" spans="1:52" ht="15">
      <c r="A284" s="1" t="s">
        <v>163</v>
      </c>
      <c r="B284" s="1" t="s">
        <v>482</v>
      </c>
      <c r="C284" s="1" t="s">
        <v>483</v>
      </c>
      <c r="D284" s="104">
        <v>1</v>
      </c>
      <c r="E284" s="4" t="s">
        <v>5</v>
      </c>
      <c r="F284" s="148" t="s">
        <v>515</v>
      </c>
      <c r="G284" s="3">
        <f t="shared" ref="G284:G285" si="88">I284/K284</f>
        <v>255.83982202447166</v>
      </c>
      <c r="H284" s="3">
        <f t="shared" ref="H284:H285" si="89">J284/K284</f>
        <v>318.13125695216911</v>
      </c>
      <c r="I284" s="3">
        <v>23</v>
      </c>
      <c r="J284" s="3">
        <v>28.6</v>
      </c>
      <c r="K284" s="52">
        <f t="shared" ref="K284:K285" si="90">$C$2</f>
        <v>8.9899999999999994E-2</v>
      </c>
      <c r="L284" s="58">
        <v>2.5000000000000001E-2</v>
      </c>
      <c r="M284" s="44">
        <v>1</v>
      </c>
      <c r="O284" s="3" t="s">
        <v>485</v>
      </c>
      <c r="R284" s="44">
        <v>0.85</v>
      </c>
      <c r="T284" s="45">
        <f>U284*K284</f>
        <v>3.3262999999999998</v>
      </c>
      <c r="U284" s="45">
        <v>37</v>
      </c>
      <c r="V284" s="45">
        <f>W284*K284</f>
        <v>3.5060999999999996</v>
      </c>
      <c r="W284" s="45">
        <v>39</v>
      </c>
      <c r="X284" s="45">
        <f>Y284*K284</f>
        <v>3.1105399999999999</v>
      </c>
      <c r="Y284" s="45">
        <v>34.6</v>
      </c>
      <c r="AH284" s="3">
        <v>0.25</v>
      </c>
      <c r="AI284" s="3">
        <v>650</v>
      </c>
      <c r="AJ284" s="3">
        <v>800</v>
      </c>
      <c r="AZ284" s="3">
        <v>6.8</v>
      </c>
    </row>
    <row r="285" spans="1:52" ht="15">
      <c r="A285" s="1" t="s">
        <v>163</v>
      </c>
      <c r="B285" s="1" t="s">
        <v>482</v>
      </c>
      <c r="C285" s="1" t="s">
        <v>484</v>
      </c>
      <c r="D285" s="104">
        <v>1</v>
      </c>
      <c r="E285" s="4" t="s">
        <v>5</v>
      </c>
      <c r="F285" s="148" t="s">
        <v>515</v>
      </c>
      <c r="G285" s="3">
        <f t="shared" si="88"/>
        <v>511.67964404894332</v>
      </c>
      <c r="H285" s="3">
        <f t="shared" si="89"/>
        <v>636.26251390433822</v>
      </c>
      <c r="I285" s="3">
        <v>46</v>
      </c>
      <c r="J285" s="3">
        <v>57.2</v>
      </c>
      <c r="K285" s="52">
        <f t="shared" si="90"/>
        <v>8.9899999999999994E-2</v>
      </c>
      <c r="L285" s="58">
        <v>2.5000000000000001E-2</v>
      </c>
      <c r="M285" s="44">
        <v>1</v>
      </c>
      <c r="O285" s="3" t="s">
        <v>485</v>
      </c>
      <c r="R285" s="44">
        <v>0.85</v>
      </c>
      <c r="T285" s="45">
        <f>U285*K285</f>
        <v>3.3262999999999998</v>
      </c>
      <c r="U285" s="45">
        <v>37</v>
      </c>
      <c r="V285" s="45">
        <f>W285*K285</f>
        <v>3.5060999999999996</v>
      </c>
      <c r="W285" s="45">
        <v>39</v>
      </c>
      <c r="X285" s="45">
        <f>Y285*K285</f>
        <v>3.1105399999999999</v>
      </c>
      <c r="Y285" s="45">
        <v>34.6</v>
      </c>
      <c r="AH285" s="3">
        <v>0.25</v>
      </c>
      <c r="AI285" s="3">
        <v>650</v>
      </c>
      <c r="AJ285" s="3">
        <v>800</v>
      </c>
      <c r="AZ285" s="3">
        <v>6.8</v>
      </c>
    </row>
    <row r="286" spans="1:52" ht="15">
      <c r="A286" s="1" t="s">
        <v>163</v>
      </c>
      <c r="B286" s="1" t="s">
        <v>486</v>
      </c>
      <c r="C286" s="1" t="s">
        <v>475</v>
      </c>
      <c r="D286" s="104">
        <v>0</v>
      </c>
      <c r="E286" s="4" t="s">
        <v>5</v>
      </c>
      <c r="F286" s="148"/>
    </row>
    <row r="287" spans="1:52" ht="15">
      <c r="A287" s="1" t="s">
        <v>75</v>
      </c>
      <c r="B287" s="1" t="s">
        <v>487</v>
      </c>
      <c r="C287" s="1" t="s">
        <v>488</v>
      </c>
      <c r="D287" s="104">
        <v>1</v>
      </c>
      <c r="E287" s="4" t="s">
        <v>5</v>
      </c>
      <c r="F287" s="148" t="s">
        <v>519</v>
      </c>
      <c r="G287" s="3">
        <v>0.5</v>
      </c>
      <c r="H287" s="3">
        <v>0.5</v>
      </c>
      <c r="I287" s="3">
        <f>G287*K287</f>
        <v>4.4949999999999997E-2</v>
      </c>
      <c r="J287" s="3">
        <f>H287*K287</f>
        <v>4.4949999999999997E-2</v>
      </c>
      <c r="K287" s="3">
        <v>8.9899999999999994E-2</v>
      </c>
      <c r="X287" s="45">
        <f>2.4/G287</f>
        <v>4.8</v>
      </c>
      <c r="Y287" s="45">
        <f>2.4/I287</f>
        <v>53.392658509454954</v>
      </c>
    </row>
    <row r="288" spans="1:52" ht="15">
      <c r="A288" s="1" t="s">
        <v>75</v>
      </c>
      <c r="B288" s="1" t="s">
        <v>487</v>
      </c>
      <c r="C288" s="1" t="s">
        <v>489</v>
      </c>
      <c r="D288" s="104">
        <v>1</v>
      </c>
      <c r="E288" s="4" t="s">
        <v>5</v>
      </c>
      <c r="F288" s="148" t="s">
        <v>519</v>
      </c>
      <c r="G288" s="3">
        <v>1</v>
      </c>
      <c r="H288" s="3">
        <v>1</v>
      </c>
      <c r="I288" s="3">
        <f t="shared" ref="I288:I300" si="91">G288*K288</f>
        <v>8.9899999999999994E-2</v>
      </c>
      <c r="J288" s="3">
        <f t="shared" ref="J288:J300" si="92">H288*K288</f>
        <v>8.9899999999999994E-2</v>
      </c>
      <c r="K288" s="3">
        <v>8.9899999999999994E-2</v>
      </c>
      <c r="X288" s="45">
        <f>5/G288</f>
        <v>5</v>
      </c>
      <c r="Y288" s="45">
        <f>5/I288</f>
        <v>55.61735261401558</v>
      </c>
    </row>
    <row r="289" spans="1:25" ht="15">
      <c r="A289" s="1" t="s">
        <v>75</v>
      </c>
      <c r="B289" s="1" t="s">
        <v>487</v>
      </c>
      <c r="C289" s="1" t="s">
        <v>490</v>
      </c>
      <c r="D289" s="104">
        <v>1</v>
      </c>
      <c r="E289" s="4" t="s">
        <v>5</v>
      </c>
      <c r="F289" s="148" t="s">
        <v>519</v>
      </c>
      <c r="G289" s="3">
        <v>2</v>
      </c>
      <c r="H289" s="3">
        <v>2</v>
      </c>
      <c r="I289" s="3">
        <f t="shared" si="91"/>
        <v>0.17979999999999999</v>
      </c>
      <c r="J289" s="3">
        <f t="shared" si="92"/>
        <v>0.17979999999999999</v>
      </c>
      <c r="K289" s="3">
        <v>8.9899999999999994E-2</v>
      </c>
      <c r="X289" s="45">
        <f>10/G289</f>
        <v>5</v>
      </c>
      <c r="Y289" s="45">
        <f>10/I289</f>
        <v>55.61735261401558</v>
      </c>
    </row>
    <row r="290" spans="1:25" ht="15">
      <c r="A290" s="1" t="s">
        <v>75</v>
      </c>
      <c r="B290" s="1" t="s">
        <v>487</v>
      </c>
      <c r="C290" s="1" t="s">
        <v>491</v>
      </c>
      <c r="D290" s="104">
        <v>1</v>
      </c>
      <c r="E290" s="4" t="s">
        <v>5</v>
      </c>
      <c r="F290" s="148" t="s">
        <v>519</v>
      </c>
      <c r="G290" s="3">
        <v>2</v>
      </c>
      <c r="H290" s="3">
        <v>2</v>
      </c>
      <c r="I290" s="3">
        <f t="shared" si="91"/>
        <v>0.17979999999999999</v>
      </c>
      <c r="J290" s="3">
        <f t="shared" si="92"/>
        <v>0.17979999999999999</v>
      </c>
      <c r="K290" s="3">
        <v>8.9899999999999994E-2</v>
      </c>
      <c r="X290" s="45">
        <f>11.2/G290</f>
        <v>5.6</v>
      </c>
      <c r="Y290" s="45">
        <f>11.2/I290</f>
        <v>62.291434927697445</v>
      </c>
    </row>
    <row r="291" spans="1:25" ht="15">
      <c r="A291" s="1" t="s">
        <v>75</v>
      </c>
      <c r="B291" s="1" t="s">
        <v>487</v>
      </c>
      <c r="C291" s="1" t="s">
        <v>492</v>
      </c>
      <c r="D291" s="104">
        <v>1</v>
      </c>
      <c r="E291" s="4" t="s">
        <v>5</v>
      </c>
      <c r="F291" s="148" t="s">
        <v>519</v>
      </c>
      <c r="G291" s="3">
        <v>4</v>
      </c>
      <c r="H291" s="3">
        <v>4</v>
      </c>
      <c r="I291" s="3">
        <f t="shared" si="91"/>
        <v>0.35959999999999998</v>
      </c>
      <c r="J291" s="3">
        <f t="shared" si="92"/>
        <v>0.35959999999999998</v>
      </c>
      <c r="K291" s="3">
        <v>8.9899999999999994E-2</v>
      </c>
      <c r="X291" s="45">
        <f>20/G291</f>
        <v>5</v>
      </c>
      <c r="Y291" s="45">
        <f>20/I291</f>
        <v>55.61735261401558</v>
      </c>
    </row>
    <row r="292" spans="1:25" ht="15">
      <c r="A292" s="1" t="s">
        <v>75</v>
      </c>
      <c r="B292" s="1" t="s">
        <v>487</v>
      </c>
      <c r="C292" s="1" t="s">
        <v>493</v>
      </c>
      <c r="D292" s="104">
        <v>1</v>
      </c>
      <c r="E292" s="4" t="s">
        <v>5</v>
      </c>
      <c r="F292" s="148" t="s">
        <v>519</v>
      </c>
      <c r="G292" s="3">
        <v>6</v>
      </c>
      <c r="H292" s="3">
        <v>6</v>
      </c>
      <c r="I292" s="3">
        <f t="shared" si="91"/>
        <v>0.53939999999999999</v>
      </c>
      <c r="J292" s="3">
        <f t="shared" si="92"/>
        <v>0.53939999999999999</v>
      </c>
      <c r="K292" s="3">
        <v>8.9899999999999994E-2</v>
      </c>
      <c r="X292" s="45">
        <f>30/G292</f>
        <v>5</v>
      </c>
      <c r="Y292" s="45">
        <f>30/I292</f>
        <v>55.617352614015573</v>
      </c>
    </row>
    <row r="293" spans="1:25" ht="15">
      <c r="A293" s="1" t="s">
        <v>75</v>
      </c>
      <c r="B293" s="1" t="s">
        <v>487</v>
      </c>
      <c r="C293" s="1" t="s">
        <v>494</v>
      </c>
      <c r="D293" s="104">
        <v>1</v>
      </c>
      <c r="E293" s="4" t="s">
        <v>5</v>
      </c>
      <c r="F293" s="148" t="s">
        <v>519</v>
      </c>
      <c r="G293" s="3">
        <v>8</v>
      </c>
      <c r="H293" s="3">
        <v>8</v>
      </c>
      <c r="I293" s="3">
        <f t="shared" si="91"/>
        <v>0.71919999999999995</v>
      </c>
      <c r="J293" s="3">
        <f t="shared" si="92"/>
        <v>0.71919999999999995</v>
      </c>
      <c r="K293" s="3">
        <v>8.9899999999999994E-2</v>
      </c>
      <c r="X293" s="45">
        <f>39/G293</f>
        <v>4.875</v>
      </c>
      <c r="Y293" s="45">
        <f>39/I293</f>
        <v>54.226918798665189</v>
      </c>
    </row>
    <row r="294" spans="1:25" ht="15">
      <c r="A294" s="1" t="s">
        <v>75</v>
      </c>
      <c r="B294" s="1" t="s">
        <v>487</v>
      </c>
      <c r="C294" s="1" t="s">
        <v>495</v>
      </c>
      <c r="D294" s="104">
        <v>1</v>
      </c>
      <c r="E294" s="4" t="s">
        <v>5</v>
      </c>
      <c r="F294" s="148" t="s">
        <v>519</v>
      </c>
      <c r="G294" s="3">
        <v>10</v>
      </c>
      <c r="H294" s="3">
        <v>10</v>
      </c>
      <c r="I294" s="3">
        <f t="shared" si="91"/>
        <v>0.89899999999999991</v>
      </c>
      <c r="J294" s="3">
        <f t="shared" si="92"/>
        <v>0.89899999999999991</v>
      </c>
      <c r="K294" s="3">
        <v>8.9899999999999994E-2</v>
      </c>
      <c r="X294" s="45">
        <f>55/G294</f>
        <v>5.5</v>
      </c>
      <c r="Y294" s="45">
        <f>55/I294</f>
        <v>61.179087875417139</v>
      </c>
    </row>
    <row r="295" spans="1:25" ht="15">
      <c r="A295" s="1" t="s">
        <v>75</v>
      </c>
      <c r="B295" s="1" t="s">
        <v>487</v>
      </c>
      <c r="C295" s="1" t="s">
        <v>496</v>
      </c>
      <c r="D295" s="104">
        <v>1</v>
      </c>
      <c r="E295" s="4" t="s">
        <v>5</v>
      </c>
      <c r="F295" s="148" t="s">
        <v>519</v>
      </c>
      <c r="G295" s="3">
        <v>20</v>
      </c>
      <c r="H295" s="3">
        <v>20</v>
      </c>
      <c r="I295" s="3">
        <f t="shared" si="91"/>
        <v>1.7979999999999998</v>
      </c>
      <c r="J295" s="3">
        <f t="shared" si="92"/>
        <v>1.7979999999999998</v>
      </c>
      <c r="K295" s="3">
        <v>8.9899999999999994E-2</v>
      </c>
      <c r="X295" s="45">
        <f>102/G295</f>
        <v>5.0999999999999996</v>
      </c>
      <c r="Y295" s="45">
        <f>102/I295</f>
        <v>56.729699666295893</v>
      </c>
    </row>
    <row r="296" spans="1:25" ht="15">
      <c r="A296" s="1" t="s">
        <v>75</v>
      </c>
      <c r="B296" s="1" t="s">
        <v>487</v>
      </c>
      <c r="C296" s="1" t="s">
        <v>497</v>
      </c>
      <c r="D296" s="104">
        <v>1</v>
      </c>
      <c r="E296" s="4" t="s">
        <v>5</v>
      </c>
      <c r="F296" s="148" t="s">
        <v>519</v>
      </c>
      <c r="G296" s="3">
        <v>30</v>
      </c>
      <c r="H296" s="3">
        <v>30</v>
      </c>
      <c r="I296" s="3">
        <f t="shared" si="91"/>
        <v>2.6969999999999996</v>
      </c>
      <c r="J296" s="3">
        <f t="shared" si="92"/>
        <v>2.6969999999999996</v>
      </c>
      <c r="K296" s="3">
        <v>8.9899999999999994E-2</v>
      </c>
      <c r="X296" s="45">
        <f>150/G296</f>
        <v>5</v>
      </c>
      <c r="Y296" s="45">
        <f>150/I296</f>
        <v>55.61735261401558</v>
      </c>
    </row>
    <row r="297" spans="1:25" ht="15">
      <c r="A297" s="1" t="s">
        <v>75</v>
      </c>
      <c r="B297" s="1" t="s">
        <v>487</v>
      </c>
      <c r="C297" s="1" t="s">
        <v>498</v>
      </c>
      <c r="D297" s="104">
        <v>1</v>
      </c>
      <c r="E297" s="4" t="s">
        <v>5</v>
      </c>
      <c r="F297" s="148" t="s">
        <v>519</v>
      </c>
      <c r="G297" s="3">
        <v>50</v>
      </c>
      <c r="H297" s="3">
        <v>50</v>
      </c>
      <c r="I297" s="3">
        <f t="shared" si="91"/>
        <v>4.4950000000000001</v>
      </c>
      <c r="J297" s="3">
        <f t="shared" si="92"/>
        <v>4.4950000000000001</v>
      </c>
      <c r="K297" s="3">
        <v>8.9899999999999994E-2</v>
      </c>
      <c r="X297" s="45">
        <f>250/G297</f>
        <v>5</v>
      </c>
      <c r="Y297" s="45">
        <f>250/I297</f>
        <v>55.617352614015573</v>
      </c>
    </row>
    <row r="298" spans="1:25" ht="15">
      <c r="A298" s="1" t="s">
        <v>75</v>
      </c>
      <c r="B298" s="1" t="s">
        <v>487</v>
      </c>
      <c r="C298" s="1" t="s">
        <v>499</v>
      </c>
      <c r="D298" s="104">
        <v>1</v>
      </c>
      <c r="E298" s="4" t="s">
        <v>5</v>
      </c>
      <c r="F298" s="148" t="s">
        <v>519</v>
      </c>
      <c r="G298" s="3">
        <v>100</v>
      </c>
      <c r="H298" s="3">
        <v>100</v>
      </c>
      <c r="I298" s="3">
        <f t="shared" si="91"/>
        <v>8.99</v>
      </c>
      <c r="J298" s="3">
        <f t="shared" si="92"/>
        <v>8.99</v>
      </c>
      <c r="K298" s="3">
        <v>8.9899999999999994E-2</v>
      </c>
      <c r="X298" s="45">
        <f>520/G298</f>
        <v>5.2</v>
      </c>
      <c r="Y298" s="45">
        <f>520/I298</f>
        <v>57.842046718576192</v>
      </c>
    </row>
    <row r="299" spans="1:25" ht="15">
      <c r="A299" s="1" t="s">
        <v>75</v>
      </c>
      <c r="B299" s="1" t="s">
        <v>487</v>
      </c>
      <c r="C299" s="1" t="s">
        <v>500</v>
      </c>
      <c r="D299" s="104">
        <v>1</v>
      </c>
      <c r="E299" s="4" t="s">
        <v>5</v>
      </c>
      <c r="F299" s="148" t="s">
        <v>519</v>
      </c>
      <c r="G299" s="3">
        <v>200</v>
      </c>
      <c r="H299" s="3">
        <v>200</v>
      </c>
      <c r="I299" s="3">
        <f t="shared" si="91"/>
        <v>17.98</v>
      </c>
      <c r="J299" s="3">
        <f t="shared" si="92"/>
        <v>17.98</v>
      </c>
      <c r="K299" s="3">
        <v>8.9899999999999994E-2</v>
      </c>
      <c r="X299" s="45">
        <f>1040/G299</f>
        <v>5.2</v>
      </c>
      <c r="Y299" s="45">
        <f>1040/I299</f>
        <v>57.842046718576192</v>
      </c>
    </row>
    <row r="300" spans="1:25" ht="15">
      <c r="A300" s="1" t="s">
        <v>75</v>
      </c>
      <c r="B300" s="1" t="s">
        <v>487</v>
      </c>
      <c r="C300" s="1" t="s">
        <v>501</v>
      </c>
      <c r="D300" s="104">
        <v>1</v>
      </c>
      <c r="E300" s="4" t="s">
        <v>5</v>
      </c>
      <c r="F300" s="148" t="s">
        <v>519</v>
      </c>
      <c r="G300" s="3">
        <v>500</v>
      </c>
      <c r="H300" s="3">
        <v>500</v>
      </c>
      <c r="I300" s="3">
        <f t="shared" si="91"/>
        <v>44.949999999999996</v>
      </c>
      <c r="J300" s="3">
        <f t="shared" si="92"/>
        <v>44.949999999999996</v>
      </c>
      <c r="K300" s="3">
        <v>8.9899999999999994E-2</v>
      </c>
      <c r="X300" s="45">
        <f>2400/G300</f>
        <v>4.8</v>
      </c>
      <c r="Y300" s="45">
        <f>2400/I300</f>
        <v>53.392658509454954</v>
      </c>
    </row>
    <row r="301" spans="1:25" ht="15">
      <c r="A301" s="1" t="s">
        <v>163</v>
      </c>
      <c r="B301" s="1" t="s">
        <v>502</v>
      </c>
      <c r="C301" s="1" t="s">
        <v>475</v>
      </c>
      <c r="D301" s="104">
        <v>1</v>
      </c>
      <c r="E301" s="4" t="s">
        <v>5</v>
      </c>
      <c r="F301" s="148"/>
    </row>
    <row r="302" spans="1:25" ht="15">
      <c r="A302" s="1" t="s">
        <v>163</v>
      </c>
      <c r="B302" s="1" t="s">
        <v>503</v>
      </c>
      <c r="C302" s="1" t="s">
        <v>504</v>
      </c>
      <c r="D302" s="104">
        <v>1</v>
      </c>
      <c r="E302" s="4" t="s">
        <v>5</v>
      </c>
      <c r="F302" s="148" t="s">
        <v>519</v>
      </c>
      <c r="G302" s="3">
        <v>64</v>
      </c>
      <c r="H302" s="3">
        <v>64</v>
      </c>
      <c r="I302" s="3">
        <f>G302*K302</f>
        <v>5.7535999999999996</v>
      </c>
      <c r="J302" s="3">
        <f>H302*K302</f>
        <v>5.7535999999999996</v>
      </c>
      <c r="K302" s="3">
        <v>8.9899999999999994E-2</v>
      </c>
      <c r="X302" s="45">
        <v>3.16</v>
      </c>
      <c r="Y302" s="45">
        <f>X302/K302</f>
        <v>35.150166852057843</v>
      </c>
    </row>
    <row r="303" spans="1:25">
      <c r="A303" s="1"/>
      <c r="B303" s="1"/>
      <c r="C303" s="1"/>
    </row>
    <row r="304" spans="1:25">
      <c r="A304" s="1"/>
      <c r="B304" s="1"/>
      <c r="C304" s="1"/>
    </row>
    <row r="305" spans="1:3">
      <c r="A305" s="1"/>
      <c r="B305" s="1"/>
      <c r="C305" s="1"/>
    </row>
    <row r="306" spans="1:3">
      <c r="A306" s="1"/>
      <c r="B306" s="1"/>
      <c r="C306" s="1"/>
    </row>
    <row r="307" spans="1:3">
      <c r="A307" s="1"/>
      <c r="B307" s="1"/>
      <c r="C307" s="1"/>
    </row>
    <row r="308" spans="1:3">
      <c r="A308" s="1"/>
      <c r="B308" s="1"/>
      <c r="C308" s="1"/>
    </row>
    <row r="309" spans="1:3">
      <c r="A309" s="1"/>
      <c r="B309" s="1"/>
      <c r="C309" s="1"/>
    </row>
    <row r="310" spans="1:3">
      <c r="A310" s="1"/>
      <c r="B310" s="1"/>
      <c r="C310" s="1"/>
    </row>
    <row r="311" spans="1:3">
      <c r="A311" s="1"/>
      <c r="B311" s="1"/>
      <c r="C311" s="1"/>
    </row>
    <row r="312" spans="1:3">
      <c r="A312" s="1"/>
      <c r="B312" s="1"/>
      <c r="C312" s="1"/>
    </row>
    <row r="313" spans="1:3">
      <c r="A313" s="1"/>
      <c r="B313" s="1"/>
      <c r="C313" s="1"/>
    </row>
    <row r="314" spans="1:3">
      <c r="A314" s="1"/>
      <c r="B314" s="1"/>
      <c r="C314" s="1"/>
    </row>
    <row r="315" spans="1:3">
      <c r="A315" s="1"/>
      <c r="B315" s="1"/>
      <c r="C315" s="1"/>
    </row>
    <row r="316" spans="1:3">
      <c r="A316" s="1"/>
      <c r="B316" s="1"/>
      <c r="C316" s="1"/>
    </row>
    <row r="317" spans="1:3">
      <c r="A317" s="1"/>
      <c r="B317" s="1"/>
      <c r="C317" s="1"/>
    </row>
    <row r="318" spans="1:3">
      <c r="A318" s="1"/>
      <c r="B318" s="1"/>
      <c r="C318" s="1"/>
    </row>
    <row r="319" spans="1:3">
      <c r="A319" s="1"/>
      <c r="B319" s="1"/>
      <c r="C319" s="1"/>
    </row>
    <row r="320" spans="1:3">
      <c r="A320" s="1"/>
      <c r="B320" s="1"/>
      <c r="C320" s="1"/>
    </row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</sheetData>
  <autoFilter ref="A3:AZ285" xr:uid="{160B6A13-F299-46C5-8C72-AEC955E355FE}"/>
  <mergeCells count="8">
    <mergeCell ref="AT7:AW7"/>
    <mergeCell ref="AY7:AZ7"/>
    <mergeCell ref="A7:E7"/>
    <mergeCell ref="G7:P7"/>
    <mergeCell ref="Q7:Y7"/>
    <mergeCell ref="AA7:AF7"/>
    <mergeCell ref="AG7:AP7"/>
    <mergeCell ref="AQ7:AR7"/>
  </mergeCells>
  <phoneticPr fontId="25" type="noConversion"/>
  <hyperlinks>
    <hyperlink ref="E11" r:id="rId1" xr:uid="{B7CBE521-4C9C-4575-B913-8C7E0FD39A80}"/>
    <hyperlink ref="E12" r:id="rId2" xr:uid="{486A8BF6-67EF-43B1-A174-2949D005B15B}"/>
    <hyperlink ref="E13" r:id="rId3" xr:uid="{F8642299-BA92-4B90-B360-FB069E139CF5}"/>
    <hyperlink ref="E14" r:id="rId4" xr:uid="{AFC3F523-43C1-4E49-8253-91B629DE9959}"/>
    <hyperlink ref="E15" r:id="rId5" xr:uid="{437C018A-F03D-4534-A8D0-FF363D085924}"/>
    <hyperlink ref="E16" r:id="rId6" xr:uid="{501DDAF3-6D8C-4536-AB93-C5441D4C7A8B}"/>
    <hyperlink ref="E17" r:id="rId7" xr:uid="{5A1A8B15-27FA-45B4-9187-6ABEC484D821}"/>
    <hyperlink ref="E18" r:id="rId8" xr:uid="{B486631C-41DB-4851-9D52-8A662EC2D938}"/>
    <hyperlink ref="E19" r:id="rId9" xr:uid="{5CE9E1B3-0EF8-4E1E-95B8-99E08A5D8CC2}"/>
    <hyperlink ref="E24" r:id="rId10" xr:uid="{005AD20C-C834-4239-B62F-D0EA6C12D161}"/>
    <hyperlink ref="E25" r:id="rId11" xr:uid="{8A6531AC-E76F-435A-B19F-3C957C445FBC}"/>
    <hyperlink ref="E32" r:id="rId12" xr:uid="{B73E1D03-5428-482F-952D-69429071A9EE}"/>
    <hyperlink ref="E33" r:id="rId13" xr:uid="{7C557C5D-BB45-48EA-B9DF-51501088D165}"/>
    <hyperlink ref="E34" r:id="rId14" xr:uid="{D681D8FD-4867-4F2A-8D0E-C5C55D1526F2}"/>
    <hyperlink ref="E35" r:id="rId15" xr:uid="{4DAAE4AD-F3C8-4B0D-BB0D-CCC493C6A11A}"/>
    <hyperlink ref="E36" r:id="rId16" xr:uid="{32AB7007-E01E-4591-A53A-FAC0C83D491B}"/>
    <hyperlink ref="E37" r:id="rId17" xr:uid="{0FEAC170-0B41-43DD-96ED-07621C6CAD12}"/>
    <hyperlink ref="E71" r:id="rId18" xr:uid="{3629CE88-4028-4023-9D0E-C21002699259}"/>
    <hyperlink ref="E70" r:id="rId19" xr:uid="{4B66308C-5F4F-45C5-A381-58C27493E41E}"/>
    <hyperlink ref="E72" r:id="rId20" xr:uid="{6E0DA0EB-52DB-4E78-8DE4-E00A25F622D3}"/>
    <hyperlink ref="E66" r:id="rId21" xr:uid="{9F4F7A72-0711-43AE-9274-E2A2B187C765}"/>
    <hyperlink ref="E67" r:id="rId22" xr:uid="{ECA54670-2879-48E9-B49F-6478A51473F9}"/>
    <hyperlink ref="E68" r:id="rId23" xr:uid="{D44EA7AB-AE9B-44B2-95E3-122BEA52837C}"/>
    <hyperlink ref="E82" r:id="rId24" xr:uid="{6019AE74-D97E-4673-B3B3-F9D2251D6F74}"/>
    <hyperlink ref="E83" r:id="rId25" xr:uid="{325A0263-EC9F-4E20-B689-EA0EEDCDF0F2}"/>
    <hyperlink ref="E73" r:id="rId26" xr:uid="{96FBDBC6-8E40-400C-A9CF-B057730F8582}"/>
    <hyperlink ref="E78" r:id="rId27" xr:uid="{BAD35852-8090-4969-9A7D-09AB95353E4D}"/>
    <hyperlink ref="E79" r:id="rId28" xr:uid="{0DD07EC2-CA21-497A-8C51-07E38DE3C972}"/>
    <hyperlink ref="E38" r:id="rId29" xr:uid="{1ED4D808-0FD3-47B9-B41D-666A57D927E9}"/>
    <hyperlink ref="E39:E44" r:id="rId30" display="link" xr:uid="{9D065A93-B756-4D89-BA26-34ECFCDF9182}"/>
    <hyperlink ref="E51" r:id="rId31" xr:uid="{95FB5344-EDC7-491F-B0FC-29435C1CA96E}"/>
    <hyperlink ref="E50" r:id="rId32" xr:uid="{998B49FE-F42B-46C7-828A-1DE4B7C1B8AE}"/>
    <hyperlink ref="E52" r:id="rId33" xr:uid="{DD9BBCDF-0917-4EB0-ADB9-6ADB2543328D}"/>
    <hyperlink ref="E57" r:id="rId34" xr:uid="{72BCCE49-E4DA-470B-80B2-6FBC5060D1AF}"/>
    <hyperlink ref="E58" r:id="rId35" xr:uid="{4741DC3A-E21B-4F63-9456-F51767CE2BC2}"/>
    <hyperlink ref="E59" r:id="rId36" xr:uid="{4C104A08-6083-4E7E-B432-BB3F5C091401}"/>
    <hyperlink ref="E28" r:id="rId37" xr:uid="{0A672D31-EAA2-45C9-8B6B-385A94154F03}"/>
    <hyperlink ref="E29" r:id="rId38" xr:uid="{D0D9D68E-4446-4B26-BE50-14FED3552F35}"/>
    <hyperlink ref="E30" r:id="rId39" xr:uid="{C65A724A-2682-4E3A-AA2A-D6B702867C95}"/>
    <hyperlink ref="E31" r:id="rId40" xr:uid="{7CDDA774-9842-4E6E-96A8-8D3142377C88}"/>
    <hyperlink ref="E76" r:id="rId41" xr:uid="{E4B7EB4B-83AE-4121-B4A5-95A8C3ADC761}"/>
    <hyperlink ref="E77" r:id="rId42" xr:uid="{1D5EF06A-6D46-4B4C-B6BF-BE36A423DD77}"/>
    <hyperlink ref="BA84" r:id="rId43" xr:uid="{850BB767-5380-44FB-8715-A0D19BA862E9}"/>
    <hyperlink ref="BA88" r:id="rId44" xr:uid="{D06878A6-FF2F-4313-BEBB-1DE1F7EFB71D}"/>
    <hyperlink ref="BA93" r:id="rId45" xr:uid="{9B3F9DF8-51C8-40BE-B842-D8EE3C31AE05}"/>
    <hyperlink ref="BA94" r:id="rId46" xr:uid="{885D51B2-3883-486C-8D64-A44E68970E9D}"/>
    <hyperlink ref="BA95" r:id="rId47" xr:uid="{37E0A88A-B5CA-4E12-BC81-91A5B9C96B3A}"/>
    <hyperlink ref="BA97" r:id="rId48" xr:uid="{C62ED0EA-F72E-4359-A323-B497B93DFB4D}"/>
    <hyperlink ref="BA98" r:id="rId49" xr:uid="{6E3B400E-875F-445B-80D3-74D82EF05461}"/>
    <hyperlink ref="BA99" r:id="rId50" xr:uid="{7B5AA729-BDE9-4F2B-9A88-0C98E218E4A2}"/>
    <hyperlink ref="BA100" r:id="rId51" xr:uid="{3B9302C7-A0B6-4C58-AB0C-9945D89F5BB8}"/>
    <hyperlink ref="BA101" r:id="rId52" xr:uid="{5AC56D77-496C-453C-9BD5-AA0FCC03BE61}"/>
    <hyperlink ref="BA102" r:id="rId53" xr:uid="{FD169C25-9619-4660-8538-B54BDDF23504}"/>
    <hyperlink ref="BA103" r:id="rId54" xr:uid="{7770F686-AF19-4B04-A645-326CD248B8F5}"/>
    <hyperlink ref="BA104" r:id="rId55" xr:uid="{A542ADAE-ADF3-4613-A1F7-701E8AAADAA4}"/>
    <hyperlink ref="BA105" r:id="rId56" xr:uid="{BEE394FE-F0EC-474A-9407-F115596C6D4F}"/>
    <hyperlink ref="BA112" r:id="rId57" xr:uid="{53E57AFE-F8DC-43E4-924C-92A80677080E}"/>
    <hyperlink ref="BA114" r:id="rId58" xr:uid="{217CFD6B-9E80-48CB-94C0-F2B8B79EFC57}"/>
    <hyperlink ref="BA115" r:id="rId59" xr:uid="{C03DD8D1-CEFA-4CD0-91A9-F71A235A8B39}"/>
    <hyperlink ref="BA113" r:id="rId60" xr:uid="{021BBE0F-4E19-44AA-B81F-8B65546B35D8}"/>
    <hyperlink ref="BA116" r:id="rId61" xr:uid="{D47D0BC5-B2AE-4C23-8F3F-81FF00AC31D0}"/>
    <hyperlink ref="BA122" r:id="rId62" xr:uid="{82DFA455-E73C-4765-8C37-BD754915E2E2}"/>
    <hyperlink ref="BA125" r:id="rId63" xr:uid="{0D914CD5-5260-4B40-8909-A05B88C22203}"/>
    <hyperlink ref="BA128" r:id="rId64" xr:uid="{36225E42-E830-4FAF-99E1-DC30FCA02C99}"/>
    <hyperlink ref="BA129" r:id="rId65" xr:uid="{DC0B67E2-88F1-4578-8780-74E48FFC7769}"/>
    <hyperlink ref="BA130" r:id="rId66" xr:uid="{AAA0467C-D77E-47E1-93E1-90C9C76397A1}"/>
    <hyperlink ref="BA131" r:id="rId67" xr:uid="{02FA2709-AED6-4A19-A020-70F5E8D8A917}"/>
    <hyperlink ref="BA132" r:id="rId68" xr:uid="{27899CEF-F65E-4430-9E2E-F5BA7CAC4177}"/>
    <hyperlink ref="BA133" r:id="rId69" xr:uid="{B6B9E32C-4962-4EB8-BEBA-006C4442F8FE}"/>
    <hyperlink ref="BA136" r:id="rId70" xr:uid="{A8F5E510-C575-44B2-8BFA-6A79F94B83FC}"/>
    <hyperlink ref="BA137" r:id="rId71" xr:uid="{D6DB8C44-B783-4A16-AC8C-C0200B9DB4C0}"/>
    <hyperlink ref="BA138" r:id="rId72" xr:uid="{1800E62F-DFE1-459C-8CEC-A388CF54480F}"/>
    <hyperlink ref="BA141" r:id="rId73" xr:uid="{2C49805C-6E68-47BA-8D17-0B72A677D2C4}"/>
    <hyperlink ref="BA140" r:id="rId74" xr:uid="{96C0DA78-25D1-46D1-94D2-BF51BF889B64}"/>
    <hyperlink ref="BA142" r:id="rId75" xr:uid="{58CBA1B1-0BD8-415C-87D2-778E23992DAB}"/>
    <hyperlink ref="BA143" r:id="rId76" xr:uid="{53C69CCD-10A6-4915-BCA4-201B445BB7DE}"/>
    <hyperlink ref="BA144" r:id="rId77" xr:uid="{5A56DDAA-491A-46F5-8FCF-6A98A849176A}"/>
    <hyperlink ref="BA146" r:id="rId78" xr:uid="{1F878ED0-8CC4-42DC-8D74-14C3564E3AA9}"/>
    <hyperlink ref="BA149" r:id="rId79" xr:uid="{5994B288-2051-46B5-A830-E8CC9544363A}"/>
    <hyperlink ref="E60" r:id="rId80" xr:uid="{19C6F741-AC27-44A2-8851-B9F9BEBFBE1E}"/>
    <hyperlink ref="E61" r:id="rId81" xr:uid="{A128BB2D-2563-4A97-923A-74D7324ED5E7}"/>
    <hyperlink ref="E62" r:id="rId82" xr:uid="{BA97A14D-192E-4FFA-A71C-64F052992C85}"/>
    <hyperlink ref="E63" r:id="rId83" display="link" xr:uid="{0B563AB4-5689-4653-87AF-3A7E74598339}"/>
    <hyperlink ref="E64" r:id="rId84" xr:uid="{48CAF246-1C68-4001-A300-17B858507FDC}"/>
    <hyperlink ref="E65" r:id="rId85" xr:uid="{E5F8E162-A715-4847-A6B4-FF0746B2B1A9}"/>
    <hyperlink ref="E84" r:id="rId86" xr:uid="{00C45BFA-001B-4848-A12D-D1425F4A5C57}"/>
    <hyperlink ref="E85:E87" r:id="rId87" display="link" xr:uid="{6016DD5B-BF9A-45D9-857D-062E57D9214B}"/>
    <hyperlink ref="E88" r:id="rId88" xr:uid="{BEED626B-C66E-44A9-BB5B-D784A65AEE72}"/>
    <hyperlink ref="E89:E92" r:id="rId89" display="link" xr:uid="{6581809D-31FD-402B-AC79-77C3471401F8}"/>
    <hyperlink ref="E93" r:id="rId90" xr:uid="{FF96963A-7434-4D92-9383-D9EBE41A7651}"/>
    <hyperlink ref="E96" r:id="rId91" xr:uid="{04DB9101-85C4-46C5-9360-4824C8761B49}"/>
    <hyperlink ref="E97" r:id="rId92" xr:uid="{8F972D3B-F396-4AAE-B3BD-6429D007F556}"/>
    <hyperlink ref="E99" r:id="rId93" xr:uid="{9EDA7C42-791A-40B7-8DB0-85CDA6E5C2C9}"/>
    <hyperlink ref="E100:E102" r:id="rId94" display="link" xr:uid="{9DECF2C7-9918-457D-AAFD-3053036FFD52}"/>
    <hyperlink ref="E103" r:id="rId95" xr:uid="{B17F05E9-7C9E-4FBE-8344-10A740CBC3FE}"/>
    <hyperlink ref="E104:E105" r:id="rId96" display="link" xr:uid="{ED5B4B54-2687-4E3E-9427-17900BE60A96}"/>
    <hyperlink ref="E106" r:id="rId97" xr:uid="{02480C32-C5AA-4FE3-81B2-7C2D6461D00B}"/>
    <hyperlink ref="E107:E111" r:id="rId98" display="link" xr:uid="{1D4174A4-B1F2-48F3-BF3D-729309E5790D}"/>
    <hyperlink ref="E112" r:id="rId99" xr:uid="{5173E73E-7C5D-4628-BF0F-BF52E2BCB99A}"/>
    <hyperlink ref="E113" r:id="rId100" xr:uid="{3135EAEA-E0E8-4299-A29F-32C583A72F16}"/>
    <hyperlink ref="E114" r:id="rId101" xr:uid="{819A5F51-D5E0-46A9-9A53-B9ED67D8E0B6}"/>
    <hyperlink ref="E115" r:id="rId102" xr:uid="{D3A684AE-46D7-4FF2-8B1D-161889AC0866}"/>
    <hyperlink ref="E128" r:id="rId103" xr:uid="{A1CEACC2-F86E-4A7D-A3B2-6030EF3CD460}"/>
    <hyperlink ref="E129" r:id="rId104" xr:uid="{45E70736-B20E-40D2-BD21-51BCD957A82C}"/>
    <hyperlink ref="E131" r:id="rId105" xr:uid="{8B989C62-35F9-4AEE-BB5E-A7B4288729ED}"/>
    <hyperlink ref="E130" r:id="rId106" xr:uid="{A8D2EDAF-644D-4823-AB97-4BB3590FF5F6}"/>
    <hyperlink ref="E132" r:id="rId107" xr:uid="{89AC3197-87A6-4D1D-9D89-8CC7D5EBB5D3}"/>
    <hyperlink ref="E133" r:id="rId108" xr:uid="{78713E94-C06D-441F-A45C-666ED962D325}"/>
    <hyperlink ref="E134:E135" r:id="rId109" display="link" xr:uid="{4AC2CBC0-3EC2-4D85-A249-782DFBB3FD02}"/>
    <hyperlink ref="E136" r:id="rId110" xr:uid="{E55BC882-ED18-4D37-AAC5-66070B4EFDBF}"/>
    <hyperlink ref="E137:E138" r:id="rId111" display="link" xr:uid="{16F7A787-A957-4E00-9155-9484CB39422E}"/>
    <hyperlink ref="E139" r:id="rId112" xr:uid="{9C509514-8486-4B57-9621-BD26AAFC5FEB}"/>
    <hyperlink ref="E140" r:id="rId113" xr:uid="{EEBA3FCE-4AB8-489C-9C2D-2944BE9D6E81}"/>
    <hyperlink ref="E141" r:id="rId114" xr:uid="{D582BE8B-B3C1-4C82-8D41-4835123996A1}"/>
    <hyperlink ref="E142" r:id="rId115" xr:uid="{15B3C984-10E9-4B9F-A1C6-00045DD9C4F3}"/>
    <hyperlink ref="E143" r:id="rId116" xr:uid="{46B0AD50-6020-48E6-8E4F-E370AE8E2030}"/>
    <hyperlink ref="E144" r:id="rId117" xr:uid="{33CEA1F5-F9B0-48F4-AD85-840E3F482BA4}"/>
    <hyperlink ref="E145" r:id="rId118" xr:uid="{10CF04AB-54C1-4611-9D13-30E1D4B7AE29}"/>
    <hyperlink ref="E146" r:id="rId119" xr:uid="{61152EDA-98C7-4BEC-BA38-31F6AB761E7D}"/>
    <hyperlink ref="E147:E148" r:id="rId120" display="link" xr:uid="{01821916-277C-4B1A-94B6-37463292FF88}"/>
    <hyperlink ref="E149" r:id="rId121" location="products" xr:uid="{C1DDCE76-96B7-4565-98DD-35560D7F4179}"/>
    <hyperlink ref="E150" r:id="rId122" xr:uid="{D7EB38B2-97EF-4F48-9ADA-5A948B8CC07F}"/>
    <hyperlink ref="E151" r:id="rId123" xr:uid="{C7CB66A3-7883-47E0-B1BB-CE4A784ECE0C}"/>
    <hyperlink ref="E152" r:id="rId124" xr:uid="{1E7CD5D0-279F-4816-978A-6E84EDF00FA3}"/>
    <hyperlink ref="E153" r:id="rId125" xr:uid="{64E5F659-C5A5-4F12-BA3F-0AA0BC24BC93}"/>
    <hyperlink ref="E154" r:id="rId126" location="TECHNICALDATA" xr:uid="{09683B2C-4F7F-4805-8E1B-A3ECD957FCDC}"/>
    <hyperlink ref="E155" r:id="rId127" xr:uid="{D8A8DA93-18FC-4462-955D-12DF211C4E75}"/>
    <hyperlink ref="E156:E164" r:id="rId128" display="link" xr:uid="{EC2A4A58-8B6B-4760-B148-0D942713DC56}"/>
    <hyperlink ref="E165" r:id="rId129" xr:uid="{6DA4B2F6-A82F-4734-8FF1-8280D1A0D28B}"/>
    <hyperlink ref="E166" r:id="rId130" xr:uid="{04524FA5-0A48-4956-B591-65230551A3A3}"/>
    <hyperlink ref="E167" r:id="rId131" xr:uid="{20A15B5B-0DEA-4DF0-87CE-955FCD55A81E}"/>
    <hyperlink ref="E168:E169" r:id="rId132" display="link" xr:uid="{8BB69D49-C841-45ED-9AEC-B1929F9FB1E4}"/>
    <hyperlink ref="E170" r:id="rId133" xr:uid="{7016D558-AF3B-43D6-AC25-6A1EF4A843F6}"/>
    <hyperlink ref="E171" r:id="rId134" xr:uid="{9DB9F72E-D514-4669-8FF4-FF66A081FD06}"/>
    <hyperlink ref="E172" r:id="rId135" xr:uid="{3A38809D-8B2B-4CF6-B1E5-789E8E2EB18B}"/>
    <hyperlink ref="E173:E174" r:id="rId136" display="link" xr:uid="{B6A3EE4D-3B63-4CA1-AFF1-9BB85774DC3A}"/>
    <hyperlink ref="E175" r:id="rId137" xr:uid="{F2CBF820-D719-4E2E-A5A4-676DC74EC9F6}"/>
    <hyperlink ref="E176:E177" r:id="rId138" display="link" xr:uid="{3C8DB4D3-1EA7-4E84-B6CE-4472FEC7FD43}"/>
    <hyperlink ref="E178" r:id="rId139" xr:uid="{1BF5E2C9-94C5-4C11-AE71-8772A096A1C8}"/>
    <hyperlink ref="E179" r:id="rId140" xr:uid="{0A644472-D75D-44A5-A90F-DF15B657AB8E}"/>
    <hyperlink ref="E180" r:id="rId141" xr:uid="{57F12165-40AD-4AD6-9694-2FED193AC75F}"/>
    <hyperlink ref="E181" r:id="rId142" xr:uid="{37398E4D-3CC1-490C-AC19-00E1FAA51943}"/>
    <hyperlink ref="E182" r:id="rId143" xr:uid="{2A7FC633-7951-467C-BD8C-372949918B7D}"/>
    <hyperlink ref="E183" r:id="rId144" xr:uid="{814F26E0-DAE7-4706-A541-327BC6AACE81}"/>
    <hyperlink ref="E184:E185" r:id="rId145" display="link" xr:uid="{6517E13F-78BB-42D4-AA38-3B4720C84C07}"/>
    <hyperlink ref="E186" r:id="rId146" xr:uid="{46F2A53F-6D9F-4A3B-AC72-7BC1B89D9F9B}"/>
    <hyperlink ref="E187:E188" r:id="rId147" display="link" xr:uid="{AFB72D29-C05E-4075-AAB5-2523296FBA7F}"/>
    <hyperlink ref="E189" r:id="rId148" xr:uid="{2697AB00-7448-429D-86E7-2FA7BDAE7EDD}"/>
    <hyperlink ref="E193" r:id="rId149" xr:uid="{71554CA7-D990-43C1-9098-20660EE3325B}"/>
    <hyperlink ref="E194:E196" r:id="rId150" display="link" xr:uid="{07BB1699-2A5B-4748-A182-B356B21CC57A}"/>
    <hyperlink ref="E197" r:id="rId151" xr:uid="{1CCF7C8F-57E8-4EFC-AFE1-69A92B3B3F05}"/>
    <hyperlink ref="E198" r:id="rId152" xr:uid="{50E89B46-4F0B-408D-966C-CE6FAF0C3423}"/>
    <hyperlink ref="E199" r:id="rId153" xr:uid="{90514A94-A9C1-4329-95A9-466A307CA040}"/>
    <hyperlink ref="E200" r:id="rId154" xr:uid="{21560DC3-8C4A-42B1-BF6D-403F4E02C4E8}"/>
    <hyperlink ref="E201" r:id="rId155" xr:uid="{51DCE506-0E68-4A34-B775-516BD7F388FA}"/>
    <hyperlink ref="E202" r:id="rId156" xr:uid="{31EBC007-244E-46B5-88AD-BE56375213D4}"/>
    <hyperlink ref="E203" r:id="rId157" xr:uid="{0C50BCF7-2FD4-46F7-88E6-304DF29A5D02}"/>
    <hyperlink ref="E204" r:id="rId158" xr:uid="{FF62F54E-3C92-4DEA-AA54-BE13152B6D80}"/>
    <hyperlink ref="E205:E207" r:id="rId159" display="link" xr:uid="{0453002E-33DC-42A1-8C77-12A69F857141}"/>
    <hyperlink ref="E208" r:id="rId160" xr:uid="{D9E34134-FD28-4540-B2E0-02A8BAC2860A}"/>
    <hyperlink ref="E209:E213" r:id="rId161" display="link" xr:uid="{668A8343-4557-43C4-A72C-20B9930EAC69}"/>
    <hyperlink ref="E214" r:id="rId162" xr:uid="{A1E29C61-1974-4B8B-B06F-85FFEE000748}"/>
    <hyperlink ref="E216" r:id="rId163" xr:uid="{B7E0783B-CF7B-4C82-A95C-166135C6EDB0}"/>
    <hyperlink ref="E217:E220" r:id="rId164" display="link" xr:uid="{A0402A2B-A718-456A-A42D-82ABF3D276B7}"/>
    <hyperlink ref="E221" r:id="rId165" xr:uid="{EA0F379A-49F0-4700-A876-036DE577ED31}"/>
    <hyperlink ref="E222:E224" r:id="rId166" display="link" xr:uid="{4CF2E118-DB93-4F84-AC6A-7D60E78F0A4A}"/>
    <hyperlink ref="E225" r:id="rId167" xr:uid="{2960B5ED-DB9C-4E30-8185-1FB222C1C680}"/>
    <hyperlink ref="E226" r:id="rId168" xr:uid="{FA4AEBC3-5B9C-47C7-9A4B-C93A3916DD40}"/>
    <hyperlink ref="E227" r:id="rId169" xr:uid="{D418229B-EBBA-4A0F-A918-25C5AC400B20}"/>
    <hyperlink ref="E228" r:id="rId170" xr:uid="{0C45A012-5DF7-48F1-9FC6-4DB47A6F2CB0}"/>
    <hyperlink ref="E229" r:id="rId171" xr:uid="{09D0CE0D-39F7-4399-A10D-70FC03EB4A9C}"/>
    <hyperlink ref="E230" r:id="rId172" xr:uid="{B8DE5728-C0AA-41D5-A116-00E1A0DF1314}"/>
    <hyperlink ref="E231" r:id="rId173" xr:uid="{0AF48D4C-534D-4226-AE10-26C4073349D6}"/>
    <hyperlink ref="E232" r:id="rId174" xr:uid="{14263CA0-4CB0-4692-A52F-28926C2082DD}"/>
    <hyperlink ref="E233" r:id="rId175" xr:uid="{118D14A3-9B5D-43EA-AF81-70027800AFFB}"/>
    <hyperlink ref="E234" r:id="rId176" xr:uid="{C8E6357B-04CD-4561-97E9-424DF33F4493}"/>
    <hyperlink ref="E235" r:id="rId177" xr:uid="{AB6A3994-AE7A-497E-9516-B9D74DAD704B}"/>
    <hyperlink ref="E237" r:id="rId178" xr:uid="{8914874C-9E25-4BE8-8687-73B20AF95D42}"/>
    <hyperlink ref="E238" r:id="rId179" xr:uid="{A3FADAC9-6E70-45F6-9F54-6CBE74FE3777}"/>
    <hyperlink ref="E239" r:id="rId180" xr:uid="{226D0AF2-7B9E-46D2-BDA3-C77603D836F8}"/>
    <hyperlink ref="E240" r:id="rId181" xr:uid="{EC855B98-4ADC-4F40-BBA9-9D61449A85E0}"/>
    <hyperlink ref="E241" r:id="rId182" xr:uid="{ABB4E04E-1718-4829-B68B-23E28691C217}"/>
    <hyperlink ref="E242" r:id="rId183" xr:uid="{8A7BFD4E-2E47-4DF8-B1A1-4B9645550D0C}"/>
    <hyperlink ref="E243" r:id="rId184" xr:uid="{D8AC77AB-118A-4F8B-B0A8-08C2777A8F1E}"/>
    <hyperlink ref="E244" r:id="rId185" location="electrolysis" xr:uid="{6241927F-F1FC-4A73-AF06-42A4BE16CDDE}"/>
    <hyperlink ref="E245" r:id="rId186" xr:uid="{6B8799FC-6052-48D8-8257-80E764A1529C}"/>
    <hyperlink ref="E246:E247" r:id="rId187" display="link" xr:uid="{77AA5777-6E6F-4E78-8E88-0803848F7A82}"/>
    <hyperlink ref="E248:E250" r:id="rId188" display="link" xr:uid="{2C638BBB-1B6F-4137-9468-FA2EDEEB8176}"/>
    <hyperlink ref="E251" r:id="rId189" xr:uid="{1C7FE1B9-99D8-46A2-8524-04E6B8F29808}"/>
    <hyperlink ref="E252:E256" r:id="rId190" display="link" xr:uid="{37014257-D7BD-4119-9C42-DFE176E789C9}"/>
    <hyperlink ref="E257" r:id="rId191" xr:uid="{B6C45BA2-67FF-41E2-BFE1-E682A818A97F}"/>
    <hyperlink ref="E258" r:id="rId192" xr:uid="{31F0FCDD-75E3-428D-A695-4802007847FD}"/>
    <hyperlink ref="E259" r:id="rId193" location=":~:text=Discover%20IMI%20VIVO%E2%80%99s%20PEM%20Electrolyser:%20a" xr:uid="{162FC5AD-550A-4C43-BC3A-C1E1AF8CD5C0}"/>
    <hyperlink ref="E260:E263" r:id="rId194" location=":~:text=Discover%20IMI%20VIVO%E2%80%99s%20PEM%20Electrolyser:%20a" display="link" xr:uid="{4562FAFB-1173-46A9-AC4F-5786BE6E7D35}"/>
    <hyperlink ref="E264" r:id="rId195" xr:uid="{A6B4F8E4-51AA-4116-B910-5C29625CCE91}"/>
    <hyperlink ref="E265:E270" r:id="rId196" display="link" xr:uid="{C380100C-591E-45A4-8534-D9901CE4A87E}"/>
    <hyperlink ref="E271" r:id="rId197" xr:uid="{6899B354-1FDF-4CCF-B04A-EB9288F7D024}"/>
    <hyperlink ref="E272:E273" r:id="rId198" display="link" xr:uid="{19A20C27-A1CA-4405-A510-CE7C7B30C34B}"/>
    <hyperlink ref="E274" r:id="rId199" xr:uid="{FCA8B9B0-F215-4177-BE7A-D47EEF560603}"/>
    <hyperlink ref="E275" r:id="rId200" xr:uid="{5AD6C3BE-90B7-45D0-BF47-B472A2C821D5}"/>
    <hyperlink ref="E276" r:id="rId201" xr:uid="{257EEE8B-82AD-4028-8A94-E9E09590DE0E}"/>
    <hyperlink ref="E277" r:id="rId202" xr:uid="{28499B90-A57B-48EE-BE1D-077F3D21F511}"/>
    <hyperlink ref="I2" r:id="rId203" xr:uid="{9B55C041-65F5-482D-9C63-24FAABE526A6}"/>
    <hyperlink ref="E278" r:id="rId204" xr:uid="{38511292-656C-46F8-B638-F24F2CB70D78}"/>
    <hyperlink ref="E279" r:id="rId205" xr:uid="{FC711279-05A8-4888-BBEF-DA7C7DE5B5E3}"/>
    <hyperlink ref="E280" r:id="rId206" xr:uid="{81CA8606-2756-4363-B29D-C1BE2E4B3304}"/>
    <hyperlink ref="E281" r:id="rId207" xr:uid="{47DEF029-163E-4BEC-83D0-4E1C46DB6379}"/>
    <hyperlink ref="E282" r:id="rId208" xr:uid="{A176E32E-4692-48A9-B4B1-78DA4757A307}"/>
    <hyperlink ref="E283" r:id="rId209" location=":~:text=Tokyo,%20April%2025,%202024%20-%20Mitsubishi%20Heavy" xr:uid="{5F60551D-4764-4193-927F-3FAD4E84C4E7}"/>
    <hyperlink ref="E284" r:id="rId210" xr:uid="{1AB39450-FBCF-4F81-95BB-49F3775D95D0}"/>
    <hyperlink ref="E285" r:id="rId211" xr:uid="{44841AFD-02D1-46E1-ABD4-2C80097F9F36}"/>
    <hyperlink ref="E286" r:id="rId212" xr:uid="{8746710A-C857-409C-A0A4-1B376BF8714B}"/>
    <hyperlink ref="E287" r:id="rId213" xr:uid="{41375AD7-6301-48CF-ADCD-A294313C9D05}"/>
    <hyperlink ref="E288:E300" r:id="rId214" display="link" xr:uid="{BEE5E9E6-9A43-4005-8129-ABBB5FE6BD24}"/>
    <hyperlink ref="E301" r:id="rId215" xr:uid="{3AA8B792-6B10-4DC6-85B7-4B5172FE9987}"/>
    <hyperlink ref="E302" r:id="rId216" location=":~:text=On%20Feb.%2026,%202023,%20the%20200-kW%20high" xr:uid="{43DF57D7-6CAB-4DAF-8F2F-8975901F8D7D}"/>
    <hyperlink ref="E45" r:id="rId217" location=":~:text=The%20new%20Sirio%20on-site%20hydrogen" xr:uid="{714ED12B-7540-46DF-AAAE-736761832446}"/>
    <hyperlink ref="E46:E49" r:id="rId218" location=":~:text=The%20new%20Sirio%20on-site%20hydrogen" display="link" xr:uid="{94D16E5A-2D79-4F96-986E-1613F614817E}"/>
    <hyperlink ref="E75" r:id="rId219" xr:uid="{A6155DE5-9211-4C3C-A174-C958605F1864}"/>
    <hyperlink ref="E80" r:id="rId220" xr:uid="{407EE857-24E4-4966-B90C-A23A1C3F3793}"/>
    <hyperlink ref="E81" r:id="rId221" xr:uid="{24648303-D8FC-4F9F-A10E-73028E941581}"/>
    <hyperlink ref="E190" r:id="rId222" xr:uid="{4749E3FF-E1BD-4E42-B66E-BBB0D1FD86ED}"/>
    <hyperlink ref="E192" r:id="rId223" xr:uid="{EDB4FA9D-B401-46FC-9A45-5346C3C621AD}"/>
    <hyperlink ref="E191" r:id="rId224" xr:uid="{7DA07E56-7278-4A02-B682-E03D3EF48778}"/>
    <hyperlink ref="E215" r:id="rId225" xr:uid="{88EC771C-72A7-452B-93F9-D4EF3E7E661E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D9447CD5-F03B-4DD2-8BF4-DC1FAEE494E0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D11:D215</xm:sqref>
        </x14:conditionalFormatting>
        <x14:conditionalFormatting xmlns:xm="http://schemas.microsoft.com/office/excel/2006/main">
          <x14:cfRule type="iconSet" priority="8" id="{E328A8E7-DAC9-44B3-8CBB-3BE4EBBFF86A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D216:D226</xm:sqref>
        </x14:conditionalFormatting>
        <x14:conditionalFormatting xmlns:xm="http://schemas.microsoft.com/office/excel/2006/main">
          <x14:cfRule type="iconSet" priority="11" id="{2E7EE119-49B3-4A82-89DC-21778E70532C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D227:D309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Mattia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Cortés Martínez</dc:creator>
  <cp:lastModifiedBy>Tomás Cortés Martínez</cp:lastModifiedBy>
  <dcterms:created xsi:type="dcterms:W3CDTF">2024-09-13T11:47:57Z</dcterms:created>
  <dcterms:modified xsi:type="dcterms:W3CDTF">2024-10-08T13:33:07Z</dcterms:modified>
</cp:coreProperties>
</file>