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1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<sst xmlns="http://schemas.openxmlformats.org/spreadsheetml/2006/main" count="91" uniqueCount="25">
  <si>
    <t>FRANCE</t>
  </si>
  <si>
    <t>ITALY</t>
  </si>
  <si>
    <t>PORTUGAL</t>
  </si>
  <si>
    <t>per capita consumption</t>
  </si>
  <si>
    <t>population</t>
  </si>
  <si>
    <t>total wine</t>
  </si>
  <si>
    <t>Champagne</t>
  </si>
  <si>
    <t>index</t>
  </si>
  <si>
    <t>total champagne</t>
  </si>
  <si>
    <t>percent</t>
  </si>
  <si>
    <t>finewine sale</t>
  </si>
  <si>
    <t>total</t>
  </si>
  <si>
    <t>Marsala</t>
  </si>
  <si>
    <t>total marsala</t>
  </si>
  <si>
    <t>Moscatel De Setubal</t>
  </si>
  <si>
    <t>total moscatel</t>
  </si>
  <si>
    <t>Sherry</t>
  </si>
  <si>
    <t>total sherry</t>
  </si>
  <si>
    <t>total demand for champagne</t>
  </si>
  <si>
    <t>total demand for marsala</t>
  </si>
  <si>
    <t>total demand for moscatel</t>
  </si>
  <si>
    <t>total demand for sherry</t>
  </si>
  <si>
    <t>total sales for france</t>
  </si>
  <si>
    <t>total sales for italy</t>
  </si>
  <si>
    <t>total sales for portugal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</si>
</sst>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Times New Roman"/>
    </font>
    <font>
      <b/>
      <u/>
      <sz val="12.0"/>
      <name val="Times New Roman"/>
    </font>
    <font>
      <sz val="12.0"/>
      <name val="Times New Roman"/>
    </font>
    <font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1" fillId="2" fontId="0" numFmtId="3" xfId="0" applyAlignment="1" applyBorder="1" applyFill="1" applyFont="1" applyNumberFormat="1">
      <alignment horizontal="center" vertical="center"/>
    </xf>
    <xf borderId="1" fillId="2" fontId="3" numFmtId="3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78"/>
    <col customWidth="1" min="2" max="5" width="11.22"/>
    <col customWidth="1" min="6" max="6" width="19.56"/>
    <col customWidth="1" min="7" max="10" width="11.22"/>
    <col customWidth="1" min="11" max="11" width="19.11"/>
    <col customWidth="1" min="12" max="14" width="11.22"/>
  </cols>
  <sheetData>
    <row r="1">
      <c r="A1" s="1" t="s">
        <v>0</v>
      </c>
      <c r="F1" s="1" t="s">
        <v>1</v>
      </c>
      <c r="K1" s="1" t="s">
        <v>2</v>
      </c>
    </row>
    <row r="3">
      <c r="A3" s="2"/>
      <c r="B3" s="3">
        <v>2018.0</v>
      </c>
      <c r="C3" s="3">
        <v>2019.0</v>
      </c>
      <c r="D3" s="3">
        <v>2020.0</v>
      </c>
      <c r="E3" s="2"/>
      <c r="F3" s="2"/>
      <c r="G3" s="3">
        <v>2018.0</v>
      </c>
      <c r="H3" s="3">
        <v>2019.0</v>
      </c>
      <c r="I3" s="3">
        <v>2020.0</v>
      </c>
      <c r="J3" s="2"/>
      <c r="K3" s="2"/>
      <c r="L3" s="3">
        <v>2018.0</v>
      </c>
      <c r="M3" s="3">
        <v>2019.0</v>
      </c>
      <c r="N3" s="3">
        <v>2020.0</v>
      </c>
    </row>
    <row r="4">
      <c r="A4" s="3" t="s">
        <v>3</v>
      </c>
      <c r="B4" s="3">
        <v>41.264</v>
      </c>
      <c r="C4" s="3">
        <v>41.418</v>
      </c>
      <c r="D4" s="3">
        <v>41.334</v>
      </c>
      <c r="E4" s="2"/>
      <c r="F4" s="3" t="s">
        <v>3</v>
      </c>
      <c r="G4" s="3">
        <v>34.1</v>
      </c>
      <c r="H4" s="3">
        <v>34.2</v>
      </c>
      <c r="I4" s="3">
        <v>34.09</v>
      </c>
      <c r="J4" s="2"/>
      <c r="K4" s="3" t="s">
        <v>3</v>
      </c>
      <c r="L4" s="3">
        <v>45.69</v>
      </c>
      <c r="M4" s="3">
        <v>45.75</v>
      </c>
      <c r="N4" s="3">
        <v>45.74</v>
      </c>
    </row>
    <row r="5">
      <c r="A5" s="3" t="s">
        <v>4</v>
      </c>
      <c r="B5" s="4">
        <v>6.7486818E7</v>
      </c>
      <c r="C5" s="5">
        <v>6.781512E7</v>
      </c>
      <c r="D5" s="5">
        <v>6.8143422E7</v>
      </c>
      <c r="E5" s="2"/>
      <c r="F5" s="3" t="s">
        <v>4</v>
      </c>
      <c r="G5" s="4">
        <v>6.0882306E7</v>
      </c>
      <c r="H5" s="6">
        <v>6.1155681E7</v>
      </c>
      <c r="I5" s="6">
        <v>6.1436793E7</v>
      </c>
      <c r="J5" s="2"/>
      <c r="K5" s="3" t="s">
        <v>4</v>
      </c>
      <c r="L5" s="3">
        <v>1.0033568E7</v>
      </c>
      <c r="M5" s="3">
        <v>9885550.0</v>
      </c>
      <c r="N5" s="3">
        <v>9715906.0</v>
      </c>
    </row>
    <row r="6">
      <c r="A6" s="3" t="s">
        <v>5</v>
      </c>
      <c r="B6" s="2">
        <f t="shared" ref="B6:D6" si="1">(B4 * B5)</f>
        <v>2784776058</v>
      </c>
      <c r="C6" s="2">
        <f t="shared" si="1"/>
        <v>2808766640</v>
      </c>
      <c r="D6" s="2">
        <f t="shared" si="1"/>
        <v>2816640205</v>
      </c>
      <c r="E6" s="2"/>
      <c r="F6" s="3" t="s">
        <v>5</v>
      </c>
      <c r="G6" s="2">
        <f t="shared" ref="G6:I6" si="2">(G4 * G5)</f>
        <v>2076086635</v>
      </c>
      <c r="H6" s="2">
        <f t="shared" si="2"/>
        <v>2091524290</v>
      </c>
      <c r="I6" s="2">
        <f t="shared" si="2"/>
        <v>2094380273</v>
      </c>
      <c r="J6" s="2"/>
      <c r="K6" s="3" t="s">
        <v>5</v>
      </c>
      <c r="L6" s="2">
        <f t="shared" ref="L6:N6" si="3">(L4 * L5)</f>
        <v>458433721.9</v>
      </c>
      <c r="M6" s="2">
        <f t="shared" si="3"/>
        <v>452263912.5</v>
      </c>
      <c r="N6" s="2">
        <f t="shared" si="3"/>
        <v>444405540.4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>
      <c r="A8" s="3" t="s">
        <v>6</v>
      </c>
      <c r="E8" s="2"/>
      <c r="F8" s="3" t="s">
        <v>6</v>
      </c>
      <c r="J8" s="2"/>
      <c r="K8" s="3" t="s">
        <v>6</v>
      </c>
    </row>
    <row r="9">
      <c r="A9" s="3" t="s">
        <v>7</v>
      </c>
      <c r="B9" s="3">
        <v>3.05</v>
      </c>
      <c r="C9" s="7">
        <v>0.11</v>
      </c>
      <c r="D9" s="2"/>
      <c r="E9" s="2"/>
      <c r="F9" s="3" t="s">
        <v>7</v>
      </c>
      <c r="G9" s="3">
        <v>3.22</v>
      </c>
      <c r="H9" s="8">
        <v>0.029</v>
      </c>
      <c r="I9" s="2"/>
      <c r="J9" s="2"/>
      <c r="K9" s="3" t="s">
        <v>7</v>
      </c>
      <c r="L9" s="3">
        <v>3.27</v>
      </c>
      <c r="M9" s="8">
        <v>0.019</v>
      </c>
      <c r="N9" s="2"/>
    </row>
    <row r="10">
      <c r="A10" s="3" t="s">
        <v>8</v>
      </c>
      <c r="B10" s="2">
        <f t="shared" ref="B10:D10" si="4">(0.11 * B6)</f>
        <v>306325366.4</v>
      </c>
      <c r="C10" s="2">
        <f t="shared" si="4"/>
        <v>308964330.4</v>
      </c>
      <c r="D10" s="2">
        <f t="shared" si="4"/>
        <v>309830422.5</v>
      </c>
      <c r="E10" s="2"/>
      <c r="F10" s="3" t="s">
        <v>8</v>
      </c>
      <c r="G10" s="2">
        <f t="shared" ref="G10:I10" si="5">(0.029 * G6)</f>
        <v>60206512.4</v>
      </c>
      <c r="H10" s="2">
        <f t="shared" si="5"/>
        <v>60654204.42</v>
      </c>
      <c r="I10" s="2">
        <f t="shared" si="5"/>
        <v>60737027.93</v>
      </c>
      <c r="J10" s="2"/>
      <c r="K10" s="3" t="s">
        <v>8</v>
      </c>
      <c r="L10" s="2">
        <f t="shared" ref="L10:N10" si="6">(0.019 * L6)</f>
        <v>8710240.716</v>
      </c>
      <c r="M10" s="2">
        <f t="shared" si="6"/>
        <v>8593014.338</v>
      </c>
      <c r="N10" s="2">
        <f t="shared" si="6"/>
        <v>8443705.268</v>
      </c>
    </row>
    <row r="11">
      <c r="A11" s="3" t="s">
        <v>9</v>
      </c>
      <c r="B11" s="3">
        <v>4.8</v>
      </c>
      <c r="C11" s="3">
        <v>4.78</v>
      </c>
      <c r="D11" s="3">
        <v>4.76</v>
      </c>
      <c r="E11" s="2"/>
      <c r="F11" s="3" t="s">
        <v>9</v>
      </c>
      <c r="G11" s="3">
        <v>4.8</v>
      </c>
      <c r="H11" s="3">
        <v>4.78</v>
      </c>
      <c r="I11" s="3">
        <v>4.76</v>
      </c>
      <c r="J11" s="2"/>
      <c r="K11" s="3" t="s">
        <v>9</v>
      </c>
      <c r="L11" s="3">
        <v>4.7</v>
      </c>
      <c r="M11" s="3">
        <v>4.68</v>
      </c>
      <c r="N11" s="3">
        <v>4.66</v>
      </c>
    </row>
    <row r="12">
      <c r="A12" s="3" t="s">
        <v>10</v>
      </c>
      <c r="B12" s="2">
        <f t="shared" ref="B12:D12" si="7">(B11/100 * B10)</f>
        <v>14703617.59</v>
      </c>
      <c r="C12" s="2">
        <f t="shared" si="7"/>
        <v>14768494.99</v>
      </c>
      <c r="D12" s="2">
        <f t="shared" si="7"/>
        <v>14747928.11</v>
      </c>
      <c r="E12" s="2"/>
      <c r="F12" s="3" t="s">
        <v>10</v>
      </c>
      <c r="G12" s="2">
        <f t="shared" ref="G12:I12" si="8">(G11/100 * G10)</f>
        <v>2889912.595</v>
      </c>
      <c r="H12" s="2">
        <f t="shared" si="8"/>
        <v>2899270.971</v>
      </c>
      <c r="I12" s="2">
        <f t="shared" si="8"/>
        <v>2891082.529</v>
      </c>
      <c r="J12" s="2"/>
      <c r="K12" s="3" t="s">
        <v>10</v>
      </c>
      <c r="L12" s="2">
        <f t="shared" ref="L12:N12" si="9">(L11/100 * L10)</f>
        <v>409381.3137</v>
      </c>
      <c r="M12" s="2">
        <f t="shared" si="9"/>
        <v>402153.071</v>
      </c>
      <c r="N12" s="2">
        <f t="shared" si="9"/>
        <v>393476.6655</v>
      </c>
    </row>
    <row r="13">
      <c r="A13" s="3" t="s">
        <v>11</v>
      </c>
      <c r="B13" s="2">
        <f>(SUM(B12,C12,D12))</f>
        <v>44220040.69</v>
      </c>
      <c r="C13" s="2"/>
      <c r="D13" s="2"/>
      <c r="E13" s="2"/>
      <c r="F13" s="3" t="s">
        <v>11</v>
      </c>
      <c r="G13" s="2">
        <f>(SUM(G12,H12,I12))</f>
        <v>8680266.096</v>
      </c>
      <c r="H13" s="2"/>
      <c r="I13" s="2"/>
      <c r="J13" s="2"/>
      <c r="K13" s="3" t="s">
        <v>11</v>
      </c>
      <c r="L13" s="2">
        <f>(SUM(L12,M12,N12))</f>
        <v>1205011.05</v>
      </c>
      <c r="M13" s="2"/>
      <c r="N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A15" s="3" t="s">
        <v>12</v>
      </c>
      <c r="E15" s="2"/>
      <c r="F15" s="3" t="s">
        <v>12</v>
      </c>
      <c r="J15" s="2"/>
      <c r="K15" s="3" t="s">
        <v>12</v>
      </c>
    </row>
    <row r="16">
      <c r="A16" s="3" t="s">
        <v>7</v>
      </c>
      <c r="B16" s="3">
        <v>5.2</v>
      </c>
      <c r="C16" s="8">
        <v>0.008</v>
      </c>
      <c r="D16" s="2"/>
      <c r="E16" s="2"/>
      <c r="F16" s="3" t="s">
        <v>7</v>
      </c>
      <c r="G16" s="3">
        <v>6.64</v>
      </c>
      <c r="H16" s="8">
        <v>0.082</v>
      </c>
      <c r="I16" s="2"/>
      <c r="J16" s="2"/>
      <c r="K16" s="3" t="s">
        <v>7</v>
      </c>
      <c r="L16" s="3">
        <v>5.22</v>
      </c>
      <c r="M16" s="8">
        <v>0.006</v>
      </c>
      <c r="N16" s="2"/>
    </row>
    <row r="17">
      <c r="A17" s="3" t="s">
        <v>13</v>
      </c>
      <c r="B17" s="2">
        <f t="shared" ref="B17:D17" si="10">(0.008 * B6)</f>
        <v>22278208.46</v>
      </c>
      <c r="C17" s="2">
        <f t="shared" si="10"/>
        <v>22470133.12</v>
      </c>
      <c r="D17" s="2">
        <f t="shared" si="10"/>
        <v>22533121.64</v>
      </c>
      <c r="E17" s="2"/>
      <c r="F17" s="3" t="s">
        <v>13</v>
      </c>
      <c r="G17" s="2">
        <f t="shared" ref="G17:I17" si="11">(0.082 * G6)</f>
        <v>170239104</v>
      </c>
      <c r="H17" s="2">
        <f t="shared" si="11"/>
        <v>171504991.8</v>
      </c>
      <c r="I17" s="2">
        <f t="shared" si="11"/>
        <v>171739182.4</v>
      </c>
      <c r="J17" s="2"/>
      <c r="K17" s="3" t="s">
        <v>13</v>
      </c>
      <c r="L17" s="2">
        <f t="shared" ref="L17:N17" si="12">(0.006 * L6)</f>
        <v>2750602.332</v>
      </c>
      <c r="M17" s="2">
        <f t="shared" si="12"/>
        <v>2713583.475</v>
      </c>
      <c r="N17" s="2">
        <f t="shared" si="12"/>
        <v>2666433.243</v>
      </c>
    </row>
    <row r="18">
      <c r="A18" s="3" t="s">
        <v>9</v>
      </c>
      <c r="B18" s="3">
        <v>5.4</v>
      </c>
      <c r="C18" s="3">
        <v>6.97</v>
      </c>
      <c r="D18" s="3">
        <v>8.54</v>
      </c>
      <c r="E18" s="2"/>
      <c r="F18" s="3" t="s">
        <v>9</v>
      </c>
      <c r="G18" s="3">
        <v>5.4</v>
      </c>
      <c r="H18" s="3">
        <v>7.89</v>
      </c>
      <c r="I18" s="3">
        <v>10.38</v>
      </c>
      <c r="J18" s="2"/>
      <c r="K18" s="3" t="s">
        <v>9</v>
      </c>
      <c r="L18" s="3">
        <v>5.1</v>
      </c>
      <c r="M18" s="3">
        <v>6.75</v>
      </c>
      <c r="N18" s="3">
        <v>8.4</v>
      </c>
    </row>
    <row r="19">
      <c r="A19" s="3" t="s">
        <v>10</v>
      </c>
      <c r="B19" s="2">
        <f t="shared" ref="B19:D19" si="13">(B18/100 * B17)</f>
        <v>1203023.257</v>
      </c>
      <c r="C19" s="2">
        <f t="shared" si="13"/>
        <v>1566168.279</v>
      </c>
      <c r="D19" s="2">
        <f t="shared" si="13"/>
        <v>1924328.588</v>
      </c>
      <c r="E19" s="2"/>
      <c r="F19" s="3" t="s">
        <v>10</v>
      </c>
      <c r="G19" s="2">
        <f t="shared" ref="G19:I19" si="14">(G18/100 * G17)</f>
        <v>9192911.618</v>
      </c>
      <c r="H19" s="2">
        <f t="shared" si="14"/>
        <v>13531743.85</v>
      </c>
      <c r="I19" s="2">
        <f t="shared" si="14"/>
        <v>17826527.13</v>
      </c>
      <c r="J19" s="2"/>
      <c r="K19" s="3" t="s">
        <v>10</v>
      </c>
      <c r="L19" s="2">
        <f t="shared" ref="L19:N19" si="15">(L18/100 * L17)</f>
        <v>140280.7189</v>
      </c>
      <c r="M19" s="2">
        <f t="shared" si="15"/>
        <v>183166.8846</v>
      </c>
      <c r="N19" s="2">
        <f t="shared" si="15"/>
        <v>223980.3924</v>
      </c>
    </row>
    <row r="20">
      <c r="A20" s="3" t="s">
        <v>11</v>
      </c>
      <c r="B20" s="2">
        <f>(SUM(B19,C19,D19))</f>
        <v>4693520.124</v>
      </c>
      <c r="C20" s="2"/>
      <c r="D20" s="2"/>
      <c r="E20" s="2"/>
      <c r="F20" s="3" t="s">
        <v>11</v>
      </c>
      <c r="G20" s="2">
        <f>(SUM(G19,H19,I19))</f>
        <v>40551182.61</v>
      </c>
      <c r="H20" s="2"/>
      <c r="I20" s="2"/>
      <c r="J20" s="2"/>
      <c r="K20" s="3" t="s">
        <v>11</v>
      </c>
      <c r="L20" s="2">
        <f>(SUM(L19,M19,N19))</f>
        <v>547427.9959</v>
      </c>
      <c r="M20" s="2"/>
      <c r="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A22" s="3" t="s">
        <v>14</v>
      </c>
      <c r="E22" s="2"/>
      <c r="F22" s="3" t="s">
        <v>14</v>
      </c>
      <c r="J22" s="2"/>
      <c r="K22" s="3" t="s">
        <v>14</v>
      </c>
    </row>
    <row r="23">
      <c r="A23" s="3" t="s">
        <v>7</v>
      </c>
      <c r="B23" s="3">
        <v>6.15</v>
      </c>
      <c r="C23" s="8">
        <v>0.039</v>
      </c>
      <c r="D23" s="2"/>
      <c r="E23" s="2"/>
      <c r="F23" s="3" t="s">
        <v>7</v>
      </c>
      <c r="G23" s="3">
        <v>6.71</v>
      </c>
      <c r="H23" s="8">
        <v>0.028</v>
      </c>
      <c r="I23" s="2"/>
      <c r="J23" s="2"/>
      <c r="K23" s="3" t="s">
        <v>7</v>
      </c>
      <c r="L23" s="3">
        <v>6.38</v>
      </c>
      <c r="M23" s="8">
        <v>0.094</v>
      </c>
      <c r="N23" s="2"/>
    </row>
    <row r="24">
      <c r="A24" s="3" t="s">
        <v>15</v>
      </c>
      <c r="B24" s="2">
        <f t="shared" ref="B24:D24" si="16">(0.039 * B6)</f>
        <v>108606266.3</v>
      </c>
      <c r="C24" s="2">
        <f t="shared" si="16"/>
        <v>109541899</v>
      </c>
      <c r="D24" s="2">
        <f t="shared" si="16"/>
        <v>109848968</v>
      </c>
      <c r="E24" s="2"/>
      <c r="F24" s="3" t="s">
        <v>15</v>
      </c>
      <c r="G24" s="2">
        <f t="shared" ref="G24:I24" si="17">(0.028 * G6)</f>
        <v>58130425.77</v>
      </c>
      <c r="H24" s="2">
        <f t="shared" si="17"/>
        <v>58562680.13</v>
      </c>
      <c r="I24" s="2">
        <f t="shared" si="17"/>
        <v>58642647.65</v>
      </c>
      <c r="J24" s="2"/>
      <c r="K24" s="3" t="s">
        <v>15</v>
      </c>
      <c r="L24" s="2">
        <f t="shared" ref="L24:N24" si="18">(0.094 * L6)</f>
        <v>43092769.86</v>
      </c>
      <c r="M24" s="2">
        <f t="shared" si="18"/>
        <v>42512807.78</v>
      </c>
      <c r="N24" s="2">
        <f t="shared" si="18"/>
        <v>41774120.8</v>
      </c>
    </row>
    <row r="25">
      <c r="A25" s="3" t="s">
        <v>9</v>
      </c>
      <c r="B25" s="3">
        <v>5.4</v>
      </c>
      <c r="C25" s="3">
        <v>7.89</v>
      </c>
      <c r="D25" s="3">
        <v>10.38</v>
      </c>
      <c r="E25" s="2"/>
      <c r="F25" s="3" t="s">
        <v>9</v>
      </c>
      <c r="G25" s="3">
        <v>5.4</v>
      </c>
      <c r="H25" s="3">
        <v>7.89</v>
      </c>
      <c r="I25" s="3">
        <v>10.38</v>
      </c>
      <c r="J25" s="2"/>
      <c r="K25" s="3" t="s">
        <v>9</v>
      </c>
      <c r="L25" s="3">
        <v>5.2</v>
      </c>
      <c r="M25" s="3">
        <v>7.81</v>
      </c>
      <c r="N25" s="3">
        <v>10.42</v>
      </c>
    </row>
    <row r="26">
      <c r="A26" s="3" t="s">
        <v>10</v>
      </c>
      <c r="B26" s="2">
        <f t="shared" ref="B26:D26" si="19">(B25/100 * B24)</f>
        <v>5864738.378</v>
      </c>
      <c r="C26" s="2">
        <f t="shared" si="19"/>
        <v>8642855.828</v>
      </c>
      <c r="D26" s="2">
        <f t="shared" si="19"/>
        <v>11402322.88</v>
      </c>
      <c r="E26" s="2"/>
      <c r="F26" s="3" t="s">
        <v>10</v>
      </c>
      <c r="G26" s="2">
        <f t="shared" ref="G26:I26" si="20">(G25/100 * G24)</f>
        <v>3139042.992</v>
      </c>
      <c r="H26" s="2">
        <f t="shared" si="20"/>
        <v>4620595.462</v>
      </c>
      <c r="I26" s="2">
        <f t="shared" si="20"/>
        <v>6087106.827</v>
      </c>
      <c r="J26" s="2"/>
      <c r="K26" s="3" t="s">
        <v>10</v>
      </c>
      <c r="L26" s="2">
        <f t="shared" ref="L26:N26" si="21">(L25/100 * L24)</f>
        <v>2240824.033</v>
      </c>
      <c r="M26" s="2">
        <f t="shared" si="21"/>
        <v>3320250.287</v>
      </c>
      <c r="N26" s="2">
        <f t="shared" si="21"/>
        <v>4352863.388</v>
      </c>
    </row>
    <row r="27">
      <c r="A27" s="3" t="s">
        <v>11</v>
      </c>
      <c r="B27" s="2">
        <f>(SUM(B26,C26,D26))</f>
        <v>25909917.08</v>
      </c>
      <c r="C27" s="2"/>
      <c r="D27" s="2"/>
      <c r="E27" s="2"/>
      <c r="F27" s="3" t="s">
        <v>11</v>
      </c>
      <c r="G27" s="2">
        <f>(SUM(G26,H26,I26))</f>
        <v>13846745.28</v>
      </c>
      <c r="H27" s="2"/>
      <c r="I27" s="2"/>
      <c r="J27" s="2"/>
      <c r="K27" s="3" t="s">
        <v>11</v>
      </c>
      <c r="L27" s="2">
        <f>(SUM(L26,M26,N26))</f>
        <v>9913937.707</v>
      </c>
      <c r="M27" s="2"/>
      <c r="N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A29" s="3" t="s">
        <v>16</v>
      </c>
      <c r="E29" s="2"/>
      <c r="F29" s="3" t="s">
        <v>16</v>
      </c>
      <c r="J29" s="2"/>
      <c r="K29" s="3" t="s">
        <v>16</v>
      </c>
    </row>
    <row r="30">
      <c r="A30" s="3" t="s">
        <v>7</v>
      </c>
      <c r="B30" s="3">
        <v>5.0</v>
      </c>
      <c r="C30" s="8">
        <v>0.01</v>
      </c>
      <c r="D30" s="2"/>
      <c r="E30" s="2"/>
      <c r="F30" s="3" t="s">
        <v>7</v>
      </c>
      <c r="G30" s="3">
        <v>4.4</v>
      </c>
      <c r="H30" s="8">
        <v>0.028</v>
      </c>
      <c r="I30" s="2"/>
      <c r="J30" s="2"/>
      <c r="K30" s="3" t="s">
        <v>7</v>
      </c>
      <c r="L30" s="3">
        <v>4.67</v>
      </c>
      <c r="M30" s="8">
        <v>0.023</v>
      </c>
      <c r="N30" s="2"/>
    </row>
    <row r="31">
      <c r="A31" s="3" t="s">
        <v>17</v>
      </c>
      <c r="B31" s="2">
        <f t="shared" ref="B31:D31" si="22">(0.01 * B6)</f>
        <v>27847760.58</v>
      </c>
      <c r="C31" s="2">
        <f t="shared" si="22"/>
        <v>28087666.4</v>
      </c>
      <c r="D31" s="2">
        <f t="shared" si="22"/>
        <v>28166402.05</v>
      </c>
      <c r="E31" s="2"/>
      <c r="F31" s="3" t="s">
        <v>17</v>
      </c>
      <c r="G31" s="2">
        <f t="shared" ref="G31:I31" si="23">(0.028 * G6)</f>
        <v>58130425.77</v>
      </c>
      <c r="H31" s="2">
        <f t="shared" si="23"/>
        <v>58562680.13</v>
      </c>
      <c r="I31" s="2">
        <f t="shared" si="23"/>
        <v>58642647.65</v>
      </c>
      <c r="J31" s="2"/>
      <c r="K31" s="3" t="s">
        <v>17</v>
      </c>
      <c r="L31" s="2">
        <f t="shared" ref="L31:N31" si="24">(0.023 * L6)</f>
        <v>10543975.6</v>
      </c>
      <c r="M31" s="2">
        <f t="shared" si="24"/>
        <v>10402069.99</v>
      </c>
      <c r="N31" s="2">
        <f t="shared" si="24"/>
        <v>10221327.43</v>
      </c>
    </row>
    <row r="32">
      <c r="A32" s="3" t="s">
        <v>9</v>
      </c>
      <c r="B32" s="3">
        <v>5.4</v>
      </c>
      <c r="C32" s="3">
        <v>6.97</v>
      </c>
      <c r="D32" s="3">
        <v>8.54</v>
      </c>
      <c r="E32" s="2"/>
      <c r="F32" s="3" t="s">
        <v>9</v>
      </c>
      <c r="G32" s="3">
        <v>5.3</v>
      </c>
      <c r="H32" s="3">
        <v>5.96</v>
      </c>
      <c r="I32" s="3">
        <v>6.62</v>
      </c>
      <c r="J32" s="2"/>
      <c r="K32" s="3" t="s">
        <v>9</v>
      </c>
      <c r="L32" s="3">
        <v>5.1</v>
      </c>
      <c r="M32" s="3">
        <v>5.79</v>
      </c>
      <c r="N32" s="3">
        <v>6.48</v>
      </c>
    </row>
    <row r="33">
      <c r="A33" s="3" t="s">
        <v>10</v>
      </c>
      <c r="B33" s="2">
        <f t="shared" ref="B33:D33" si="25">(B32/100 * B31)</f>
        <v>1503779.071</v>
      </c>
      <c r="C33" s="2">
        <f t="shared" si="25"/>
        <v>1957710.348</v>
      </c>
      <c r="D33" s="2">
        <f t="shared" si="25"/>
        <v>2405410.735</v>
      </c>
      <c r="E33" s="2"/>
      <c r="F33" s="3" t="s">
        <v>10</v>
      </c>
      <c r="G33" s="2">
        <f t="shared" ref="G33:I33" si="26">(G32/100 * G31)</f>
        <v>3080912.566</v>
      </c>
      <c r="H33" s="2">
        <f t="shared" si="26"/>
        <v>3490335.735</v>
      </c>
      <c r="I33" s="2">
        <f t="shared" si="26"/>
        <v>3882143.275</v>
      </c>
      <c r="J33" s="2"/>
      <c r="K33" s="3" t="s">
        <v>10</v>
      </c>
      <c r="L33" s="2">
        <f t="shared" ref="L33:N33" si="27">(L32/100 * L31)</f>
        <v>537742.7558</v>
      </c>
      <c r="M33" s="2">
        <f t="shared" si="27"/>
        <v>602279.8523</v>
      </c>
      <c r="N33" s="2">
        <f t="shared" si="27"/>
        <v>662342.0175</v>
      </c>
    </row>
    <row r="34">
      <c r="A34" s="3" t="s">
        <v>11</v>
      </c>
      <c r="B34" s="2">
        <f>(SUM(B33,C33,D33))</f>
        <v>5866900.155</v>
      </c>
      <c r="C34" s="2"/>
      <c r="D34" s="2"/>
      <c r="E34" s="2"/>
      <c r="F34" s="3" t="s">
        <v>11</v>
      </c>
      <c r="G34" s="2">
        <f>(SUM(G33,H33,I33))</f>
        <v>10453391.58</v>
      </c>
      <c r="H34" s="2"/>
      <c r="I34" s="2"/>
      <c r="J34" s="2"/>
      <c r="K34" s="3" t="s">
        <v>11</v>
      </c>
      <c r="L34" s="2">
        <f>(SUM(L33,M33,N33))</f>
        <v>1802364.626</v>
      </c>
      <c r="M34" s="2"/>
      <c r="N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>
      <c r="A36" s="3" t="s">
        <v>18</v>
      </c>
      <c r="B36" s="2"/>
      <c r="C36" s="2">
        <f>SUM(B13,G13,L13)</f>
        <v>54105317.84</v>
      </c>
      <c r="D36" s="2"/>
      <c r="E36" s="2"/>
      <c r="F36" s="3">
        <v>2018.0</v>
      </c>
      <c r="G36" s="3">
        <v>2019.0</v>
      </c>
      <c r="H36" s="3">
        <v>2020.0</v>
      </c>
      <c r="I36" s="2"/>
      <c r="J36" s="2"/>
      <c r="K36" s="2"/>
      <c r="L36" s="2"/>
      <c r="M36" s="2"/>
      <c r="N36" s="2"/>
    </row>
    <row r="37">
      <c r="A37" s="3" t="s">
        <v>19</v>
      </c>
      <c r="B37" s="2"/>
      <c r="C37" s="2">
        <f>SUM(B20,G20,L20)</f>
        <v>45792130.73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>
      <c r="A38" s="3" t="s">
        <v>20</v>
      </c>
      <c r="B38" s="2"/>
      <c r="C38" s="2">
        <f>SUM(B27,G27,L27)</f>
        <v>49670600.07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>
      <c r="A39" s="3" t="s">
        <v>21</v>
      </c>
      <c r="B39" s="2"/>
      <c r="C39" s="2">
        <f>SUM(B34,G34,L34)</f>
        <v>18122656.36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>
      <c r="A41" s="9" t="s">
        <v>22</v>
      </c>
      <c r="B41" s="10"/>
      <c r="C41" s="10">
        <f>SUM(B13,B20,B27,B34)</f>
        <v>80690378.06</v>
      </c>
    </row>
    <row r="42">
      <c r="A42" s="9" t="s">
        <v>23</v>
      </c>
      <c r="B42" s="10"/>
      <c r="C42" s="10">
        <f>SUM(G13,G20,G27,G34)</f>
        <v>73531585.56</v>
      </c>
    </row>
    <row r="43">
      <c r="A43" s="9" t="s">
        <v>24</v>
      </c>
      <c r="B43" s="10"/>
      <c r="C43" s="10">
        <f>SUM(L13,L20,L27,L34)</f>
        <v>13468741.38</v>
      </c>
    </row>
  </sheetData>
  <mergeCells count="15">
    <mergeCell ref="A22:D22"/>
    <mergeCell ref="K22:N22"/>
    <mergeCell ref="K29:N29"/>
    <mergeCell ref="A29:D29"/>
    <mergeCell ref="F29:I29"/>
    <mergeCell ref="F22:I22"/>
    <mergeCell ref="F15:I15"/>
    <mergeCell ref="K15:N15"/>
    <mergeCell ref="A1:D1"/>
    <mergeCell ref="F1:I1"/>
    <mergeCell ref="K1:N1"/>
    <mergeCell ref="A15:D15"/>
    <mergeCell ref="F8:I8"/>
    <mergeCell ref="K8:N8"/>
    <mergeCell ref="A8:D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