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875" tabRatio="1000" activeTab="16"/>
  </bookViews>
  <sheets>
    <sheet name="sheet1" sheetId="1" r:id="rId1"/>
    <sheet name="Sheet2" sheetId="2" r:id="rId2"/>
    <sheet name="Sheet3" sheetId="3" r:id="rId3"/>
    <sheet name="histogram" sheetId="4" r:id="rId4"/>
    <sheet name="piechart" sheetId="5" r:id="rId5"/>
    <sheet name="hypothesis" sheetId="6" r:id="rId6"/>
    <sheet name="5 no summary" sheetId="7" r:id="rId7"/>
    <sheet name="time series" sheetId="8" r:id="rId8"/>
    <sheet name="scatter diagram" sheetId="9" r:id="rId9"/>
    <sheet name="lessthan curve" sheetId="10" r:id="rId10"/>
    <sheet name="frequency curve" sheetId="11" r:id="rId11"/>
    <sheet name="rank" sheetId="12" r:id="rId12"/>
    <sheet name="regression" sheetId="13" r:id="rId13"/>
    <sheet name="sampling" sheetId="15" r:id="rId14"/>
    <sheet name="steam$leaf" sheetId="14" r:id="rId15"/>
    <sheet name="poisson" sheetId="16" r:id="rId16"/>
    <sheet name="estimation" sheetId="17" r:id="rId17"/>
    <sheet name="confidence limit" sheetId="18" r:id="rId18"/>
    <sheet name="estimat" sheetId="19" r:id="rId19"/>
    <sheet name="binomial distribution" sheetId="20" r:id="rId20"/>
    <sheet name="poisson dist" sheetId="21" r:id="rId21"/>
    <sheet name="normal distribution" sheetId="22" r:id="rId22"/>
    <sheet name="Hypothe 1" sheetId="23" r:id="rId23"/>
    <sheet name="Hypothesis 2" sheetId="24" r:id="rId24"/>
    <sheet name="Hypothesis 3" sheetId="25" r:id="rId25"/>
    <sheet name="hypothesis 4" sheetId="26" r:id="rId26"/>
    <sheet name="Sheet4" sheetId="27" r:id="rId27"/>
  </sheets>
  <calcPr calcId="144525"/>
</workbook>
</file>

<file path=xl/calcChain.xml><?xml version="1.0" encoding="utf-8"?>
<calcChain xmlns="http://schemas.openxmlformats.org/spreadsheetml/2006/main">
  <c r="B8" i="16" l="1"/>
  <c r="C7" i="16"/>
  <c r="N14" i="12" l="1"/>
  <c r="N13" i="12"/>
  <c r="J12" i="12"/>
  <c r="O16" i="13"/>
  <c r="O14" i="13"/>
  <c r="O13" i="13"/>
  <c r="G13" i="18"/>
  <c r="F13" i="18"/>
  <c r="G11" i="18"/>
  <c r="G9" i="18"/>
  <c r="H7" i="18"/>
  <c r="N14" i="17"/>
  <c r="N13" i="17"/>
  <c r="N11" i="17"/>
  <c r="N10" i="17"/>
  <c r="O7" i="17"/>
  <c r="N7" i="17"/>
  <c r="M7" i="17"/>
  <c r="O3" i="17"/>
  <c r="O4" i="17"/>
  <c r="O5" i="17"/>
  <c r="O6" i="17"/>
  <c r="O2" i="17"/>
  <c r="N3" i="17"/>
  <c r="N4" i="17"/>
  <c r="N5" i="17"/>
  <c r="N6" i="17"/>
  <c r="N2" i="17"/>
  <c r="I20" i="17"/>
  <c r="H15" i="17"/>
  <c r="H14" i="17"/>
  <c r="J12" i="17"/>
  <c r="H13" i="17"/>
  <c r="I11" i="17"/>
  <c r="I7" i="17"/>
  <c r="H7" i="17"/>
  <c r="I3" i="17"/>
  <c r="I4" i="17"/>
  <c r="I5" i="17"/>
  <c r="I6" i="17"/>
  <c r="I2" i="17"/>
  <c r="H3" i="17"/>
  <c r="H4" i="17"/>
  <c r="H5" i="17"/>
  <c r="H6" i="17"/>
  <c r="H2" i="17"/>
  <c r="C14" i="17" l="1"/>
  <c r="C15" i="17" s="1"/>
  <c r="B15" i="12"/>
  <c r="D4" i="12"/>
  <c r="C8" i="12"/>
  <c r="E8" i="12" s="1"/>
  <c r="F8" i="12" s="1"/>
  <c r="C7" i="12"/>
  <c r="E7" i="12" s="1"/>
  <c r="F7" i="12" s="1"/>
  <c r="C6" i="12"/>
  <c r="E6" i="12" s="1"/>
  <c r="F6" i="12" s="1"/>
  <c r="C5" i="12"/>
  <c r="E5" i="12" s="1"/>
  <c r="F5" i="12" s="1"/>
  <c r="C4" i="12"/>
  <c r="E4" i="12" s="1"/>
  <c r="F4" i="12" s="1"/>
  <c r="B13" i="12" s="1"/>
  <c r="B14" i="12" s="1"/>
  <c r="E17" i="12" s="1"/>
  <c r="I18" i="26"/>
  <c r="G19" i="26" s="1"/>
  <c r="C22" i="25"/>
  <c r="D26" i="25" s="1"/>
  <c r="C20" i="25"/>
  <c r="D11" i="23"/>
  <c r="I17" i="23" s="1"/>
  <c r="D16" i="22"/>
  <c r="E14" i="22"/>
  <c r="D10" i="22" s="1"/>
  <c r="C8" i="22"/>
  <c r="B7" i="22"/>
  <c r="F15" i="21"/>
  <c r="F6" i="21"/>
  <c r="C7" i="21"/>
  <c r="C7" i="20"/>
  <c r="C6" i="20"/>
  <c r="B10" i="20" s="1"/>
  <c r="C11" i="19"/>
  <c r="C9" i="19"/>
  <c r="C12" i="19" s="1"/>
  <c r="B10" i="18"/>
  <c r="B11" i="18" s="1"/>
  <c r="B17" i="17"/>
  <c r="D3" i="17"/>
  <c r="D4" i="17"/>
  <c r="D7" i="17" s="1"/>
  <c r="D5" i="17"/>
  <c r="D6" i="17"/>
  <c r="D2" i="17"/>
  <c r="C3" i="17"/>
  <c r="C4" i="17"/>
  <c r="C5" i="17"/>
  <c r="C6" i="17"/>
  <c r="C2" i="17"/>
  <c r="C7" i="17" s="1"/>
  <c r="B11" i="16"/>
  <c r="D6" i="16" s="1"/>
  <c r="E6" i="16" s="1"/>
  <c r="C3" i="16"/>
  <c r="C4" i="16"/>
  <c r="C5" i="16"/>
  <c r="C6" i="16"/>
  <c r="C2" i="16"/>
  <c r="C8" i="16" s="1"/>
  <c r="J17" i="15"/>
  <c r="H14" i="15"/>
  <c r="C11" i="15" s="1"/>
  <c r="I4" i="15" s="1"/>
  <c r="C10" i="15"/>
  <c r="D13" i="15" s="1"/>
  <c r="C9" i="15"/>
  <c r="B8" i="15"/>
  <c r="L1" i="15" s="1"/>
  <c r="D11" i="14"/>
  <c r="D12" i="14"/>
  <c r="D13" i="14"/>
  <c r="D14" i="14"/>
  <c r="D10" i="14"/>
  <c r="D4" i="14"/>
  <c r="D3" i="14"/>
  <c r="D3" i="16" l="1"/>
  <c r="E3" i="16" s="1"/>
  <c r="D5" i="16"/>
  <c r="E5" i="16" s="1"/>
  <c r="F9" i="20"/>
  <c r="D15" i="20" s="1"/>
  <c r="F13" i="20"/>
  <c r="B11" i="20"/>
  <c r="I16" i="23"/>
  <c r="B19" i="26"/>
  <c r="H21" i="26" s="1"/>
  <c r="D2" i="16"/>
  <c r="E2" i="16" s="1"/>
  <c r="D4" i="16"/>
  <c r="E4" i="16" s="1"/>
  <c r="F8" i="20"/>
  <c r="F7" i="20" s="1"/>
  <c r="F10" i="20"/>
  <c r="E13" i="23"/>
  <c r="O16" i="23" s="1"/>
  <c r="F8" i="10"/>
  <c r="F7" i="10" s="1"/>
  <c r="F6" i="10" s="1"/>
  <c r="F5" i="10" s="1"/>
  <c r="F4" i="10" s="1"/>
  <c r="D5" i="10"/>
  <c r="D6" i="10" s="1"/>
  <c r="D7" i="10" s="1"/>
  <c r="D8" i="10" s="1"/>
  <c r="D4" i="10"/>
  <c r="Q13" i="9"/>
  <c r="E9" i="7"/>
  <c r="E8" i="7"/>
  <c r="E7" i="7"/>
  <c r="E6" i="7"/>
  <c r="E5" i="7"/>
  <c r="G20" i="4"/>
  <c r="G19" i="4" s="1"/>
  <c r="F19" i="6"/>
  <c r="E15" i="6"/>
  <c r="B12" i="4"/>
  <c r="C17" i="4" s="1"/>
  <c r="C16" i="4" s="1"/>
  <c r="L3" i="4"/>
  <c r="L4" i="4" s="1"/>
  <c r="L5" i="4" s="1"/>
  <c r="L6" i="4" s="1"/>
  <c r="L7" i="4" s="1"/>
  <c r="L8" i="4" s="1"/>
  <c r="L2" i="4"/>
  <c r="J4" i="4"/>
  <c r="J6" i="4"/>
  <c r="J8" i="4"/>
  <c r="I3" i="4"/>
  <c r="J3" i="4" s="1"/>
  <c r="I4" i="4"/>
  <c r="K4" i="4" s="1"/>
  <c r="I5" i="4"/>
  <c r="J5" i="4" s="1"/>
  <c r="I6" i="4"/>
  <c r="K6" i="4" s="1"/>
  <c r="I7" i="4"/>
  <c r="J7" i="4" s="1"/>
  <c r="I8" i="4"/>
  <c r="K8" i="4" s="1"/>
  <c r="I2" i="4"/>
  <c r="J2" i="4" s="1"/>
  <c r="B13" i="4" s="1"/>
  <c r="G15" i="4" s="1"/>
  <c r="H11" i="3"/>
  <c r="B9" i="3"/>
  <c r="P4" i="3" s="1"/>
  <c r="P3" i="3" s="1"/>
  <c r="H3" i="3"/>
  <c r="H4" i="3" s="1"/>
  <c r="H5" i="3" s="1"/>
  <c r="H6" i="3" s="1"/>
  <c r="H7" i="3" s="1"/>
  <c r="H2" i="3"/>
  <c r="E3" i="3"/>
  <c r="E4" i="3"/>
  <c r="E5" i="3"/>
  <c r="E6" i="3"/>
  <c r="E7" i="3"/>
  <c r="E2" i="3"/>
  <c r="D20" i="2"/>
  <c r="D26" i="1"/>
  <c r="F24" i="1"/>
  <c r="B23" i="1"/>
  <c r="B22" i="1"/>
  <c r="B21" i="1"/>
  <c r="B20" i="1"/>
  <c r="B8" i="2"/>
  <c r="J12" i="2" s="1"/>
  <c r="D4" i="2"/>
  <c r="D6" i="2"/>
  <c r="C3" i="2"/>
  <c r="D3" i="2" s="1"/>
  <c r="C4" i="2"/>
  <c r="C5" i="2"/>
  <c r="D5" i="2" s="1"/>
  <c r="C6" i="2"/>
  <c r="C2" i="2"/>
  <c r="B9" i="2" s="1"/>
  <c r="C12" i="2" s="1"/>
  <c r="B19" i="1"/>
  <c r="B18" i="1"/>
  <c r="C15" i="1"/>
  <c r="B17" i="1" s="1"/>
  <c r="B14" i="1"/>
  <c r="B13" i="1"/>
  <c r="B10" i="1"/>
  <c r="G2" i="3" l="1"/>
  <c r="G4" i="3"/>
  <c r="D13" i="2"/>
  <c r="D19" i="2" s="1"/>
  <c r="J9" i="2"/>
  <c r="J11" i="2"/>
  <c r="F7" i="3"/>
  <c r="G7" i="3" s="1"/>
  <c r="F5" i="3"/>
  <c r="G5" i="3" s="1"/>
  <c r="F3" i="3"/>
  <c r="G3" i="3" s="1"/>
  <c r="C15" i="3"/>
  <c r="D14" i="3" s="1"/>
  <c r="P13" i="3"/>
  <c r="P12" i="3" s="1"/>
  <c r="K2" i="4"/>
  <c r="K7" i="4"/>
  <c r="K5" i="4"/>
  <c r="K3" i="4"/>
  <c r="K20" i="4"/>
  <c r="K19" i="4" s="1"/>
  <c r="P20" i="4"/>
  <c r="P19" i="4" s="1"/>
  <c r="S20" i="4"/>
  <c r="T19" i="4" s="1"/>
  <c r="D2" i="2"/>
  <c r="B10" i="2" s="1"/>
  <c r="C17" i="2" s="1"/>
  <c r="C18" i="2" s="1"/>
  <c r="J10" i="2"/>
  <c r="F2" i="3"/>
  <c r="F6" i="3"/>
  <c r="G6" i="3" s="1"/>
  <c r="F4" i="3"/>
  <c r="K12" i="3"/>
  <c r="K11" i="3" s="1"/>
  <c r="K4" i="3"/>
  <c r="L3" i="3" s="1"/>
  <c r="C17" i="20"/>
  <c r="L16" i="4" l="1"/>
  <c r="B14" i="4"/>
  <c r="G16" i="4" s="1"/>
  <c r="F17" i="4" s="1"/>
  <c r="B11" i="3"/>
  <c r="C22" i="3" s="1"/>
  <c r="B23" i="3" s="1"/>
  <c r="L19" i="3"/>
  <c r="H21" i="3"/>
  <c r="B10" i="3"/>
  <c r="B13" i="3" s="1"/>
  <c r="H19" i="3" l="1"/>
  <c r="G13" i="4"/>
  <c r="L13" i="4"/>
</calcChain>
</file>

<file path=xl/sharedStrings.xml><?xml version="1.0" encoding="utf-8"?>
<sst xmlns="http://schemas.openxmlformats.org/spreadsheetml/2006/main" count="798" uniqueCount="594">
  <si>
    <t>X</t>
  </si>
  <si>
    <t>N=</t>
  </si>
  <si>
    <t>∑X=</t>
  </si>
  <si>
    <t>Mean=</t>
  </si>
  <si>
    <t>median=</t>
  </si>
  <si>
    <t>standard deviation=</t>
  </si>
  <si>
    <t>mode=</t>
  </si>
  <si>
    <t>Variance=</t>
  </si>
  <si>
    <t>skewness=</t>
  </si>
  <si>
    <t>kurtosis=</t>
  </si>
  <si>
    <t>Average(A2:A6)</t>
  </si>
  <si>
    <t>Median(A2:A6)</t>
  </si>
  <si>
    <t>Stdeva(A2:A6)</t>
  </si>
  <si>
    <t>16.35543^2</t>
  </si>
  <si>
    <t>Skew(A2:A6)</t>
  </si>
  <si>
    <t>Kurt(A2:A6)</t>
  </si>
  <si>
    <t>F</t>
  </si>
  <si>
    <t>FX</t>
  </si>
  <si>
    <r>
      <t>FX</t>
    </r>
    <r>
      <rPr>
        <vertAlign val="superscript"/>
        <sz val="11"/>
        <color theme="1"/>
        <rFont val="Calibri"/>
        <family val="2"/>
        <scheme val="minor"/>
      </rPr>
      <t>2</t>
    </r>
  </si>
  <si>
    <t>Note:</t>
  </si>
  <si>
    <t>Fx=</t>
  </si>
  <si>
    <t>sumproduct(A3,B3)</t>
  </si>
  <si>
    <r>
      <t>Fx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</si>
  <si>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sumproduct(A3,C3)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</si>
  <si>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</si>
  <si>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 xml:space="preserve">click home and click arrow right to font then click super script and finally ok </t>
  </si>
  <si>
    <t>after this again remove superscript</t>
  </si>
  <si>
    <t>∑fx=</t>
  </si>
  <si>
    <r>
      <rPr>
        <sz val="11"/>
        <color theme="1"/>
        <rFont val="Calibri"/>
        <family val="2"/>
      </rPr>
      <t>∑fx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=</t>
    </r>
  </si>
  <si>
    <r>
      <t>Mean=</t>
    </r>
    <r>
      <rPr>
        <sz val="11"/>
        <color theme="1"/>
        <rFont val="Calibri"/>
        <family val="2"/>
      </rPr>
      <t>∑fx/N</t>
    </r>
  </si>
  <si>
    <t>median=(N+1)/2th item=</t>
  </si>
  <si>
    <t>cf</t>
  </si>
  <si>
    <t>therefore median =7</t>
  </si>
  <si>
    <t>Mode=highest frequency is 17 whose corresponding value is 11</t>
  </si>
  <si>
    <t>therefore mode=11</t>
  </si>
  <si>
    <t>skewness=3*(mean-median)/ⱷ=</t>
  </si>
  <si>
    <t>Q1=</t>
  </si>
  <si>
    <t>Q2=</t>
  </si>
  <si>
    <t>Q3=</t>
  </si>
  <si>
    <t>quartile(A2:A6,1)</t>
  </si>
  <si>
    <t>P10=</t>
  </si>
  <si>
    <t>D10=10*(n+1)/10 th item=10*(5+1)/10 th item</t>
  </si>
  <si>
    <t>the value of decile cannot be obtained because there is no 6th item</t>
  </si>
  <si>
    <t>D5=5*(n+1)/10 th item=</t>
  </si>
  <si>
    <t>D5=50</t>
  </si>
  <si>
    <t>kurtosis=1/2*(Q3-Q1/P90-P10)=</t>
  </si>
  <si>
    <t>Q1=(n+1)/4 th item =</t>
  </si>
  <si>
    <t>Q3=3*(n+1)/4 th item=</t>
  </si>
  <si>
    <t>P90=90*(n+1)/100 th item=</t>
  </si>
  <si>
    <t>P10=10*(n+1)/100 th item=</t>
  </si>
  <si>
    <t>P90=</t>
  </si>
  <si>
    <t>Marks</t>
  </si>
  <si>
    <t>0-10</t>
  </si>
  <si>
    <t>10-20'</t>
  </si>
  <si>
    <t>20-30</t>
  </si>
  <si>
    <t>30-40</t>
  </si>
  <si>
    <t>40-50</t>
  </si>
  <si>
    <t>50-60</t>
  </si>
  <si>
    <t>f</t>
  </si>
  <si>
    <t>mid value(x)</t>
  </si>
  <si>
    <t>Lcb</t>
  </si>
  <si>
    <t>Ucb</t>
  </si>
  <si>
    <t>fx</t>
  </si>
  <si>
    <r>
      <t>fx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</si>
  <si>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∑fx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=</t>
    </r>
  </si>
  <si>
    <t>mean=</t>
  </si>
  <si>
    <t>median=l+(N/2-cf)*i/f=</t>
  </si>
  <si>
    <t>size of N/2 th item=</t>
  </si>
  <si>
    <t>median class is 20-30</t>
  </si>
  <si>
    <t>l=</t>
  </si>
  <si>
    <t>cf=</t>
  </si>
  <si>
    <t>f=</t>
  </si>
  <si>
    <t>i=</t>
  </si>
  <si>
    <t>calculation of mode</t>
  </si>
  <si>
    <t>f1=</t>
  </si>
  <si>
    <t>f2=</t>
  </si>
  <si>
    <t>f0=</t>
  </si>
  <si>
    <t>mode class is 20-30</t>
  </si>
  <si>
    <t>h=</t>
  </si>
  <si>
    <t>Mode=l+(f1-f0)*h/(2f1-f0-f2)=</t>
  </si>
  <si>
    <t>calculation of Q1</t>
  </si>
  <si>
    <t>Q1=l+(N/4-cf)*i/f=</t>
  </si>
  <si>
    <t>size of N/4th item=</t>
  </si>
  <si>
    <t>Q1 class is 10-20</t>
  </si>
  <si>
    <t>calculation of Q3</t>
  </si>
  <si>
    <t>size of 3*N/4=</t>
  </si>
  <si>
    <t>Q3 class is 30-40</t>
  </si>
  <si>
    <t>Q3=l+(3*N/4-cf)*i/f=</t>
  </si>
  <si>
    <t>calculation of p90</t>
  </si>
  <si>
    <t>class</t>
  </si>
  <si>
    <t>60-80</t>
  </si>
  <si>
    <t>80-100</t>
  </si>
  <si>
    <t>100-120</t>
  </si>
  <si>
    <t>120-140</t>
  </si>
  <si>
    <t>140-160</t>
  </si>
  <si>
    <t>160-180</t>
  </si>
  <si>
    <t>180-200</t>
  </si>
  <si>
    <t>frequency(f)</t>
  </si>
  <si>
    <t>Bin range</t>
  </si>
  <si>
    <t>Bin</t>
  </si>
  <si>
    <t>More</t>
  </si>
  <si>
    <t>Frequency</t>
  </si>
  <si>
    <t>Items</t>
  </si>
  <si>
    <t>Food</t>
  </si>
  <si>
    <t>Rent</t>
  </si>
  <si>
    <t>Cloths</t>
  </si>
  <si>
    <t>Education</t>
  </si>
  <si>
    <t>Energy</t>
  </si>
  <si>
    <t>Misc.</t>
  </si>
  <si>
    <t>Expenditure per month(in Rs)</t>
  </si>
  <si>
    <t>P90=l+(90*N/100-cf)*i/f=</t>
  </si>
  <si>
    <t>p90 class is 40-50</t>
  </si>
  <si>
    <t>calculation of P10</t>
  </si>
  <si>
    <t>P10=l+(10*N/100-cf)*i/f=</t>
  </si>
  <si>
    <t>size of 90*N/100 th item=</t>
  </si>
  <si>
    <t>size of 10*N/100=</t>
  </si>
  <si>
    <t>P10 class is 0-10</t>
  </si>
  <si>
    <t>ⱷ=</t>
  </si>
  <si>
    <r>
      <t>skewness= 3*(mean-median)/</t>
    </r>
    <r>
      <rPr>
        <sz val="11"/>
        <color theme="1"/>
        <rFont val="Calibri"/>
        <family val="2"/>
      </rPr>
      <t>ⱷ=</t>
    </r>
  </si>
  <si>
    <t>Kurtosis=1/2*(Q3-Q1/P90-P10)=</t>
  </si>
  <si>
    <t>Midvalue(x)</t>
  </si>
  <si>
    <t>median class is 120-140</t>
  </si>
  <si>
    <t>a)</t>
  </si>
  <si>
    <t>b)</t>
  </si>
  <si>
    <r>
      <t>mean=</t>
    </r>
    <r>
      <rPr>
        <sz val="11"/>
        <color theme="1"/>
        <rFont val="Calibri"/>
        <family val="2"/>
      </rPr>
      <t>∑fx/N=</t>
    </r>
  </si>
  <si>
    <t>c)</t>
  </si>
  <si>
    <t>d)</t>
  </si>
  <si>
    <t>kurtosis(k)=</t>
  </si>
  <si>
    <t>1/2*(Q3-Q1/P90-P10)=</t>
  </si>
  <si>
    <t>sqrt means square root</t>
  </si>
  <si>
    <t>Q.no 2)</t>
  </si>
  <si>
    <t>Given;</t>
  </si>
  <si>
    <r>
      <t>Mean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</si>
  <si>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r>
      <t>Mean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</si>
  <si>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</si>
  <si>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</si>
  <si>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Now,</t>
  </si>
  <si>
    <t>step:1</t>
  </si>
  <si>
    <t>setting hypothesis</t>
  </si>
  <si>
    <r>
      <t>a)Null hypothesis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:Mean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=mean</t>
    </r>
    <r>
      <rPr>
        <vertAlign val="subscript"/>
        <sz val="11"/>
        <color theme="1"/>
        <rFont val="Calibri"/>
        <family val="2"/>
        <scheme val="minor"/>
      </rPr>
      <t>2</t>
    </r>
  </si>
  <si>
    <r>
      <t>b)Alternative hypothesis H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:Mean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</rPr>
      <t>‹ Mean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 (left tailed test)</t>
    </r>
  </si>
  <si>
    <t>step:2</t>
  </si>
  <si>
    <t xml:space="preserve">level of significance </t>
  </si>
  <si>
    <t>level of significance is not given we take it as  ᾳ=0.05</t>
  </si>
  <si>
    <t>step:3</t>
  </si>
  <si>
    <t>Test statistics</t>
  </si>
  <si>
    <r>
      <t>Z= (Mean1-mean2)/</t>
    </r>
    <r>
      <rPr>
        <sz val="11"/>
        <color theme="1"/>
        <rFont val="Calibri"/>
        <family val="2"/>
      </rPr>
      <t>ⱷ*sqrt(1/n1+1/n2)=</t>
    </r>
  </si>
  <si>
    <r>
      <t>Z</t>
    </r>
    <r>
      <rPr>
        <vertAlign val="subscript"/>
        <sz val="11"/>
        <color theme="1"/>
        <rFont val="Calibri"/>
        <family val="2"/>
        <scheme val="minor"/>
      </rPr>
      <t>cal</t>
    </r>
    <r>
      <rPr>
        <sz val="11"/>
        <color theme="1"/>
        <rFont val="Calibri"/>
        <family val="2"/>
        <scheme val="minor"/>
      </rPr>
      <t>=</t>
    </r>
  </si>
  <si>
    <t>step:4</t>
  </si>
  <si>
    <t>critical value</t>
  </si>
  <si>
    <r>
      <t xml:space="preserve">Tabulated value of Z at </t>
    </r>
    <r>
      <rPr>
        <sz val="11"/>
        <color theme="1"/>
        <rFont val="Calibri"/>
        <family val="2"/>
      </rPr>
      <t>ᾳ=0.05 is (=normsdist(0.05))</t>
    </r>
  </si>
  <si>
    <r>
      <t>Z</t>
    </r>
    <r>
      <rPr>
        <vertAlign val="subscript"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>=</t>
    </r>
  </si>
  <si>
    <t>step:5</t>
  </si>
  <si>
    <t>Decision</t>
  </si>
  <si>
    <r>
      <t xml:space="preserve">Zcal </t>
    </r>
    <r>
      <rPr>
        <sz val="11"/>
        <color theme="1"/>
        <rFont val="Calibri"/>
        <family val="2"/>
      </rPr>
      <t>‹ Ztab  So, H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is not rejected</t>
    </r>
  </si>
  <si>
    <t>Management student are not taller than economics student</t>
  </si>
  <si>
    <t>∑x=30</t>
  </si>
  <si>
    <t>∑fx=3640</t>
  </si>
  <si>
    <t>∑fx^2=476600</t>
  </si>
  <si>
    <t>size of N/4 th item=</t>
  </si>
  <si>
    <t>Q1 class is 80-100</t>
  </si>
  <si>
    <t>size of 3*N/4 th item=</t>
  </si>
  <si>
    <t>Q3 class is 140-160</t>
  </si>
  <si>
    <t>size of P10=10*N/100 th item=</t>
  </si>
  <si>
    <t>P10 class is 80-100</t>
  </si>
  <si>
    <t>size of P90=90*N/100=</t>
  </si>
  <si>
    <t>P90 class is 140-160</t>
  </si>
  <si>
    <t>∑x=130</t>
  </si>
  <si>
    <t>N=54</t>
  </si>
  <si>
    <t>∑fx=442</t>
  </si>
  <si>
    <t>∑fx^2=3966</t>
  </si>
  <si>
    <t>5  number summary</t>
  </si>
  <si>
    <t>Min=</t>
  </si>
  <si>
    <t>Max=</t>
  </si>
  <si>
    <t>Median=</t>
  </si>
  <si>
    <t>select data</t>
  </si>
  <si>
    <t>x</t>
  </si>
  <si>
    <t>Step:</t>
  </si>
  <si>
    <t>find out 5 number summary in order</t>
  </si>
  <si>
    <t>select 5 number summary i.e; c and d column</t>
  </si>
  <si>
    <t>click insert and line</t>
  </si>
  <si>
    <t>select line with markers</t>
  </si>
  <si>
    <t>select design</t>
  </si>
  <si>
    <t>select switch row/column</t>
  </si>
  <si>
    <t>Go to layout lines or analysis</t>
  </si>
  <si>
    <t>select high low lines</t>
  </si>
  <si>
    <t>then select up down bars</t>
  </si>
  <si>
    <t>right click mouse</t>
  </si>
  <si>
    <t>click format up bars</t>
  </si>
  <si>
    <t>select no fill</t>
  </si>
  <si>
    <t>select axis title</t>
  </si>
  <si>
    <t>in chart title "box and whisker plot:</t>
  </si>
  <si>
    <t>This means if distance is equal from median=symmetrical</t>
  </si>
  <si>
    <t>more than it= positive skewness</t>
  </si>
  <si>
    <t>towards min = negative skewness</t>
  </si>
  <si>
    <t>R^2=</t>
  </si>
  <si>
    <t>r=</t>
  </si>
  <si>
    <t>step:</t>
  </si>
  <si>
    <t>write data</t>
  </si>
  <si>
    <t>click insert</t>
  </si>
  <si>
    <t>select scatter</t>
  </si>
  <si>
    <t>scatter with only marker</t>
  </si>
  <si>
    <t>Go to chart layout</t>
  </si>
  <si>
    <t>select layout that contain( fx)</t>
  </si>
  <si>
    <t>select y-axis click on any no.</t>
  </si>
  <si>
    <t>box will appear and double click box</t>
  </si>
  <si>
    <t>you will get regression equation of y on x</t>
  </si>
  <si>
    <t>more than and less than ogive curve</t>
  </si>
  <si>
    <t>age</t>
  </si>
  <si>
    <t>0-20</t>
  </si>
  <si>
    <t>20-40</t>
  </si>
  <si>
    <t>40-60</t>
  </si>
  <si>
    <t>less than</t>
  </si>
  <si>
    <t>more than</t>
  </si>
  <si>
    <t>select less than &amp; f</t>
  </si>
  <si>
    <t>click line</t>
  </si>
  <si>
    <t>click line with markers</t>
  </si>
  <si>
    <t>click any no. of y-axis</t>
  </si>
  <si>
    <t>double click y-axis box</t>
  </si>
  <si>
    <t>select layout</t>
  </si>
  <si>
    <t>select data label</t>
  </si>
  <si>
    <t>click above</t>
  </si>
  <si>
    <t>select less than ogive curve and fill black colour</t>
  </si>
  <si>
    <t>for axes</t>
  </si>
  <si>
    <t>double click on box white space</t>
  </si>
  <si>
    <t>click chart layout</t>
  </si>
  <si>
    <t>click chart which has both axes</t>
  </si>
  <si>
    <t>bin range</t>
  </si>
  <si>
    <t>select class and frequency</t>
  </si>
  <si>
    <t>go to insert</t>
  </si>
  <si>
    <t>go to column</t>
  </si>
  <si>
    <t>select any column</t>
  </si>
  <si>
    <t>click on histogram chart</t>
  </si>
  <si>
    <t xml:space="preserve">right click </t>
  </si>
  <si>
    <t>click format data series</t>
  </si>
  <si>
    <t xml:space="preserve">remove all gap </t>
  </si>
  <si>
    <t>click fill</t>
  </si>
  <si>
    <t>then colid fill</t>
  </si>
  <si>
    <t>select black colour</t>
  </si>
  <si>
    <t>select picture or text fill</t>
  </si>
  <si>
    <t>select insert</t>
  </si>
  <si>
    <t>click shapes</t>
  </si>
  <si>
    <t>select</t>
  </si>
  <si>
    <t>put at mid point and click without leaving trace</t>
  </si>
  <si>
    <t>hence, it is positive skewness because it is near to minimum</t>
  </si>
  <si>
    <t>select item and expenditure</t>
  </si>
  <si>
    <t>Go to pie chart</t>
  </si>
  <si>
    <t>Go to design</t>
  </si>
  <si>
    <t>select 3D pie</t>
  </si>
  <si>
    <t>select = / = pie chart in chart layouts</t>
  </si>
  <si>
    <t xml:space="preserve">Go to format </t>
  </si>
  <si>
    <t>select shape fill</t>
  </si>
  <si>
    <t>select fill</t>
  </si>
  <si>
    <t>select picture or texture fill</t>
  </si>
  <si>
    <t>Rank correlation</t>
  </si>
  <si>
    <t>Y</t>
  </si>
  <si>
    <t>R1</t>
  </si>
  <si>
    <t>R2</t>
  </si>
  <si>
    <t>d=R1-R2</t>
  </si>
  <si>
    <t>d^2</t>
  </si>
  <si>
    <t>∑d^2=</t>
  </si>
  <si>
    <r>
      <t>6*</t>
    </r>
    <r>
      <rPr>
        <sz val="11"/>
        <color theme="1"/>
        <rFont val="Calibri"/>
        <family val="2"/>
      </rPr>
      <t>∑d^2=</t>
    </r>
  </si>
  <si>
    <t>n*(n^2-1)=</t>
  </si>
  <si>
    <r>
      <t>Rank correlation=1-((6*</t>
    </r>
    <r>
      <rPr>
        <sz val="11"/>
        <color theme="1"/>
        <rFont val="Calibri"/>
        <family val="2"/>
      </rPr>
      <t>∑d^2/n*(n^2-1)))=</t>
    </r>
  </si>
  <si>
    <t>OR</t>
  </si>
  <si>
    <t>R1=Rank then click( fx) then fill the box</t>
  </si>
  <si>
    <t>R^2=coefficient of determination</t>
  </si>
  <si>
    <t>r=correlation</t>
  </si>
  <si>
    <t>marks( p)</t>
  </si>
  <si>
    <t>marks(q)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</si>
  <si>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</si>
  <si>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</si>
  <si>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</si>
  <si>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</si>
  <si>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</si>
  <si>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</si>
  <si>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</si>
  <si>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</si>
  <si>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</si>
  <si>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</si>
  <si>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</si>
  <si>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</si>
  <si>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</si>
  <si>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</si>
  <si>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</si>
  <si>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</si>
  <si>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</si>
  <si>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</si>
  <si>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</si>
  <si>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</si>
  <si>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</si>
  <si>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</si>
  <si>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</si>
  <si>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</si>
  <si>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</si>
  <si>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</si>
  <si>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</si>
  <si>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</si>
  <si>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click data</t>
  </si>
  <si>
    <t>click data analysis</t>
  </si>
  <si>
    <t>regression(double click)</t>
  </si>
  <si>
    <t>fill the table</t>
  </si>
  <si>
    <t>click residual</t>
  </si>
  <si>
    <t>click residual plots</t>
  </si>
  <si>
    <t>click normal probability plots</t>
  </si>
  <si>
    <t>only required following data:</t>
  </si>
  <si>
    <t>intercept(a)=</t>
  </si>
  <si>
    <t>observation(n)=</t>
  </si>
  <si>
    <t>x variable=</t>
  </si>
  <si>
    <t>now, regression equation of y on x is</t>
  </si>
  <si>
    <t>Y=ax+b= 5.75x+b</t>
  </si>
  <si>
    <t>min=</t>
  </si>
  <si>
    <t>max=</t>
  </si>
  <si>
    <t>steam</t>
  </si>
  <si>
    <t>leaf</t>
  </si>
  <si>
    <t>leaf=rept("0",countif($A$1:$A$20,C10*10+0))&amp;rept("1",countif($A$1:$A$20,C10*10+1))&amp;rept("2",countif($A$1:$A$20,C10*10+2))&amp;rept("3",countif($A$1:$A$20,C10*10+3))&amp;rept("4",countif($A$1:$A$20,C10*10+4))&amp;rept("5",countif($A$1:$A$20,C10*10+5))&amp;rept("6",countif($A$1:$A$20,C10*10+6))&amp;rept("7",countif($A$1:$A$20,C10*10+7))&amp;rept("8",countif($A$1:$A$20,C10*10+8))&amp;rept("9",countif($A$1:$A$20,C10*10+9))</t>
  </si>
  <si>
    <t>rept same formula 9 times because the last no of max is 9 and repalce with 1-9 where there is 0 in each part and click enter</t>
  </si>
  <si>
    <t>owner</t>
  </si>
  <si>
    <t>Ritu</t>
  </si>
  <si>
    <t>Suman</t>
  </si>
  <si>
    <t>Geeta</t>
  </si>
  <si>
    <t>Rohan</t>
  </si>
  <si>
    <t>Suji</t>
  </si>
  <si>
    <t>(population mean)</t>
  </si>
  <si>
    <t>σ=stdeva(B3:B6)=</t>
  </si>
  <si>
    <t>µ=average(B3:B6)=</t>
  </si>
  <si>
    <t>(population size)</t>
  </si>
  <si>
    <t>Given</t>
  </si>
  <si>
    <t>No of sampling without replacement C(5,2)=combin(5,2)=</t>
  </si>
  <si>
    <t>sample</t>
  </si>
  <si>
    <t>(3,5)</t>
  </si>
  <si>
    <t>(3,8)</t>
  </si>
  <si>
    <t>(3,10)</t>
  </si>
  <si>
    <t>(3,14)</t>
  </si>
  <si>
    <t>(5,8)</t>
  </si>
  <si>
    <t>(5,10)</t>
  </si>
  <si>
    <t>(5,14)</t>
  </si>
  <si>
    <t>(8,10)</t>
  </si>
  <si>
    <t>(8,14)</t>
  </si>
  <si>
    <t>(10,14)</t>
  </si>
  <si>
    <t>Xbar</t>
  </si>
  <si>
    <t>sum</t>
  </si>
  <si>
    <t>n=</t>
  </si>
  <si>
    <r>
      <t>SE=</t>
    </r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Xbar</t>
    </r>
    <r>
      <rPr>
        <sz val="11"/>
        <color theme="1"/>
        <rFont val="Calibri"/>
        <family val="2"/>
      </rPr>
      <t>= ∑(Xbar-µ)^2/n=</t>
    </r>
  </si>
  <si>
    <r>
      <t>SE=</t>
    </r>
    <r>
      <rPr>
        <sz val="11"/>
        <color theme="1"/>
        <rFont val="Calibri"/>
        <family val="2"/>
      </rPr>
      <t>σ/sqrta(n)*sqrt((N-n)/(N-1))=</t>
    </r>
  </si>
  <si>
    <t>n=sample size=</t>
  </si>
  <si>
    <t>popn SE</t>
  </si>
  <si>
    <t>(sample mean SE)</t>
  </si>
  <si>
    <r>
      <t>µ</t>
    </r>
    <r>
      <rPr>
        <vertAlign val="subscript"/>
        <sz val="11"/>
        <color theme="1"/>
        <rFont val="Calibri"/>
        <family val="2"/>
      </rPr>
      <t>Xbar</t>
    </r>
    <r>
      <rPr>
        <sz val="11"/>
        <color theme="1"/>
        <rFont val="Calibri"/>
        <family val="2"/>
      </rPr>
      <t>=∑Xbar/n(=10)=</t>
    </r>
  </si>
  <si>
    <r>
      <t xml:space="preserve">(Xbar - </t>
    </r>
    <r>
      <rPr>
        <sz val="11"/>
        <color theme="1"/>
        <rFont val="Calibri"/>
        <family val="2"/>
      </rPr>
      <t>µ</t>
    </r>
    <r>
      <rPr>
        <vertAlign val="subscript"/>
        <sz val="11"/>
        <color theme="1"/>
        <rFont val="Calibri"/>
        <family val="2"/>
      </rPr>
      <t>Xbar</t>
    </r>
    <r>
      <rPr>
        <sz val="11"/>
        <color theme="1"/>
        <rFont val="Calibri"/>
        <family val="2"/>
      </rPr>
      <t>)^2</t>
    </r>
  </si>
  <si>
    <r>
      <t xml:space="preserve">SE or </t>
    </r>
    <r>
      <rPr>
        <sz val="11"/>
        <color theme="1"/>
        <rFont val="Calibri"/>
        <family val="2"/>
      </rPr>
      <t>σ (same in sample)</t>
    </r>
  </si>
  <si>
    <r>
      <t>SE=</t>
    </r>
    <r>
      <rPr>
        <sz val="11"/>
        <color theme="1"/>
        <rFont val="Calibri"/>
        <family val="2"/>
      </rPr>
      <t>σ/sqrt(n)</t>
    </r>
  </si>
  <si>
    <t>NO.of accidents(x)</t>
  </si>
  <si>
    <t>NO.of days(f)</t>
  </si>
  <si>
    <t>P(x=r)</t>
  </si>
  <si>
    <t>mean=λ=∑fx/N=</t>
  </si>
  <si>
    <t>NP(x=r)</t>
  </si>
  <si>
    <t>expected frequency=NP(x=r)</t>
  </si>
  <si>
    <t>P(x=r)=poisson(X,mean,cumulative)</t>
  </si>
  <si>
    <t>Demand(x)</t>
  </si>
  <si>
    <t>P(x)</t>
  </si>
  <si>
    <t>total</t>
  </si>
  <si>
    <t>x.P(x)</t>
  </si>
  <si>
    <t>x^2.P(x)</t>
  </si>
  <si>
    <t>∑px=</t>
  </si>
  <si>
    <t>∑x^2.P(x)=</t>
  </si>
  <si>
    <t>mean=∑x.P(x)=</t>
  </si>
  <si>
    <t>var(x)=∑x^2.P(x)-(∑x.p(x))^2=</t>
  </si>
  <si>
    <t>S.D(σ)=sqrt(125)=</t>
  </si>
  <si>
    <t>Expectation  ,E(x)=∑x.P(x)=</t>
  </si>
  <si>
    <t>E(4x+5)=4E(x)+5=</t>
  </si>
  <si>
    <t>Internal estimator</t>
  </si>
  <si>
    <t>sample mean=</t>
  </si>
  <si>
    <t>sample size(n)=</t>
  </si>
  <si>
    <t>S.E  of mean=s/sqrt(n)</t>
  </si>
  <si>
    <t>sample SD (s)=</t>
  </si>
  <si>
    <r>
      <t>Z</t>
    </r>
    <r>
      <rPr>
        <vertAlign val="subscript"/>
        <sz val="11"/>
        <color theme="1"/>
        <rFont val="Calibri"/>
        <family val="2"/>
      </rPr>
      <t>α/2</t>
    </r>
    <r>
      <rPr>
        <sz val="11"/>
        <color theme="1"/>
        <rFont val="Calibri"/>
        <family val="2"/>
        <scheme val="minor"/>
      </rPr>
      <t>(5%)=</t>
    </r>
  </si>
  <si>
    <r>
      <t>lower limit=Xbar-Z</t>
    </r>
    <r>
      <rPr>
        <vertAlign val="subscript"/>
        <sz val="11"/>
        <color theme="1"/>
        <rFont val="Calibri"/>
        <family val="2"/>
      </rPr>
      <t>α/2</t>
    </r>
    <r>
      <rPr>
        <sz val="11"/>
        <color theme="1"/>
        <rFont val="Calibri"/>
        <family val="2"/>
      </rPr>
      <t>*SE=</t>
    </r>
  </si>
  <si>
    <r>
      <t>upper limit=Xbar+Z</t>
    </r>
    <r>
      <rPr>
        <vertAlign val="subscript"/>
        <sz val="11"/>
        <color theme="1"/>
        <rFont val="Calibri"/>
        <family val="2"/>
      </rPr>
      <t>α/2</t>
    </r>
    <r>
      <rPr>
        <sz val="11"/>
        <color theme="1"/>
        <rFont val="Calibri"/>
        <family val="2"/>
      </rPr>
      <t>*SE=</t>
    </r>
  </si>
  <si>
    <t>95% confidence interval=</t>
  </si>
  <si>
    <t>(7.08448 , 9.00191)</t>
  </si>
  <si>
    <r>
      <t>(Xbar+-Z</t>
    </r>
    <r>
      <rPr>
        <vertAlign val="subscript"/>
        <sz val="11"/>
        <color theme="1"/>
        <rFont val="Calibri"/>
        <family val="2"/>
      </rPr>
      <t>α/2</t>
    </r>
    <r>
      <rPr>
        <sz val="11"/>
        <color theme="1"/>
        <rFont val="Calibri"/>
        <family val="2"/>
      </rPr>
      <t>*SE(s/sqrt(n))</t>
    </r>
  </si>
  <si>
    <t>estimation of popn mean(Xbar)=</t>
  </si>
  <si>
    <t>Estimation</t>
  </si>
  <si>
    <t>sample proportion(P)=</t>
  </si>
  <si>
    <t>q=</t>
  </si>
  <si>
    <r>
      <t>estimation of pop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propottion(P)=</t>
    </r>
  </si>
  <si>
    <t>Q=</t>
  </si>
  <si>
    <t>S.E of sample proportion=sqrt(pq/n)=</t>
  </si>
  <si>
    <r>
      <t>Z</t>
    </r>
    <r>
      <rPr>
        <vertAlign val="subscript"/>
        <sz val="11"/>
        <color theme="1"/>
        <rFont val="Calibri"/>
        <family val="2"/>
      </rPr>
      <t>α/2(</t>
    </r>
    <r>
      <rPr>
        <sz val="11"/>
        <color theme="1"/>
        <rFont val="Calibri"/>
        <family val="2"/>
      </rPr>
      <t>5%)=Z</t>
    </r>
    <r>
      <rPr>
        <vertAlign val="subscript"/>
        <sz val="11"/>
        <color theme="1"/>
        <rFont val="Calibri"/>
        <family val="2"/>
      </rPr>
      <t>0.05/2</t>
    </r>
    <r>
      <rPr>
        <sz val="11"/>
        <color theme="1"/>
        <rFont val="Calibri"/>
        <family val="2"/>
      </rPr>
      <t>=</t>
    </r>
  </si>
  <si>
    <t>upper limit=p+Z*S.E=</t>
  </si>
  <si>
    <t>lower limit=p-Z*S.E=</t>
  </si>
  <si>
    <t>95% confidence limit=p+-Z*S.E=</t>
  </si>
  <si>
    <t>(0.341014 , 0.498986)</t>
  </si>
  <si>
    <t>Binomial parameter:  n and p</t>
  </si>
  <si>
    <r>
      <t xml:space="preserve">Poisson parameter:  </t>
    </r>
    <r>
      <rPr>
        <sz val="11"/>
        <color theme="1"/>
        <rFont val="Calibri"/>
        <family val="2"/>
      </rPr>
      <t>λ</t>
    </r>
  </si>
  <si>
    <r>
      <t xml:space="preserve">Normal distribution parameter:  </t>
    </r>
    <r>
      <rPr>
        <sz val="11"/>
        <color theme="1"/>
        <rFont val="Calibri"/>
        <family val="2"/>
      </rPr>
      <t>µ  and  σ</t>
    </r>
  </si>
  <si>
    <t>Binomial distribution</t>
  </si>
  <si>
    <t>Q. Probability of a bomb hitting a target is  1/5  .  Two  bombs are enough to destroy a bridge . If 6 bombs are aimed at the bridge , find the probability that the bridge is distroyed.</t>
  </si>
  <si>
    <t>soln:</t>
  </si>
  <si>
    <t>p=</t>
  </si>
  <si>
    <t>1/5'</t>
  </si>
  <si>
    <t>4/5'</t>
  </si>
  <si>
    <t>P(x)=nC(x=r)*P^r*q^(n-r)</t>
  </si>
  <si>
    <t>mean=np=</t>
  </si>
  <si>
    <t>var=npq=</t>
  </si>
  <si>
    <t>Binomdist( click fx then fill up</t>
  </si>
  <si>
    <t>Numbers</t>
  </si>
  <si>
    <t>Trials</t>
  </si>
  <si>
    <t>n=6</t>
  </si>
  <si>
    <t>prob</t>
  </si>
  <si>
    <t>p=0.2</t>
  </si>
  <si>
    <t>cumulative</t>
  </si>
  <si>
    <t>0 or false</t>
  </si>
  <si>
    <t>and fill 1-6 in the same way</t>
  </si>
  <si>
    <r>
      <t>P(x</t>
    </r>
    <r>
      <rPr>
        <sz val="11"/>
        <color theme="1"/>
        <rFont val="Calibri"/>
        <family val="2"/>
      </rPr>
      <t>&gt;=2)=P2+p3+p4+p5+p6=</t>
    </r>
  </si>
  <si>
    <r>
      <t>P(x</t>
    </r>
    <r>
      <rPr>
        <sz val="11"/>
        <color theme="1"/>
        <rFont val="Calibri"/>
        <family val="2"/>
      </rPr>
      <t>&lt;3)=p0+p1+p2=</t>
    </r>
  </si>
  <si>
    <t>X=r</t>
  </si>
  <si>
    <t>Binomdist(E7,$B$8,$C$6,false)</t>
  </si>
  <si>
    <t>Poisson distribution</t>
  </si>
  <si>
    <t>Q. If 4% of the bulbs manufactured by a company are defective, find the probability that in a sample of 125 bulbs  a) non is defective  b)2 bulb will be defective.</t>
  </si>
  <si>
    <r>
      <t>mean=</t>
    </r>
    <r>
      <rPr>
        <sz val="11"/>
        <color theme="1"/>
        <rFont val="Calibri"/>
        <family val="2"/>
      </rPr>
      <t>λ=np=</t>
    </r>
  </si>
  <si>
    <t>key=1|0=</t>
  </si>
  <si>
    <t>:</t>
  </si>
  <si>
    <t>poisson(click fx then fill up</t>
  </si>
  <si>
    <t xml:space="preserve">mean </t>
  </si>
  <si>
    <t>np=5</t>
  </si>
  <si>
    <t>Or</t>
  </si>
  <si>
    <t>poisson(E6,$C$7,false)</t>
  </si>
  <si>
    <t>a) P(x=0)=</t>
  </si>
  <si>
    <t>0       then for other 1-125 follow same process</t>
  </si>
  <si>
    <t>(mean of sample mean)</t>
  </si>
  <si>
    <t>In without  replacement in population mean</t>
  </si>
  <si>
    <t>Note: In with replacement in  population mean</t>
  </si>
  <si>
    <r>
      <t>SE=</t>
    </r>
    <r>
      <rPr>
        <sz val="11"/>
        <color theme="1"/>
        <rFont val="Calibri"/>
        <family val="2"/>
      </rPr>
      <t>σ/√n*√(N-n/N-1)</t>
    </r>
  </si>
  <si>
    <r>
      <t>σ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=∑fx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/N  -  (∑fx/N)</t>
    </r>
    <r>
      <rPr>
        <vertAlign val="superscript"/>
        <sz val="11"/>
        <color theme="1"/>
        <rFont val="Calibri"/>
        <family val="2"/>
      </rPr>
      <t>2</t>
    </r>
  </si>
  <si>
    <t>σ=sqrt(6.447188)=</t>
  </si>
  <si>
    <r>
      <t>σ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=∑fx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/N-(∑fx/N)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=</t>
    </r>
  </si>
  <si>
    <t>σ=</t>
  </si>
  <si>
    <r>
      <t>σ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=(∑fx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/N)-(∑fx/N)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=</t>
    </r>
  </si>
  <si>
    <t>S.D=</t>
  </si>
  <si>
    <t>X=</t>
  </si>
  <si>
    <r>
      <t>Mean=</t>
    </r>
    <r>
      <rPr>
        <sz val="11"/>
        <color theme="1"/>
        <rFont val="Calibri"/>
        <family val="2"/>
      </rPr>
      <t>µ</t>
    </r>
  </si>
  <si>
    <r>
      <t>Z=X-</t>
    </r>
    <r>
      <rPr>
        <sz val="11"/>
        <color theme="1"/>
        <rFont val="Calibri"/>
        <family val="2"/>
      </rPr>
      <t>µ/S.D=</t>
    </r>
  </si>
  <si>
    <r>
      <t>P(X</t>
    </r>
    <r>
      <rPr>
        <sz val="11"/>
        <color theme="1"/>
        <rFont val="Calibri"/>
        <family val="2"/>
      </rPr>
      <t>≤110)=</t>
    </r>
  </si>
  <si>
    <r>
      <t>P(X</t>
    </r>
    <r>
      <rPr>
        <sz val="11"/>
        <color theme="1"/>
        <rFont val="Calibri"/>
        <family val="2"/>
      </rPr>
      <t>≥110)=1-p(X≤110)=</t>
    </r>
  </si>
  <si>
    <t xml:space="preserve">click Normdist( </t>
  </si>
  <si>
    <r>
      <t>click fx  and fill the space u will get P(X</t>
    </r>
    <r>
      <rPr>
        <sz val="11"/>
        <color theme="1"/>
        <rFont val="Calibri"/>
        <family val="2"/>
      </rPr>
      <t>≤110)</t>
    </r>
  </si>
  <si>
    <r>
      <t>P(85</t>
    </r>
    <r>
      <rPr>
        <sz val="11"/>
        <color theme="1"/>
        <rFont val="Calibri"/>
        <family val="2"/>
      </rPr>
      <t>&lt;X&lt;105)= P(X&lt;105) - P(X&lt;85)=</t>
    </r>
  </si>
  <si>
    <t>Here,X1=</t>
  </si>
  <si>
    <t>X2=</t>
  </si>
  <si>
    <r>
      <t>P(X</t>
    </r>
    <r>
      <rPr>
        <sz val="11"/>
        <color theme="1"/>
        <rFont val="Calibri"/>
        <family val="2"/>
      </rPr>
      <t>&lt;105)=Normdist(X1,µ,S.D,1orTrue)=</t>
    </r>
  </si>
  <si>
    <r>
      <t>P(X</t>
    </r>
    <r>
      <rPr>
        <sz val="11"/>
        <color theme="1"/>
        <rFont val="Calibri"/>
        <family val="2"/>
      </rPr>
      <t>&lt;85)=Normdist(X2,µ,S.D,1)=</t>
    </r>
  </si>
  <si>
    <t xml:space="preserve">click    Normdist(  </t>
  </si>
  <si>
    <t>then click fx and fill the given data</t>
  </si>
  <si>
    <t>Z  test for single mean</t>
  </si>
  <si>
    <t>sample member, n=</t>
  </si>
  <si>
    <t>sample mean,Xbar=</t>
  </si>
  <si>
    <t>Q. A sample of 400 male students is found to have a mean height of 171.38 cm . Can it be reasonably regarded as a sample from a larger population with mean height 171.17cm and S.D 3.30cm.</t>
  </si>
  <si>
    <r>
      <t xml:space="preserve">Popn mean, </t>
    </r>
    <r>
      <rPr>
        <sz val="11"/>
        <color theme="1"/>
        <rFont val="Calibri"/>
        <family val="2"/>
      </rPr>
      <t>µ=</t>
    </r>
  </si>
  <si>
    <r>
      <t xml:space="preserve">popn S.D, </t>
    </r>
    <r>
      <rPr>
        <sz val="11"/>
        <color theme="1"/>
        <rFont val="Calibri"/>
        <family val="2"/>
      </rPr>
      <t>σ=</t>
    </r>
  </si>
  <si>
    <r>
      <t xml:space="preserve">Significance level, </t>
    </r>
    <r>
      <rPr>
        <sz val="11"/>
        <color theme="1"/>
        <rFont val="Calibri"/>
        <family val="2"/>
      </rPr>
      <t>α=</t>
    </r>
  </si>
  <si>
    <r>
      <t>S.E of sample mean,</t>
    </r>
    <r>
      <rPr>
        <sz val="11"/>
        <color theme="1"/>
        <rFont val="Calibri"/>
        <family val="2"/>
      </rPr>
      <t>σ/sqrt (n)=</t>
    </r>
  </si>
  <si>
    <r>
      <t>calculated Z= (Xbar-</t>
    </r>
    <r>
      <rPr>
        <sz val="11"/>
        <color theme="1"/>
        <rFont val="Calibri"/>
        <family val="2"/>
      </rPr>
      <t>µ)/(σ/sqrt(n))=</t>
    </r>
  </si>
  <si>
    <r>
      <t xml:space="preserve">H0: </t>
    </r>
    <r>
      <rPr>
        <sz val="11"/>
        <color theme="1"/>
        <rFont val="Calibri"/>
        <family val="2"/>
      </rPr>
      <t>µ = 171.17</t>
    </r>
  </si>
  <si>
    <r>
      <t xml:space="preserve">H1: </t>
    </r>
    <r>
      <rPr>
        <sz val="11"/>
        <color theme="1"/>
        <rFont val="Calibri"/>
        <family val="2"/>
      </rPr>
      <t>µ ≠ 171.17</t>
    </r>
  </si>
  <si>
    <t>Decision:</t>
  </si>
  <si>
    <r>
      <t xml:space="preserve">Zcal </t>
    </r>
    <r>
      <rPr>
        <sz val="11"/>
        <color theme="1"/>
        <rFont val="Calibri"/>
        <family val="2"/>
      </rPr>
      <t>&lt; Ztab , so H0 is not rejected.</t>
    </r>
  </si>
  <si>
    <t>i) critical value method:</t>
  </si>
  <si>
    <r>
      <t>Lower limit (LCL)=</t>
    </r>
    <r>
      <rPr>
        <sz val="11"/>
        <color theme="1"/>
        <rFont val="Calibri"/>
        <family val="2"/>
      </rPr>
      <t>µ -  Z</t>
    </r>
    <r>
      <rPr>
        <vertAlign val="subscript"/>
        <sz val="11"/>
        <color theme="1"/>
        <rFont val="Calibri"/>
        <family val="2"/>
      </rPr>
      <t>α/2</t>
    </r>
    <r>
      <rPr>
        <sz val="11"/>
        <color theme="1"/>
        <rFont val="Calibri"/>
        <family val="2"/>
      </rPr>
      <t xml:space="preserve"> * S.E=</t>
    </r>
  </si>
  <si>
    <r>
      <t>5% Z = tabulated value of Z</t>
    </r>
    <r>
      <rPr>
        <sz val="11"/>
        <color theme="1"/>
        <rFont val="Calibri"/>
        <family val="2"/>
      </rPr>
      <t>α/2</t>
    </r>
    <r>
      <rPr>
        <sz val="11"/>
        <color theme="1"/>
        <rFont val="Calibri"/>
        <family val="2"/>
        <scheme val="minor"/>
      </rPr>
      <t xml:space="preserve"> =</t>
    </r>
  </si>
  <si>
    <r>
      <t>Upper limit (UCL)=</t>
    </r>
    <r>
      <rPr>
        <sz val="11"/>
        <color theme="1"/>
        <rFont val="Calibri"/>
        <family val="2"/>
      </rPr>
      <t>µ + Zα/2 *S.E=</t>
    </r>
  </si>
  <si>
    <t>sample mean lies in the confidence interval ,</t>
  </si>
  <si>
    <t>So accept H0.</t>
  </si>
  <si>
    <t>ii) confidence limit method:</t>
  </si>
  <si>
    <t>iii) P-Value method</t>
  </si>
  <si>
    <t>P-value= 2*(1-Normsdist(Zcalculated))=</t>
  </si>
  <si>
    <t xml:space="preserve">α = </t>
  </si>
  <si>
    <t>P-value is greater than 0.05, So H0 is accepted</t>
  </si>
  <si>
    <t>Z test for two sample for mean</t>
  </si>
  <si>
    <t>variance of X=</t>
  </si>
  <si>
    <t>variance of y=</t>
  </si>
  <si>
    <r>
      <t>confidence level,</t>
    </r>
    <r>
      <rPr>
        <sz val="11"/>
        <color theme="1"/>
        <rFont val="Calibri"/>
        <family val="2"/>
      </rPr>
      <t>α=</t>
    </r>
  </si>
  <si>
    <r>
      <t>H0:</t>
    </r>
    <r>
      <rPr>
        <sz val="11"/>
        <color theme="1"/>
        <rFont val="Calibri"/>
        <family val="2"/>
      </rPr>
      <t>µ1 = µ2</t>
    </r>
  </si>
  <si>
    <t>Setting  hypothesis:</t>
  </si>
  <si>
    <r>
      <t>H1:</t>
    </r>
    <r>
      <rPr>
        <sz val="11"/>
        <color theme="1"/>
        <rFont val="Calibri"/>
        <family val="2"/>
      </rPr>
      <t>µ1 &gt; µ2  (one tailed test)</t>
    </r>
  </si>
  <si>
    <t>z-Test: Two Sample for Means</t>
  </si>
  <si>
    <t>Variable 1</t>
  </si>
  <si>
    <t>Variable 2</t>
  </si>
  <si>
    <t>Mean</t>
  </si>
  <si>
    <t>Known Variance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</si>
  <si>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</si>
  <si>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</si>
  <si>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</si>
  <si>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</si>
  <si>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</si>
  <si>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</si>
  <si>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Z critical one tail(Ztab)=</t>
  </si>
  <si>
    <t>Z(Zcal)=</t>
  </si>
  <si>
    <r>
      <t>P value is less than 0.05, ie; Zcal</t>
    </r>
    <r>
      <rPr>
        <sz val="11"/>
        <color theme="1"/>
        <rFont val="Calibri"/>
        <family val="2"/>
      </rPr>
      <t>&lt;Ztab,  So rejected</t>
    </r>
    <r>
      <rPr>
        <sz val="11"/>
        <color theme="1"/>
        <rFont val="Calibri"/>
        <family val="2"/>
        <scheme val="minor"/>
      </rPr>
      <t xml:space="preserve"> </t>
    </r>
  </si>
  <si>
    <t xml:space="preserve">Go to data </t>
  </si>
  <si>
    <t xml:space="preserve">click data analysis </t>
  </si>
  <si>
    <t>click  Z-test two samples fro mean</t>
  </si>
  <si>
    <t xml:space="preserve">Input </t>
  </si>
  <si>
    <t>Variable 1 range: (select all X)</t>
  </si>
  <si>
    <t>Variable 1 range: (select all Y)</t>
  </si>
  <si>
    <t>Hypothesized mean difference:0</t>
  </si>
  <si>
    <t>variable 2 variance(known):61560</t>
  </si>
  <si>
    <t>Variable 1 variance(known):52783</t>
  </si>
  <si>
    <t xml:space="preserve">Q. A sample of 500 person selected randomly in ktm valley which resulted that the female were 54% . Is there any reason to doubt the hypothesis that females and males are in equal number </t>
  </si>
  <si>
    <t>at 5% level of significance.</t>
  </si>
  <si>
    <t>sample no , n=</t>
  </si>
  <si>
    <t>sample proportion of female, p=</t>
  </si>
  <si>
    <t>Population proportion, P=</t>
  </si>
  <si>
    <t>Setting hypothesis:</t>
  </si>
  <si>
    <t>H0:P=0.5</t>
  </si>
  <si>
    <r>
      <t>H1:P</t>
    </r>
    <r>
      <rPr>
        <sz val="11"/>
        <color theme="1"/>
        <rFont val="Calibri"/>
        <family val="2"/>
      </rPr>
      <t>≠0.5 (Two tailed test)</t>
    </r>
  </si>
  <si>
    <t>µ1=</t>
  </si>
  <si>
    <t>µ2=</t>
  </si>
  <si>
    <r>
      <t xml:space="preserve">level of significance </t>
    </r>
    <r>
      <rPr>
        <sz val="11"/>
        <color theme="1"/>
        <rFont val="Calibri"/>
        <family val="2"/>
      </rPr>
      <t>α=0.05</t>
    </r>
  </si>
  <si>
    <t>Test statistics:</t>
  </si>
  <si>
    <t>S.E=sqrt(PQ/n)=</t>
  </si>
  <si>
    <t>p-P=0.54-0.5=</t>
  </si>
  <si>
    <t>Zcal=(p-P)/sqrt(P*Q/n)=</t>
  </si>
  <si>
    <t>critical value:</t>
  </si>
  <si>
    <t>Ztab(5%)=</t>
  </si>
  <si>
    <t>P-value=2*(1-normsdist(Zcal))=</t>
  </si>
  <si>
    <t>α=</t>
  </si>
  <si>
    <t>P value is greater than 0.05, So H0 is not rejected.</t>
  </si>
  <si>
    <t>Hypothesis:   Z-test for  1  sample proportion</t>
  </si>
  <si>
    <t>Z-test for two sample proportion</t>
  </si>
  <si>
    <t>Q. Random samples of 250 bolts manufactured by machine A and 200 bolts manufacutred by machine B showed 24 and 10 defective bolts respectively. Test the hypothesis that the machine are showing different qualities of performance.</t>
  </si>
  <si>
    <t>Machine A</t>
  </si>
  <si>
    <t>n1=</t>
  </si>
  <si>
    <t>decective=</t>
  </si>
  <si>
    <t>sample proportion,P1=(24/250)=</t>
  </si>
  <si>
    <t>q1=1-P1=</t>
  </si>
  <si>
    <t>Machine B</t>
  </si>
  <si>
    <t>n2=</t>
  </si>
  <si>
    <t>defective=</t>
  </si>
  <si>
    <t>q2=1-P2=</t>
  </si>
  <si>
    <t>setting Hypothesis:</t>
  </si>
  <si>
    <t>H0:P1=P2</t>
  </si>
  <si>
    <r>
      <t>H1:P1</t>
    </r>
    <r>
      <rPr>
        <sz val="11"/>
        <color theme="1"/>
        <rFont val="Calibri"/>
        <family val="2"/>
      </rPr>
      <t>≠P2</t>
    </r>
  </si>
  <si>
    <r>
      <t xml:space="preserve">level of significance, </t>
    </r>
    <r>
      <rPr>
        <sz val="11"/>
        <color theme="1"/>
        <rFont val="Calibri"/>
        <family val="2"/>
      </rPr>
      <t>α=5%=0.05</t>
    </r>
  </si>
  <si>
    <t>where, P(Pcap)=(n1*P1+n2*P2)/(n1+n2)=</t>
  </si>
  <si>
    <t>Q(Q cap)=1-P=</t>
  </si>
  <si>
    <t>Zcal=(P1-P2)/sqrt((P*Q)*(1/n1+1/n2))=</t>
  </si>
  <si>
    <t>critical value:  Ztab=</t>
  </si>
  <si>
    <r>
      <t>Zcal</t>
    </r>
    <r>
      <rPr>
        <sz val="11"/>
        <color theme="1"/>
        <rFont val="Calibri"/>
        <family val="2"/>
      </rPr>
      <t>&lt;Ztab , So H0 is not rejected</t>
    </r>
  </si>
  <si>
    <t>Decision: P-value is greater than 0.05 , So H0 is accepted</t>
  </si>
  <si>
    <r>
      <t>dispersion (c.v)=</t>
    </r>
    <r>
      <rPr>
        <sz val="11"/>
        <color theme="1"/>
        <rFont val="Calibri"/>
        <family val="2"/>
      </rPr>
      <t>σ/mean=</t>
    </r>
  </si>
  <si>
    <r>
      <t>skewness(Sk)=3*(mean-median)/</t>
    </r>
    <r>
      <rPr>
        <sz val="11"/>
        <color theme="1"/>
        <rFont val="Calibri"/>
        <family val="2"/>
      </rPr>
      <t>σ=</t>
    </r>
  </si>
  <si>
    <t>Q.D=(Q3-Q1)/(Q3+Q1)=</t>
  </si>
  <si>
    <t>R1=Rank(A4,$A$4:$A$8,1)</t>
  </si>
  <si>
    <t>do one by one for each no</t>
  </si>
  <si>
    <t>∑d^2=8</t>
  </si>
  <si>
    <t>b)p(x=2)=</t>
  </si>
  <si>
    <t>P2=(10/200)=</t>
  </si>
  <si>
    <t>x.p(x)</t>
  </si>
  <si>
    <t>Epx=</t>
  </si>
  <si>
    <t>E(X)=</t>
  </si>
  <si>
    <t>=Ex.p(X)=</t>
  </si>
  <si>
    <t>EX^2.P(X)=</t>
  </si>
  <si>
    <t>mean</t>
  </si>
  <si>
    <t>variance</t>
  </si>
  <si>
    <t>sd=</t>
  </si>
  <si>
    <t>E(4x+5)=</t>
  </si>
  <si>
    <t>=4E(x)+5</t>
  </si>
  <si>
    <t>Demand</t>
  </si>
  <si>
    <t>x^2.p(x)</t>
  </si>
  <si>
    <t>E(x)</t>
  </si>
  <si>
    <t>variance=</t>
  </si>
  <si>
    <t>given:</t>
  </si>
  <si>
    <t>z(5%)</t>
  </si>
  <si>
    <t>now,</t>
  </si>
  <si>
    <t>se</t>
  </si>
  <si>
    <t>lower cl</t>
  </si>
  <si>
    <t>upper cl</t>
  </si>
  <si>
    <t>b</t>
  </si>
  <si>
    <t>a</t>
  </si>
  <si>
    <t>y=</t>
  </si>
  <si>
    <t>Point</t>
  </si>
  <si>
    <t>Column1</t>
  </si>
  <si>
    <t>Rank</t>
  </si>
  <si>
    <t>Percent</t>
  </si>
  <si>
    <t>0-100</t>
  </si>
  <si>
    <t>100-200</t>
  </si>
  <si>
    <t>200-300</t>
  </si>
  <si>
    <t>300-400</t>
  </si>
  <si>
    <t>400-500</t>
  </si>
  <si>
    <t>500-600</t>
  </si>
  <si>
    <t>Wages</t>
  </si>
  <si>
    <t>No of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</si>
</sst>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  <xf numFmtId="0" fontId="0" fillId="0" borderId="0" xfId="0" applyFill="1"/>
    <xf numFmtId="0" fontId="0" fillId="0" borderId="3" xfId="0" applyBorder="1"/>
    <xf numFmtId="0" fontId="0" fillId="0" borderId="0" xfId="0" applyBorder="1"/>
    <xf numFmtId="0" fontId="0" fillId="2" borderId="0" xfId="0" applyFill="1"/>
    <xf numFmtId="0" fontId="4" fillId="0" borderId="2" xfId="0" applyFont="1" applyFill="1" applyBorder="1" applyAlignment="1">
      <alignment horizontal="centerContinuous"/>
    </xf>
    <xf numFmtId="0" fontId="0" fillId="0" borderId="4" xfId="0" applyBorder="1"/>
    <xf numFmtId="0" fontId="5" fillId="0" borderId="4" xfId="0" applyFont="1" applyBorder="1"/>
    <xf numFmtId="0" fontId="1" fillId="0" borderId="0" xfId="0" applyFont="1" applyFill="1" applyBorder="1"/>
    <xf numFmtId="0" fontId="5" fillId="0" borderId="4" xfId="0" applyFont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NumberFormat="1"/>
    <xf numFmtId="0" fontId="1" fillId="0" borderId="4" xfId="0" applyFont="1" applyBorder="1"/>
    <xf numFmtId="0" fontId="0" fillId="0" borderId="5" xfId="0" applyFill="1" applyBorder="1"/>
    <xf numFmtId="0" fontId="0" fillId="0" borderId="0" xfId="0" quotePrefix="1"/>
    <xf numFmtId="10" fontId="0" fillId="0" borderId="0" xfId="0" applyNumberFormat="1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image" Target="../media/image3.jpeg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Freqyency distribution</a:t>
            </a:r>
          </a:p>
        </c:rich>
      </c:tx>
      <c:layout>
        <c:manualLayout>
          <c:xMode val="edge"/>
          <c:yMode val="edge"/>
          <c:x val="0.26233566637503647"/>
          <c:y val="2.777795632688771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histogram!$E$2:$E$8</c:f>
              <c:strCache>
                <c:ptCount val="7"/>
                <c:pt idx="0">
                  <c:v>60-80</c:v>
                </c:pt>
                <c:pt idx="1">
                  <c:v>80-100</c:v>
                </c:pt>
                <c:pt idx="2">
                  <c:v>100-120</c:v>
                </c:pt>
                <c:pt idx="3">
                  <c:v>120-140</c:v>
                </c:pt>
                <c:pt idx="4">
                  <c:v>140-160</c:v>
                </c:pt>
                <c:pt idx="5">
                  <c:v>160-180</c:v>
                </c:pt>
                <c:pt idx="6">
                  <c:v>180-200</c:v>
                </c:pt>
              </c:strCache>
            </c:strRef>
          </c:cat>
          <c:val>
            <c:numRef>
              <c:f>histogram!$F$2:$F$8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151488"/>
        <c:axId val="41190528"/>
      </c:barChart>
      <c:catAx>
        <c:axId val="4115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1190528"/>
        <c:crosses val="autoZero"/>
        <c:auto val="1"/>
        <c:lblAlgn val="ctr"/>
        <c:lblOffset val="100"/>
        <c:noMultiLvlLbl val="0"/>
      </c:catAx>
      <c:valAx>
        <c:axId val="4119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51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curve'!$D$2</c:f>
              <c:strCache>
                <c:ptCount val="1"/>
                <c:pt idx="0">
                  <c:v>f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>
              <a:solidFill>
                <a:schemeClr val="tx1"/>
              </a:solidFill>
            </a:ln>
          </c:spPr>
          <c:invertIfNegative val="0"/>
          <c:cat>
            <c:strRef>
              <c:f>'frequency curve'!$C$3:$C$7</c:f>
              <c:strCache>
                <c:ptCount val="5"/>
                <c:pt idx="0">
                  <c:v>0-10</c:v>
                </c:pt>
                <c:pt idx="1">
                  <c:v>10-20'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</c:strCache>
            </c:strRef>
          </c:cat>
          <c:val>
            <c:numRef>
              <c:f>'frequency curve'!$D$3:$D$7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5</c:v>
                </c:pt>
                <c:pt idx="3">
                  <c:v>6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765120"/>
        <c:axId val="41791872"/>
      </c:barChart>
      <c:catAx>
        <c:axId val="41765120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41791872"/>
        <c:crosses val="autoZero"/>
        <c:auto val="1"/>
        <c:lblAlgn val="ctr"/>
        <c:lblOffset val="100"/>
        <c:noMultiLvlLbl val="0"/>
      </c:catAx>
      <c:valAx>
        <c:axId val="41791872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4176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curve'!$D$2</c:f>
              <c:strCache>
                <c:ptCount val="1"/>
                <c:pt idx="0">
                  <c:v>f</c:v>
                </c:pt>
              </c:strCache>
            </c:strRef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  <a:ln>
              <a:solidFill>
                <a:schemeClr val="tx1"/>
              </a:solidFill>
            </a:ln>
          </c:spPr>
          <c:invertIfNegative val="0"/>
          <c:cat>
            <c:strRef>
              <c:f>'frequency curve'!$C$3:$C$7</c:f>
              <c:strCache>
                <c:ptCount val="5"/>
                <c:pt idx="0">
                  <c:v>0-10</c:v>
                </c:pt>
                <c:pt idx="1">
                  <c:v>10-20'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</c:strCache>
            </c:strRef>
          </c:cat>
          <c:val>
            <c:numRef>
              <c:f>'frequency curve'!$D$3:$D$7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5</c:v>
                </c:pt>
                <c:pt idx="3">
                  <c:v>6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933952"/>
        <c:axId val="51935488"/>
      </c:barChart>
      <c:catAx>
        <c:axId val="5193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51935488"/>
        <c:crosses val="autoZero"/>
        <c:auto val="1"/>
        <c:lblAlgn val="ctr"/>
        <c:lblOffset val="100"/>
        <c:noMultiLvlLbl val="0"/>
      </c:catAx>
      <c:valAx>
        <c:axId val="51935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3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46</c:v>
                </c:pt>
                <c:pt idx="1">
                  <c:v>42</c:v>
                </c:pt>
                <c:pt idx="2">
                  <c:v>44</c:v>
                </c:pt>
                <c:pt idx="3">
                  <c:v>40</c:v>
                </c:pt>
                <c:pt idx="4">
                  <c:v>43</c:v>
                </c:pt>
                <c:pt idx="5">
                  <c:v>41</c:v>
                </c:pt>
                <c:pt idx="6">
                  <c:v>45</c:v>
                </c:pt>
              </c:numCache>
            </c:numRef>
          </c:xVal>
          <c:yVal>
            <c:numRef>
              <c:f>regression!$F$26:$F$32</c:f>
              <c:numCache>
                <c:formatCode>General</c:formatCode>
                <c:ptCount val="7"/>
                <c:pt idx="0">
                  <c:v>-0.25</c:v>
                </c:pt>
                <c:pt idx="1">
                  <c:v>0.75</c:v>
                </c:pt>
                <c:pt idx="2">
                  <c:v>-2.75</c:v>
                </c:pt>
                <c:pt idx="3">
                  <c:v>-0.75</c:v>
                </c:pt>
                <c:pt idx="4">
                  <c:v>1</c:v>
                </c:pt>
                <c:pt idx="5">
                  <c:v>0.5</c:v>
                </c:pt>
                <c:pt idx="6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8640"/>
        <c:axId val="52530560"/>
      </c:scatterChart>
      <c:valAx>
        <c:axId val="5252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30560"/>
        <c:crosses val="autoZero"/>
        <c:crossBetween val="midCat"/>
      </c:valAx>
      <c:valAx>
        <c:axId val="5253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2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46</c:v>
                </c:pt>
                <c:pt idx="1">
                  <c:v>42</c:v>
                </c:pt>
                <c:pt idx="2">
                  <c:v>44</c:v>
                </c:pt>
                <c:pt idx="3">
                  <c:v>40</c:v>
                </c:pt>
                <c:pt idx="4">
                  <c:v>43</c:v>
                </c:pt>
                <c:pt idx="5">
                  <c:v>41</c:v>
                </c:pt>
                <c:pt idx="6">
                  <c:v>45</c:v>
                </c:pt>
              </c:numCache>
            </c:numRef>
          </c:xVal>
          <c:yVal>
            <c:numRef>
              <c:f>regression!$S$38:$S$44</c:f>
              <c:numCache>
                <c:formatCode>General</c:formatCode>
                <c:ptCount val="7"/>
                <c:pt idx="0">
                  <c:v>-0.25</c:v>
                </c:pt>
                <c:pt idx="1">
                  <c:v>0.75</c:v>
                </c:pt>
                <c:pt idx="2">
                  <c:v>-2.75</c:v>
                </c:pt>
                <c:pt idx="3">
                  <c:v>-0.75</c:v>
                </c:pt>
                <c:pt idx="4">
                  <c:v>1</c:v>
                </c:pt>
                <c:pt idx="5">
                  <c:v>0.5</c:v>
                </c:pt>
                <c:pt idx="6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1040"/>
        <c:axId val="52647424"/>
      </c:scatterChart>
      <c:valAx>
        <c:axId val="5255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47424"/>
        <c:crosses val="autoZero"/>
        <c:crossBetween val="midCat"/>
      </c:valAx>
      <c:valAx>
        <c:axId val="5264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5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343432004582288"/>
          <c:y val="2.6058631921824206E-2"/>
        </c:manualLayout>
      </c:layout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piechart!$B$1</c:f>
              <c:strCache>
                <c:ptCount val="1"/>
                <c:pt idx="0">
                  <c:v>Expenditure per month(in Rs)</c:v>
                </c:pt>
              </c:strCache>
            </c:strRef>
          </c:tx>
          <c:dPt>
            <c:idx val="0"/>
            <c:bubble3D val="0"/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2"/>
                <a:tile tx="0" ty="0" sx="100000" sy="100000" flip="none" algn="tl"/>
              </a:blipFill>
              <a:scene3d>
                <a:camera prst="orthographicFront"/>
                <a:lightRig rig="threePt" dir="t"/>
              </a:scene3d>
              <a:sp3d prstMaterial="metal"/>
            </c:spPr>
          </c:dPt>
          <c:dPt>
            <c:idx val="4"/>
            <c:bubble3D val="0"/>
            <c:spPr>
              <a:ln w="9525">
                <a:noFill/>
              </a:ln>
            </c:spPr>
          </c:dPt>
          <c:cat>
            <c:strRef>
              <c:f>piechart!$A$2:$A$7</c:f>
              <c:strCache>
                <c:ptCount val="6"/>
                <c:pt idx="0">
                  <c:v>Food</c:v>
                </c:pt>
                <c:pt idx="1">
                  <c:v>Rent</c:v>
                </c:pt>
                <c:pt idx="2">
                  <c:v>Cloths</c:v>
                </c:pt>
                <c:pt idx="3">
                  <c:v>Education</c:v>
                </c:pt>
                <c:pt idx="4">
                  <c:v>Energy</c:v>
                </c:pt>
                <c:pt idx="5">
                  <c:v>Misc.</c:v>
                </c:pt>
              </c:strCache>
            </c:strRef>
          </c:cat>
          <c:val>
            <c:numRef>
              <c:f>piechart!$B$2:$B$7</c:f>
              <c:numCache>
                <c:formatCode>General</c:formatCode>
                <c:ptCount val="6"/>
                <c:pt idx="0">
                  <c:v>400</c:v>
                </c:pt>
                <c:pt idx="1">
                  <c:v>120</c:v>
                </c:pt>
                <c:pt idx="2">
                  <c:v>250</c:v>
                </c:pt>
                <c:pt idx="3">
                  <c:v>100</c:v>
                </c:pt>
                <c:pt idx="4">
                  <c:v>50</c:v>
                </c:pt>
                <c:pt idx="5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Box</a:t>
            </a:r>
            <a:r>
              <a:rPr lang="en-US" baseline="0"/>
              <a:t> and whisker plot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no summary'!$D$5</c:f>
              <c:strCache>
                <c:ptCount val="1"/>
                <c:pt idx="0">
                  <c:v>Q1=</c:v>
                </c:pt>
              </c:strCache>
            </c:strRef>
          </c:tx>
          <c:val>
            <c:numRef>
              <c:f>'5 no summary'!$E$5</c:f>
              <c:numCache>
                <c:formatCode>General</c:formatCode>
                <c:ptCount val="1"/>
                <c:pt idx="0">
                  <c:v>21.5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no summary'!$D$6</c:f>
              <c:strCache>
                <c:ptCount val="1"/>
                <c:pt idx="0">
                  <c:v>Min=</c:v>
                </c:pt>
              </c:strCache>
            </c:strRef>
          </c:tx>
          <c:val>
            <c:numRef>
              <c:f>'5 no summary'!$E$6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no summary'!$D$7</c:f>
              <c:strCache>
                <c:ptCount val="1"/>
                <c:pt idx="0">
                  <c:v>Median=</c:v>
                </c:pt>
              </c:strCache>
            </c:strRef>
          </c:tx>
          <c:val>
            <c:numRef>
              <c:f>'5 no summary'!$E$7</c:f>
              <c:numCache>
                <c:formatCode>General</c:formatCode>
                <c:ptCount val="1"/>
                <c:pt idx="0">
                  <c:v>32.5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no summary'!$D$8</c:f>
              <c:strCache>
                <c:ptCount val="1"/>
                <c:pt idx="0">
                  <c:v>Max=</c:v>
                </c:pt>
              </c:strCache>
            </c:strRef>
          </c:tx>
          <c:val>
            <c:numRef>
              <c:f>'5 no summary'!$E$8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no summary'!$D$9</c:f>
              <c:strCache>
                <c:ptCount val="1"/>
                <c:pt idx="0">
                  <c:v>Q3=</c:v>
                </c:pt>
              </c:strCache>
            </c:strRef>
          </c:tx>
          <c:val>
            <c:numRef>
              <c:f>'5 no summary'!$E$9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300"/>
          <c:upBars>
            <c:spPr>
              <a:noFill/>
            </c:spPr>
          </c:upBars>
          <c:downBars/>
        </c:upDownBars>
        <c:marker val="1"/>
        <c:smooth val="0"/>
        <c:axId val="41454208"/>
        <c:axId val="41456384"/>
      </c:lineChart>
      <c:catAx>
        <c:axId val="4145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1456384"/>
        <c:crosses val="autoZero"/>
        <c:auto val="1"/>
        <c:lblAlgn val="ctr"/>
        <c:lblOffset val="100"/>
        <c:noMultiLvlLbl val="0"/>
      </c:catAx>
      <c:valAx>
        <c:axId val="4145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5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series'!$A$2:$A$8</c:f>
              <c:strCache>
                <c:ptCount val="1"/>
                <c:pt idx="0">
                  <c:v>0-100 100-200 200-300 300-400 400-500 500-600</c:v>
                </c:pt>
              </c:strCache>
            </c:strRef>
          </c:tx>
          <c:cat>
            <c:strRef>
              <c:f>'time series'!$A$2:$A$8</c:f>
              <c:strCache>
                <c:ptCount val="6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</c:strCache>
            </c:strRef>
          </c:cat>
          <c:val>
            <c:numRef>
              <c:f>'time series'!$B$2:$B$8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50</c:v>
                </c:pt>
                <c:pt idx="4">
                  <c:v>40</c:v>
                </c:pt>
                <c:pt idx="5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25344"/>
        <c:axId val="42026880"/>
      </c:lineChart>
      <c:catAx>
        <c:axId val="4202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26880"/>
        <c:crosses val="autoZero"/>
        <c:auto val="1"/>
        <c:lblAlgn val="ctr"/>
        <c:lblOffset val="100"/>
        <c:noMultiLvlLbl val="0"/>
      </c:catAx>
      <c:valAx>
        <c:axId val="42026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02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'scatter diagram'!$A$2:$A$18</c:f>
              <c:numCache>
                <c:formatCode>General</c:formatCode>
                <c:ptCount val="17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31</c:v>
                </c:pt>
                <c:pt idx="4">
                  <c:v>35</c:v>
                </c:pt>
                <c:pt idx="5">
                  <c:v>36</c:v>
                </c:pt>
                <c:pt idx="6">
                  <c:v>45</c:v>
                </c:pt>
                <c:pt idx="7">
                  <c:v>42</c:v>
                </c:pt>
                <c:pt idx="8">
                  <c:v>49</c:v>
                </c:pt>
                <c:pt idx="9">
                  <c:v>51</c:v>
                </c:pt>
                <c:pt idx="10">
                  <c:v>56</c:v>
                </c:pt>
                <c:pt idx="11">
                  <c:v>51</c:v>
                </c:pt>
                <c:pt idx="12">
                  <c:v>58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2704"/>
        <c:axId val="41952000"/>
      </c:scatterChart>
      <c:valAx>
        <c:axId val="4207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952000"/>
        <c:crosses val="autoZero"/>
        <c:crossBetween val="midCat"/>
      </c:valAx>
      <c:valAx>
        <c:axId val="4195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727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'scatter diagram'!$A$2:$A$18</c:f>
              <c:numCache>
                <c:formatCode>General</c:formatCode>
                <c:ptCount val="17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31</c:v>
                </c:pt>
                <c:pt idx="4">
                  <c:v>35</c:v>
                </c:pt>
                <c:pt idx="5">
                  <c:v>36</c:v>
                </c:pt>
                <c:pt idx="6">
                  <c:v>45</c:v>
                </c:pt>
                <c:pt idx="7">
                  <c:v>42</c:v>
                </c:pt>
                <c:pt idx="8">
                  <c:v>49</c:v>
                </c:pt>
                <c:pt idx="9">
                  <c:v>51</c:v>
                </c:pt>
                <c:pt idx="10">
                  <c:v>56</c:v>
                </c:pt>
                <c:pt idx="11">
                  <c:v>51</c:v>
                </c:pt>
                <c:pt idx="12">
                  <c:v>58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0016"/>
        <c:axId val="41996288"/>
      </c:scatterChart>
      <c:valAx>
        <c:axId val="41990016"/>
        <c:scaling>
          <c:orientation val="minMax"/>
        </c:scaling>
        <c:delete val="0"/>
        <c:axPos val="b"/>
        <c:title>
          <c:layout/>
          <c:overlay val="0"/>
        </c:title>
        <c:majorTickMark val="out"/>
        <c:minorTickMark val="none"/>
        <c:tickLblPos val="nextTo"/>
        <c:crossAx val="41996288"/>
        <c:crosses val="autoZero"/>
        <c:crossBetween val="midCat"/>
      </c:valAx>
      <c:valAx>
        <c:axId val="41996288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4199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'lessthan curve'!$D$3</c:f>
              <c:strCache>
                <c:ptCount val="1"/>
                <c:pt idx="0">
                  <c:v>f</c:v>
                </c:pt>
              </c:strCache>
            </c:strRef>
          </c:tx>
          <c:marker>
            <c:spPr>
              <a:solidFill>
                <a:schemeClr val="tx1"/>
              </a:solidFill>
            </c:spPr>
          </c:marker>
          <c:val>
            <c:numRef>
              <c:f>'lessthan curve'!$D$4:$D$8</c:f>
              <c:numCache>
                <c:formatCode>General</c:formatCode>
                <c:ptCount val="5"/>
                <c:pt idx="0">
                  <c:v>5</c:v>
                </c:pt>
                <c:pt idx="1">
                  <c:v>23</c:v>
                </c:pt>
                <c:pt idx="2">
                  <c:v>55</c:v>
                </c:pt>
                <c:pt idx="3">
                  <c:v>77</c:v>
                </c:pt>
                <c:pt idx="4">
                  <c:v>92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/>
        <c:marker val="1"/>
        <c:smooth val="0"/>
        <c:axId val="41613184"/>
        <c:axId val="41615360"/>
      </c:lineChart>
      <c:catAx>
        <c:axId val="4161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615360"/>
        <c:crosses val="autoZero"/>
        <c:auto val="1"/>
        <c:lblAlgn val="ctr"/>
        <c:lblOffset val="100"/>
        <c:noMultiLvlLbl val="0"/>
      </c:catAx>
      <c:valAx>
        <c:axId val="4161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Less</a:t>
                </a:r>
                <a:r>
                  <a:rPr lang="en-US" baseline="0"/>
                  <a:t> than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1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'lessthan curve'!$F$3</c:f>
              <c:strCache>
                <c:ptCount val="1"/>
                <c:pt idx="0">
                  <c:v>f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'lessthan curve'!$F$4:$F$8</c:f>
              <c:numCache>
                <c:formatCode>General</c:formatCode>
                <c:ptCount val="5"/>
                <c:pt idx="0">
                  <c:v>92</c:v>
                </c:pt>
                <c:pt idx="1">
                  <c:v>87</c:v>
                </c:pt>
                <c:pt idx="2">
                  <c:v>69</c:v>
                </c:pt>
                <c:pt idx="3">
                  <c:v>37</c:v>
                </c:pt>
                <c:pt idx="4">
                  <c:v>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/>
        <c:marker val="1"/>
        <c:smooth val="0"/>
        <c:axId val="41645184"/>
        <c:axId val="41647104"/>
      </c:lineChart>
      <c:catAx>
        <c:axId val="4164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41647104"/>
        <c:crosses val="autoZero"/>
        <c:auto val="1"/>
        <c:lblAlgn val="ctr"/>
        <c:lblOffset val="100"/>
        <c:noMultiLvlLbl val="0"/>
      </c:catAx>
      <c:valAx>
        <c:axId val="4164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more</a:t>
                </a:r>
                <a:r>
                  <a:rPr lang="en-US" baseline="0"/>
                  <a:t> than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4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'lessthan curve'!$C$4:$C$8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'lessthan curve'!$D$4:$D$8</c:f>
              <c:numCache>
                <c:formatCode>General</c:formatCode>
                <c:ptCount val="5"/>
                <c:pt idx="0">
                  <c:v>5</c:v>
                </c:pt>
                <c:pt idx="1">
                  <c:v>23</c:v>
                </c:pt>
                <c:pt idx="2">
                  <c:v>55</c:v>
                </c:pt>
                <c:pt idx="3">
                  <c:v>77</c:v>
                </c:pt>
                <c:pt idx="4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6816"/>
        <c:axId val="41748352"/>
      </c:lineChart>
      <c:catAx>
        <c:axId val="4174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1748352"/>
        <c:crosses val="autoZero"/>
        <c:auto val="1"/>
        <c:lblAlgn val="ctr"/>
        <c:lblOffset val="100"/>
        <c:noMultiLvlLbl val="0"/>
      </c:catAx>
      <c:valAx>
        <c:axId val="417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468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0</xdr:row>
      <xdr:rowOff>76200</xdr:rowOff>
    </xdr:from>
    <xdr:to>
      <xdr:col>17</xdr:col>
      <xdr:colOff>581025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76201</xdr:rowOff>
    </xdr:from>
    <xdr:to>
      <xdr:col>11</xdr:col>
      <xdr:colOff>419100</xdr:colOff>
      <xdr:row>10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238125</xdr:colOff>
      <xdr:row>13</xdr:row>
      <xdr:rowOff>180975</xdr:rowOff>
    </xdr:from>
    <xdr:to>
      <xdr:col>31</xdr:col>
      <xdr:colOff>238125</xdr:colOff>
      <xdr:row>23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183874</xdr:colOff>
      <xdr:row>2</xdr:row>
      <xdr:rowOff>90694</xdr:rowOff>
    </xdr:from>
    <xdr:to>
      <xdr:col>10</xdr:col>
      <xdr:colOff>488675</xdr:colOff>
      <xdr:row>17</xdr:row>
      <xdr:rowOff>157369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95250</xdr:rowOff>
    </xdr:from>
    <xdr:to>
      <xdr:col>12</xdr:col>
      <xdr:colOff>485775</xdr:colOff>
      <xdr:row>18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133350</xdr:rowOff>
    </xdr:from>
    <xdr:to>
      <xdr:col>7</xdr:col>
      <xdr:colOff>161925</xdr:colOff>
      <xdr:row>23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38100</xdr:rowOff>
    </xdr:from>
    <xdr:to>
      <xdr:col>13</xdr:col>
      <xdr:colOff>438150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3</xdr:row>
      <xdr:rowOff>57150</xdr:rowOff>
    </xdr:from>
    <xdr:to>
      <xdr:col>18</xdr:col>
      <xdr:colOff>266700</xdr:colOff>
      <xdr:row>17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8</xdr:row>
      <xdr:rowOff>85725</xdr:rowOff>
    </xdr:from>
    <xdr:to>
      <xdr:col>6</xdr:col>
      <xdr:colOff>323850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8</xdr:row>
      <xdr:rowOff>95250</xdr:rowOff>
    </xdr:from>
    <xdr:to>
      <xdr:col>13</xdr:col>
      <xdr:colOff>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6</xdr:row>
      <xdr:rowOff>85725</xdr:rowOff>
    </xdr:from>
    <xdr:to>
      <xdr:col>14</xdr:col>
      <xdr:colOff>95250</xdr:colOff>
      <xdr:row>20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19050</xdr:rowOff>
    </xdr:from>
    <xdr:to>
      <xdr:col>10</xdr:col>
      <xdr:colOff>180975</xdr:colOff>
      <xdr:row>10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16</xdr:row>
      <xdr:rowOff>3175</xdr:rowOff>
    </xdr:from>
    <xdr:to>
      <xdr:col>15</xdr:col>
      <xdr:colOff>400050</xdr:colOff>
      <xdr:row>17</xdr:row>
      <xdr:rowOff>61912</xdr:rowOff>
    </xdr:to>
    <xdr:sp macro="" textlink="">
      <xdr:nvSpPr>
        <xdr:cNvPr id="22" name="Freeform 21"/>
        <xdr:cNvSpPr/>
      </xdr:nvSpPr>
      <xdr:spPr>
        <a:xfrm>
          <a:off x="9029700" y="3060700"/>
          <a:ext cx="514350" cy="249237"/>
        </a:xfrm>
        <a:custGeom>
          <a:avLst/>
          <a:gdLst>
            <a:gd name="connsiteX0" fmla="*/ 0 w 514350"/>
            <a:gd name="connsiteY0" fmla="*/ 168275 h 249237"/>
            <a:gd name="connsiteX1" fmla="*/ 66675 w 514350"/>
            <a:gd name="connsiteY1" fmla="*/ 34925 h 249237"/>
            <a:gd name="connsiteX2" fmla="*/ 66675 w 514350"/>
            <a:gd name="connsiteY2" fmla="*/ 34925 h 249237"/>
            <a:gd name="connsiteX3" fmla="*/ 142875 w 514350"/>
            <a:gd name="connsiteY3" fmla="*/ 15875 h 249237"/>
            <a:gd name="connsiteX4" fmla="*/ 228600 w 514350"/>
            <a:gd name="connsiteY4" fmla="*/ 130175 h 249237"/>
            <a:gd name="connsiteX5" fmla="*/ 276225 w 514350"/>
            <a:gd name="connsiteY5" fmla="*/ 177800 h 249237"/>
            <a:gd name="connsiteX6" fmla="*/ 390525 w 514350"/>
            <a:gd name="connsiteY6" fmla="*/ 244475 h 249237"/>
            <a:gd name="connsiteX7" fmla="*/ 476250 w 514350"/>
            <a:gd name="connsiteY7" fmla="*/ 206375 h 249237"/>
            <a:gd name="connsiteX8" fmla="*/ 514350 w 514350"/>
            <a:gd name="connsiteY8" fmla="*/ 177800 h 2492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514350" h="249237">
              <a:moveTo>
                <a:pt x="0" y="168275"/>
              </a:moveTo>
              <a:lnTo>
                <a:pt x="66675" y="34925"/>
              </a:lnTo>
              <a:lnTo>
                <a:pt x="66675" y="34925"/>
              </a:lnTo>
              <a:cubicBezTo>
                <a:pt x="79375" y="31750"/>
                <a:pt x="115888" y="0"/>
                <a:pt x="142875" y="15875"/>
              </a:cubicBezTo>
              <a:cubicBezTo>
                <a:pt x="169863" y="31750"/>
                <a:pt x="206375" y="103188"/>
                <a:pt x="228600" y="130175"/>
              </a:cubicBezTo>
              <a:cubicBezTo>
                <a:pt x="250825" y="157162"/>
                <a:pt x="249238" y="158750"/>
                <a:pt x="276225" y="177800"/>
              </a:cubicBezTo>
              <a:cubicBezTo>
                <a:pt x="303212" y="196850"/>
                <a:pt x="357188" y="239713"/>
                <a:pt x="390525" y="244475"/>
              </a:cubicBezTo>
              <a:cubicBezTo>
                <a:pt x="423862" y="249237"/>
                <a:pt x="455613" y="217487"/>
                <a:pt x="476250" y="206375"/>
              </a:cubicBezTo>
              <a:cubicBezTo>
                <a:pt x="496887" y="195263"/>
                <a:pt x="505618" y="186531"/>
                <a:pt x="514350" y="17780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180974</xdr:colOff>
      <xdr:row>10</xdr:row>
      <xdr:rowOff>28575</xdr:rowOff>
    </xdr:from>
    <xdr:to>
      <xdr:col>10</xdr:col>
      <xdr:colOff>581025</xdr:colOff>
      <xdr:row>22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0.24147</cdr:x>
      <cdr:y>0.26617</cdr:y>
    </cdr:from>
    <cdr:to>
      <cdr:x>0.87139</cdr:x>
      <cdr:y>0.53234</cdr:y>
    </cdr:to>
    <cdr:sp macro="" textlink="">
      <cdr:nvSpPr>
        <cdr:cNvPr id="2" name="Freeform 1"/>
        <cdr:cNvSpPr/>
      </cdr:nvSpPr>
      <cdr:spPr>
        <a:xfrm xmlns:a="http://schemas.openxmlformats.org/drawingml/2006/main">
          <a:off x="876308" y="509586"/>
          <a:ext cx="2285995" cy="509589"/>
        </a:xfrm>
        <a:custGeom xmlns:a="http://schemas.openxmlformats.org/drawingml/2006/main">
          <a:avLst/>
          <a:gdLst>
            <a:gd name="connsiteX0" fmla="*/ 0 w 2286000"/>
            <a:gd name="connsiteY0" fmla="*/ 209550 h 509588"/>
            <a:gd name="connsiteX1" fmla="*/ 600075 w 2286000"/>
            <a:gd name="connsiteY1" fmla="*/ 114300 h 509588"/>
            <a:gd name="connsiteX2" fmla="*/ 600075 w 2286000"/>
            <a:gd name="connsiteY2" fmla="*/ 114300 h 509588"/>
            <a:gd name="connsiteX3" fmla="*/ 1143000 w 2286000"/>
            <a:gd name="connsiteY3" fmla="*/ 457200 h 509588"/>
            <a:gd name="connsiteX4" fmla="*/ 1724025 w 2286000"/>
            <a:gd name="connsiteY4" fmla="*/ 428625 h 509588"/>
            <a:gd name="connsiteX5" fmla="*/ 2286000 w 2286000"/>
            <a:gd name="connsiteY5" fmla="*/ 0 h 5095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286000" h="509588">
              <a:moveTo>
                <a:pt x="0" y="209550"/>
              </a:moveTo>
              <a:lnTo>
                <a:pt x="600075" y="114300"/>
              </a:lnTo>
              <a:lnTo>
                <a:pt x="600075" y="114300"/>
              </a:lnTo>
              <a:cubicBezTo>
                <a:pt x="690562" y="171450"/>
                <a:pt x="955675" y="404813"/>
                <a:pt x="1143000" y="457200"/>
              </a:cubicBezTo>
              <a:cubicBezTo>
                <a:pt x="1330325" y="509588"/>
                <a:pt x="1533525" y="504825"/>
                <a:pt x="1724025" y="428625"/>
              </a:cubicBezTo>
              <a:cubicBezTo>
                <a:pt x="1914525" y="352425"/>
                <a:pt x="2100262" y="176212"/>
                <a:pt x="2286000" y="0"/>
              </a:cubicBezTo>
            </a:path>
          </a:pathLst>
        </a:cu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0.1625</cdr:x>
      <cdr:y>0.26042</cdr:y>
    </cdr:from>
    <cdr:to>
      <cdr:x>0.82292</cdr:x>
      <cdr:y>0.74016</cdr:y>
    </cdr:to>
    <cdr:sp macro="" textlink="">
      <cdr:nvSpPr>
        <cdr:cNvPr id="2" name="Freeform 1"/>
        <cdr:cNvSpPr/>
      </cdr:nvSpPr>
      <cdr:spPr>
        <a:xfrm xmlns:a="http://schemas.openxmlformats.org/drawingml/2006/main">
          <a:off x="742950" y="714375"/>
          <a:ext cx="3019425" cy="1316037"/>
        </a:xfrm>
        <a:custGeom xmlns:a="http://schemas.openxmlformats.org/drawingml/2006/main">
          <a:avLst/>
          <a:gdLst>
            <a:gd name="connsiteX0" fmla="*/ 0 w 3019425"/>
            <a:gd name="connsiteY0" fmla="*/ 533400 h 1316037"/>
            <a:gd name="connsiteX1" fmla="*/ 762000 w 3019425"/>
            <a:gd name="connsiteY1" fmla="*/ 266700 h 1316037"/>
            <a:gd name="connsiteX2" fmla="*/ 1533525 w 3019425"/>
            <a:gd name="connsiteY2" fmla="*/ 1181100 h 1316037"/>
            <a:gd name="connsiteX3" fmla="*/ 2276475 w 3019425"/>
            <a:gd name="connsiteY3" fmla="*/ 1076325 h 1316037"/>
            <a:gd name="connsiteX4" fmla="*/ 3019425 w 3019425"/>
            <a:gd name="connsiteY4" fmla="*/ 0 h 13160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019425" h="1316037">
              <a:moveTo>
                <a:pt x="0" y="533400"/>
              </a:moveTo>
              <a:cubicBezTo>
                <a:pt x="253206" y="346075"/>
                <a:pt x="506413" y="158750"/>
                <a:pt x="762000" y="266700"/>
              </a:cubicBezTo>
              <a:cubicBezTo>
                <a:pt x="1017587" y="374650"/>
                <a:pt x="1281113" y="1046163"/>
                <a:pt x="1533525" y="1181100"/>
              </a:cubicBezTo>
              <a:cubicBezTo>
                <a:pt x="1785937" y="1316037"/>
                <a:pt x="2028825" y="1273175"/>
                <a:pt x="2276475" y="1076325"/>
              </a:cubicBezTo>
              <a:cubicBezTo>
                <a:pt x="2524125" y="879475"/>
                <a:pt x="2771775" y="439737"/>
                <a:pt x="3019425" y="0"/>
              </a:cubicBezTo>
            </a:path>
          </a:pathLst>
        </a:cu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0.32292</cdr:x>
      <cdr:y>0.35417</cdr:y>
    </cdr:from>
    <cdr:to>
      <cdr:x>0.5</cdr:x>
      <cdr:y>0.6875</cdr:y>
    </cdr:to>
    <cdr:sp macro="" textlink="">
      <cdr:nvSpPr>
        <cdr:cNvPr id="4" name="Straight Connector 3"/>
        <cdr:cNvSpPr/>
      </cdr:nvSpPr>
      <cdr:spPr>
        <a:xfrm xmlns:a="http://schemas.openxmlformats.org/drawingml/2006/main" rot="16200000" flipH="1">
          <a:off x="1476374" y="971549"/>
          <a:ext cx="809626" cy="9144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0.50833</cdr:x>
      <cdr:y>0.64931</cdr:y>
    </cdr:from>
    <cdr:to>
      <cdr:x>0.66042</cdr:x>
      <cdr:y>0.69444</cdr:y>
    </cdr:to>
    <cdr:sp macro="" textlink="">
      <cdr:nvSpPr>
        <cdr:cNvPr id="6" name="Straight Connector 5"/>
        <cdr:cNvSpPr/>
      </cdr:nvSpPr>
      <cdr:spPr>
        <a:xfrm xmlns:a="http://schemas.openxmlformats.org/drawingml/2006/main" flipV="1">
          <a:off x="2324100" y="1781175"/>
          <a:ext cx="695325" cy="1238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0.66458</cdr:x>
      <cdr:y>0.26389</cdr:y>
    </cdr:from>
    <cdr:to>
      <cdr:x>0.82083</cdr:x>
      <cdr:y>0.65278</cdr:y>
    </cdr:to>
    <cdr:sp macro="" textlink="">
      <cdr:nvSpPr>
        <cdr:cNvPr id="8" name="Straight Connector 7"/>
        <cdr:cNvSpPr/>
      </cdr:nvSpPr>
      <cdr:spPr>
        <a:xfrm xmlns:a="http://schemas.openxmlformats.org/drawingml/2006/main" rot="5400000" flipH="1" flipV="1">
          <a:off x="3038474" y="723900"/>
          <a:ext cx="714376" cy="10668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L14" sqref="L14"/>
    </sheetView>
  </sheetViews>
  <sheetFormatPr defaultRowHeight="15" x14ac:dyDescent="0.25"/>
  <cols>
    <col min="1" max="1" width="11" customWidth="1"/>
  </cols>
  <sheetData>
    <row r="1" spans="1:10" x14ac:dyDescent="0.25">
      <c r="A1" t="s">
        <v>0</v>
      </c>
    </row>
    <row r="2" spans="1:10" x14ac:dyDescent="0.25">
      <c r="A2">
        <v>15</v>
      </c>
      <c r="J2" t="s">
        <v>19</v>
      </c>
    </row>
    <row r="3" spans="1:10" x14ac:dyDescent="0.25">
      <c r="A3">
        <v>20</v>
      </c>
      <c r="J3" t="s">
        <v>394</v>
      </c>
    </row>
    <row r="4" spans="1:10" x14ac:dyDescent="0.25">
      <c r="A4">
        <v>50</v>
      </c>
      <c r="J4" t="s">
        <v>395</v>
      </c>
    </row>
    <row r="5" spans="1:10" x14ac:dyDescent="0.25">
      <c r="A5">
        <v>35</v>
      </c>
      <c r="J5" t="s">
        <v>396</v>
      </c>
    </row>
    <row r="6" spans="1:10" x14ac:dyDescent="0.25">
      <c r="A6">
        <v>10</v>
      </c>
    </row>
    <row r="7" spans="1:10" x14ac:dyDescent="0.25">
      <c r="A7" s="1" t="s">
        <v>167</v>
      </c>
    </row>
    <row r="9" spans="1:10" x14ac:dyDescent="0.25">
      <c r="A9" t="s">
        <v>1</v>
      </c>
      <c r="B9">
        <v>5</v>
      </c>
    </row>
    <row r="10" spans="1:10" x14ac:dyDescent="0.25">
      <c r="A10" s="1" t="s">
        <v>2</v>
      </c>
      <c r="B10">
        <f>SUM(A2:A6)</f>
        <v>130</v>
      </c>
    </row>
    <row r="11" spans="1:10" x14ac:dyDescent="0.25">
      <c r="A11" s="1"/>
    </row>
    <row r="13" spans="1:10" x14ac:dyDescent="0.25">
      <c r="A13" t="s">
        <v>3</v>
      </c>
      <c r="B13">
        <f>AVERAGE(A2:A6)</f>
        <v>26</v>
      </c>
      <c r="D13" t="s">
        <v>10</v>
      </c>
    </row>
    <row r="14" spans="1:10" x14ac:dyDescent="0.25">
      <c r="A14" t="s">
        <v>4</v>
      </c>
      <c r="B14">
        <f>MEDIAN(A2:A6)</f>
        <v>20</v>
      </c>
      <c r="D14" t="s">
        <v>11</v>
      </c>
    </row>
    <row r="15" spans="1:10" x14ac:dyDescent="0.25">
      <c r="A15" t="s">
        <v>5</v>
      </c>
      <c r="C15">
        <f>STDEV(A2:A6)</f>
        <v>16.355427233796124</v>
      </c>
      <c r="D15" t="s">
        <v>12</v>
      </c>
    </row>
    <row r="16" spans="1:10" x14ac:dyDescent="0.25">
      <c r="A16" t="s">
        <v>6</v>
      </c>
      <c r="B16">
        <v>50</v>
      </c>
    </row>
    <row r="17" spans="1:6" x14ac:dyDescent="0.25">
      <c r="A17" t="s">
        <v>7</v>
      </c>
      <c r="B17">
        <f>C15^2</f>
        <v>267.49999999999994</v>
      </c>
      <c r="D17" t="s">
        <v>13</v>
      </c>
    </row>
    <row r="18" spans="1:6" x14ac:dyDescent="0.25">
      <c r="A18" t="s">
        <v>8</v>
      </c>
      <c r="B18">
        <f>SKEW(A2:A6)</f>
        <v>0.84855653566904521</v>
      </c>
      <c r="D18" t="s">
        <v>14</v>
      </c>
    </row>
    <row r="19" spans="1:6" x14ac:dyDescent="0.25">
      <c r="A19" t="s">
        <v>9</v>
      </c>
      <c r="B19">
        <f>KURT(A2:A6)</f>
        <v>-0.66643374967245883</v>
      </c>
      <c r="D19" t="s">
        <v>15</v>
      </c>
    </row>
    <row r="20" spans="1:6" x14ac:dyDescent="0.25">
      <c r="A20" t="s">
        <v>36</v>
      </c>
      <c r="B20">
        <f>QUARTILE(A2:A6,1)</f>
        <v>15</v>
      </c>
      <c r="D20" t="s">
        <v>39</v>
      </c>
    </row>
    <row r="21" spans="1:6" x14ac:dyDescent="0.25">
      <c r="A21" t="s">
        <v>37</v>
      </c>
      <c r="B21">
        <f>QUARTILE(A2:A6,2)</f>
        <v>20</v>
      </c>
    </row>
    <row r="22" spans="1:6" x14ac:dyDescent="0.25">
      <c r="A22" t="s">
        <v>38</v>
      </c>
      <c r="B22">
        <f>QUARTILE(A2:A6,3)</f>
        <v>35</v>
      </c>
    </row>
    <row r="23" spans="1:6" x14ac:dyDescent="0.25">
      <c r="A23" t="s">
        <v>40</v>
      </c>
      <c r="B23">
        <f>PERCENTILE(A2:A6,0.1)</f>
        <v>12</v>
      </c>
    </row>
    <row r="24" spans="1:6" x14ac:dyDescent="0.25">
      <c r="A24" t="s">
        <v>41</v>
      </c>
      <c r="F24">
        <f>10*(B9+1)/10</f>
        <v>6</v>
      </c>
    </row>
    <row r="25" spans="1:6" x14ac:dyDescent="0.25">
      <c r="A25" t="s">
        <v>42</v>
      </c>
    </row>
    <row r="26" spans="1:6" x14ac:dyDescent="0.25">
      <c r="A26" t="s">
        <v>43</v>
      </c>
      <c r="D26">
        <f>5*(B9+1)/10</f>
        <v>3</v>
      </c>
    </row>
    <row r="27" spans="1:6" x14ac:dyDescent="0.25">
      <c r="A27" t="s">
        <v>44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22" sqref="I22"/>
    </sheetView>
  </sheetViews>
  <sheetFormatPr defaultRowHeight="15" x14ac:dyDescent="0.25"/>
  <cols>
    <col min="5" max="5" width="10.140625" customWidth="1"/>
  </cols>
  <sheetData>
    <row r="1" spans="1:15" x14ac:dyDescent="0.25">
      <c r="C1" t="s">
        <v>207</v>
      </c>
    </row>
    <row r="3" spans="1:15" x14ac:dyDescent="0.25">
      <c r="A3" t="s">
        <v>208</v>
      </c>
      <c r="B3" t="s">
        <v>58</v>
      </c>
      <c r="C3" t="s">
        <v>212</v>
      </c>
      <c r="D3" t="s">
        <v>58</v>
      </c>
      <c r="E3" t="s">
        <v>213</v>
      </c>
      <c r="F3" t="s">
        <v>58</v>
      </c>
      <c r="O3" t="s">
        <v>197</v>
      </c>
    </row>
    <row r="4" spans="1:15" x14ac:dyDescent="0.25">
      <c r="A4" t="s">
        <v>209</v>
      </c>
      <c r="B4">
        <v>5</v>
      </c>
      <c r="C4">
        <v>20</v>
      </c>
      <c r="D4">
        <f>B4</f>
        <v>5</v>
      </c>
      <c r="E4">
        <v>0</v>
      </c>
      <c r="F4">
        <f>F5+B4</f>
        <v>92</v>
      </c>
      <c r="O4" t="s">
        <v>214</v>
      </c>
    </row>
    <row r="5" spans="1:15" x14ac:dyDescent="0.25">
      <c r="A5" t="s">
        <v>210</v>
      </c>
      <c r="B5">
        <v>18</v>
      </c>
      <c r="C5">
        <v>40</v>
      </c>
      <c r="D5">
        <f>D4+B5</f>
        <v>23</v>
      </c>
      <c r="E5">
        <v>20</v>
      </c>
      <c r="F5">
        <f>F6+B5</f>
        <v>87</v>
      </c>
      <c r="O5" t="s">
        <v>199</v>
      </c>
    </row>
    <row r="6" spans="1:15" x14ac:dyDescent="0.25">
      <c r="A6" t="s">
        <v>211</v>
      </c>
      <c r="B6">
        <v>32</v>
      </c>
      <c r="C6">
        <v>60</v>
      </c>
      <c r="D6">
        <f t="shared" ref="D6:D8" si="0">D5+B6</f>
        <v>55</v>
      </c>
      <c r="E6">
        <v>40</v>
      </c>
      <c r="F6">
        <f>F7+B6</f>
        <v>69</v>
      </c>
      <c r="O6" t="s">
        <v>215</v>
      </c>
    </row>
    <row r="7" spans="1:15" x14ac:dyDescent="0.25">
      <c r="A7" t="s">
        <v>90</v>
      </c>
      <c r="B7">
        <v>22</v>
      </c>
      <c r="C7">
        <v>80</v>
      </c>
      <c r="D7">
        <f t="shared" si="0"/>
        <v>77</v>
      </c>
      <c r="E7">
        <v>60</v>
      </c>
      <c r="F7">
        <f>F8+B7</f>
        <v>37</v>
      </c>
      <c r="O7" t="s">
        <v>216</v>
      </c>
    </row>
    <row r="8" spans="1:15" x14ac:dyDescent="0.25">
      <c r="A8" t="s">
        <v>91</v>
      </c>
      <c r="B8">
        <v>15</v>
      </c>
      <c r="C8">
        <v>100</v>
      </c>
      <c r="D8">
        <f t="shared" si="0"/>
        <v>92</v>
      </c>
      <c r="E8">
        <v>80</v>
      </c>
      <c r="F8">
        <f>B8</f>
        <v>15</v>
      </c>
      <c r="O8" t="s">
        <v>217</v>
      </c>
    </row>
    <row r="9" spans="1:15" x14ac:dyDescent="0.25">
      <c r="O9" t="s">
        <v>218</v>
      </c>
    </row>
    <row r="10" spans="1:15" x14ac:dyDescent="0.25">
      <c r="O10" t="s">
        <v>219</v>
      </c>
    </row>
    <row r="11" spans="1:15" x14ac:dyDescent="0.25">
      <c r="O11" t="s">
        <v>220</v>
      </c>
    </row>
    <row r="12" spans="1:15" x14ac:dyDescent="0.25">
      <c r="O12" s="11" t="s">
        <v>221</v>
      </c>
    </row>
    <row r="13" spans="1:15" x14ac:dyDescent="0.25">
      <c r="O13" t="s">
        <v>222</v>
      </c>
    </row>
    <row r="14" spans="1:15" x14ac:dyDescent="0.25">
      <c r="O14" t="s">
        <v>223</v>
      </c>
    </row>
    <row r="15" spans="1:15" x14ac:dyDescent="0.25">
      <c r="O15" t="s">
        <v>224</v>
      </c>
    </row>
    <row r="16" spans="1:15" x14ac:dyDescent="0.25">
      <c r="O16" t="s">
        <v>225</v>
      </c>
    </row>
    <row r="17" spans="15:15" x14ac:dyDescent="0.25">
      <c r="O17" t="s">
        <v>226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N25" sqref="N25:O31"/>
    </sheetView>
  </sheetViews>
  <sheetFormatPr defaultRowHeight="15" x14ac:dyDescent="0.25"/>
  <sheetData>
    <row r="1" spans="1:19" x14ac:dyDescent="0.25">
      <c r="A1">
        <v>5</v>
      </c>
    </row>
    <row r="2" spans="1:19" x14ac:dyDescent="0.25">
      <c r="A2">
        <v>10</v>
      </c>
      <c r="C2" t="s">
        <v>89</v>
      </c>
      <c r="D2" t="s">
        <v>58</v>
      </c>
      <c r="O2" t="s">
        <v>197</v>
      </c>
    </row>
    <row r="3" spans="1:19" x14ac:dyDescent="0.25">
      <c r="A3">
        <v>15</v>
      </c>
      <c r="C3" t="s">
        <v>52</v>
      </c>
      <c r="D3">
        <v>12</v>
      </c>
      <c r="O3" t="s">
        <v>228</v>
      </c>
    </row>
    <row r="4" spans="1:19" x14ac:dyDescent="0.25">
      <c r="A4">
        <v>35</v>
      </c>
      <c r="C4" t="s">
        <v>53</v>
      </c>
      <c r="D4">
        <v>15</v>
      </c>
      <c r="O4" t="s">
        <v>229</v>
      </c>
    </row>
    <row r="5" spans="1:19" x14ac:dyDescent="0.25">
      <c r="A5">
        <v>25</v>
      </c>
      <c r="C5" t="s">
        <v>54</v>
      </c>
      <c r="D5">
        <v>5</v>
      </c>
      <c r="O5" t="s">
        <v>230</v>
      </c>
      <c r="S5" s="20"/>
    </row>
    <row r="6" spans="1:19" x14ac:dyDescent="0.25">
      <c r="A6">
        <v>40</v>
      </c>
      <c r="C6" t="s">
        <v>55</v>
      </c>
      <c r="D6">
        <v>6</v>
      </c>
      <c r="O6" t="s">
        <v>231</v>
      </c>
      <c r="S6" s="20"/>
    </row>
    <row r="7" spans="1:19" x14ac:dyDescent="0.25">
      <c r="A7">
        <v>30</v>
      </c>
      <c r="C7" t="s">
        <v>56</v>
      </c>
      <c r="D7">
        <v>18</v>
      </c>
      <c r="O7" t="s">
        <v>232</v>
      </c>
    </row>
    <row r="8" spans="1:19" x14ac:dyDescent="0.25">
      <c r="O8" t="s">
        <v>233</v>
      </c>
      <c r="S8" s="20"/>
    </row>
    <row r="9" spans="1:19" x14ac:dyDescent="0.25">
      <c r="O9" t="s">
        <v>234</v>
      </c>
      <c r="P9" s="11"/>
      <c r="S9" s="20"/>
    </row>
    <row r="10" spans="1:19" x14ac:dyDescent="0.25">
      <c r="O10" s="11" t="s">
        <v>235</v>
      </c>
      <c r="S10" s="20"/>
    </row>
    <row r="11" spans="1:19" ht="15.75" thickBot="1" x14ac:dyDescent="0.3">
      <c r="O11" t="s">
        <v>236</v>
      </c>
      <c r="S11" s="20"/>
    </row>
    <row r="12" spans="1:19" x14ac:dyDescent="0.25">
      <c r="A12" t="s">
        <v>227</v>
      </c>
      <c r="B12" s="6" t="s">
        <v>99</v>
      </c>
      <c r="C12" s="6" t="s">
        <v>101</v>
      </c>
      <c r="O12" t="s">
        <v>237</v>
      </c>
      <c r="S12" s="20"/>
    </row>
    <row r="13" spans="1:19" x14ac:dyDescent="0.25">
      <c r="A13">
        <v>0</v>
      </c>
      <c r="B13" s="3">
        <v>0</v>
      </c>
      <c r="C13" s="4">
        <v>0</v>
      </c>
      <c r="O13" t="s">
        <v>238</v>
      </c>
      <c r="S13" s="20"/>
    </row>
    <row r="14" spans="1:19" x14ac:dyDescent="0.25">
      <c r="A14">
        <v>10</v>
      </c>
      <c r="B14" s="3">
        <v>10</v>
      </c>
      <c r="C14" s="4">
        <v>2</v>
      </c>
      <c r="O14" t="s">
        <v>239</v>
      </c>
    </row>
    <row r="15" spans="1:19" x14ac:dyDescent="0.25">
      <c r="A15">
        <v>20</v>
      </c>
      <c r="B15" s="3">
        <v>20</v>
      </c>
      <c r="C15" s="4">
        <v>1</v>
      </c>
      <c r="O15" t="s">
        <v>240</v>
      </c>
    </row>
    <row r="16" spans="1:19" x14ac:dyDescent="0.25">
      <c r="A16">
        <v>30</v>
      </c>
      <c r="B16" s="3">
        <v>30</v>
      </c>
      <c r="C16" s="4">
        <v>2</v>
      </c>
      <c r="O16" t="s">
        <v>241</v>
      </c>
    </row>
    <row r="17" spans="1:15" x14ac:dyDescent="0.25">
      <c r="A17">
        <v>40</v>
      </c>
      <c r="B17" s="3">
        <v>40</v>
      </c>
      <c r="C17" s="4">
        <v>2</v>
      </c>
      <c r="O17" t="s">
        <v>242</v>
      </c>
    </row>
    <row r="18" spans="1:15" x14ac:dyDescent="0.25">
      <c r="A18">
        <v>50</v>
      </c>
      <c r="B18" s="3">
        <v>50</v>
      </c>
      <c r="C18" s="4">
        <v>0</v>
      </c>
    </row>
    <row r="19" spans="1:15" ht="15.75" thickBot="1" x14ac:dyDescent="0.3">
      <c r="B19" s="5" t="s">
        <v>100</v>
      </c>
      <c r="C19" s="5">
        <v>0</v>
      </c>
      <c r="O19" t="s">
        <v>243</v>
      </c>
    </row>
    <row r="24" spans="1:15" x14ac:dyDescent="0.25">
      <c r="O24" t="s">
        <v>101</v>
      </c>
    </row>
    <row r="25" spans="1:15" x14ac:dyDescent="0.25">
      <c r="N25" s="20"/>
      <c r="O25">
        <v>0</v>
      </c>
    </row>
    <row r="26" spans="1:15" x14ac:dyDescent="0.25">
      <c r="N26" s="20">
        <v>10</v>
      </c>
      <c r="O26">
        <v>2</v>
      </c>
    </row>
    <row r="27" spans="1:15" x14ac:dyDescent="0.25">
      <c r="N27" s="20">
        <v>20</v>
      </c>
      <c r="O27">
        <v>1</v>
      </c>
    </row>
    <row r="28" spans="1:15" x14ac:dyDescent="0.25">
      <c r="N28" s="20">
        <v>30</v>
      </c>
      <c r="O28">
        <v>2</v>
      </c>
    </row>
    <row r="29" spans="1:15" x14ac:dyDescent="0.25">
      <c r="N29" s="20">
        <v>40</v>
      </c>
      <c r="O29">
        <v>2</v>
      </c>
    </row>
    <row r="30" spans="1:15" x14ac:dyDescent="0.25">
      <c r="N30" s="20">
        <v>50</v>
      </c>
      <c r="O30">
        <v>0</v>
      </c>
    </row>
    <row r="31" spans="1:15" x14ac:dyDescent="0.25">
      <c r="N31" t="s">
        <v>100</v>
      </c>
      <c r="O31">
        <v>0</v>
      </c>
    </row>
  </sheetData>
  <sortState ref="N25:N30">
    <sortCondition ref="N25"/>
  </sortState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N15" sqref="N15"/>
    </sheetView>
  </sheetViews>
  <sheetFormatPr defaultRowHeight="15" x14ac:dyDescent="0.25"/>
  <cols>
    <col min="1" max="1" width="10.42578125" customWidth="1"/>
  </cols>
  <sheetData>
    <row r="1" spans="1:19" x14ac:dyDescent="0.25">
      <c r="E1" t="s">
        <v>254</v>
      </c>
    </row>
    <row r="2" spans="1:19" ht="15.75" thickBot="1" x14ac:dyDescent="0.3">
      <c r="H2" t="s">
        <v>197</v>
      </c>
    </row>
    <row r="3" spans="1:19" x14ac:dyDescent="0.25">
      <c r="A3" s="13" t="s">
        <v>0</v>
      </c>
      <c r="B3" s="13" t="s">
        <v>255</v>
      </c>
      <c r="C3" s="13" t="s">
        <v>256</v>
      </c>
      <c r="D3" s="13" t="s">
        <v>257</v>
      </c>
      <c r="E3" s="13" t="s">
        <v>258</v>
      </c>
      <c r="F3" s="13" t="s">
        <v>259</v>
      </c>
      <c r="H3" t="s">
        <v>554</v>
      </c>
      <c r="K3" t="s">
        <v>555</v>
      </c>
      <c r="P3" s="6" t="s">
        <v>582</v>
      </c>
      <c r="Q3" s="6" t="s">
        <v>583</v>
      </c>
      <c r="R3" s="6" t="s">
        <v>584</v>
      </c>
      <c r="S3" s="6" t="s">
        <v>585</v>
      </c>
    </row>
    <row r="4" spans="1:19" ht="15.75" thickBot="1" x14ac:dyDescent="0.3">
      <c r="A4" s="13">
        <v>97</v>
      </c>
      <c r="B4" s="13">
        <v>73</v>
      </c>
      <c r="C4" s="13">
        <f>RANK(A4,A4:A8,1)</f>
        <v>3</v>
      </c>
      <c r="D4" s="13">
        <f>RANK(B4,B4:B8,1)</f>
        <v>1</v>
      </c>
      <c r="E4" s="13">
        <f>C4-D4</f>
        <v>2</v>
      </c>
      <c r="F4" s="13">
        <f>E4^2</f>
        <v>4</v>
      </c>
      <c r="H4" t="s">
        <v>264</v>
      </c>
      <c r="P4" s="4">
        <v>6</v>
      </c>
      <c r="Q4" s="3">
        <v>89</v>
      </c>
      <c r="R4" s="4">
        <v>1</v>
      </c>
      <c r="S4" s="24">
        <v>1</v>
      </c>
    </row>
    <row r="5" spans="1:19" x14ac:dyDescent="0.25">
      <c r="A5" s="13">
        <v>99</v>
      </c>
      <c r="B5" s="13">
        <v>86</v>
      </c>
      <c r="C5" s="13">
        <f>RANK(A5,A4:A8,1)</f>
        <v>5</v>
      </c>
      <c r="D5" s="13">
        <v>5</v>
      </c>
      <c r="E5" s="13">
        <f t="shared" ref="E5:E8" si="0">C5-D5</f>
        <v>0</v>
      </c>
      <c r="F5" s="13">
        <f t="shared" ref="F5:F8" si="1">E5^2</f>
        <v>0</v>
      </c>
      <c r="M5" s="6" t="s">
        <v>584</v>
      </c>
      <c r="N5">
        <v>23</v>
      </c>
      <c r="P5" s="4">
        <v>5</v>
      </c>
      <c r="Q5" s="3">
        <v>78</v>
      </c>
      <c r="R5" s="4">
        <v>2</v>
      </c>
      <c r="S5" s="24">
        <v>0.8</v>
      </c>
    </row>
    <row r="6" spans="1:19" x14ac:dyDescent="0.25">
      <c r="A6" s="13">
        <v>98</v>
      </c>
      <c r="B6" s="13">
        <v>78</v>
      </c>
      <c r="C6" s="13">
        <f>RANK(A6,A4:A8,1)</f>
        <v>4</v>
      </c>
      <c r="D6" s="13">
        <v>4</v>
      </c>
      <c r="E6" s="13">
        <f t="shared" si="0"/>
        <v>0</v>
      </c>
      <c r="F6" s="13">
        <f t="shared" si="1"/>
        <v>0</v>
      </c>
      <c r="H6" t="s">
        <v>265</v>
      </c>
      <c r="M6" s="4">
        <v>1</v>
      </c>
      <c r="N6">
        <v>45</v>
      </c>
      <c r="P6" s="4">
        <v>4</v>
      </c>
      <c r="Q6" s="3">
        <v>67</v>
      </c>
      <c r="R6" s="4">
        <v>3</v>
      </c>
      <c r="S6" s="24">
        <v>0.6</v>
      </c>
    </row>
    <row r="7" spans="1:19" x14ac:dyDescent="0.25">
      <c r="A7" s="13">
        <v>94</v>
      </c>
      <c r="B7" s="13">
        <v>77</v>
      </c>
      <c r="C7" s="13">
        <f>RANK(A7,A4:A8,1)</f>
        <v>1</v>
      </c>
      <c r="D7" s="13">
        <v>3</v>
      </c>
      <c r="E7" s="13">
        <f t="shared" si="0"/>
        <v>-2</v>
      </c>
      <c r="F7" s="13">
        <f t="shared" si="1"/>
        <v>4</v>
      </c>
      <c r="M7" s="4">
        <v>2</v>
      </c>
      <c r="N7">
        <v>56</v>
      </c>
      <c r="P7" s="4">
        <v>3</v>
      </c>
      <c r="Q7" s="3">
        <v>56</v>
      </c>
      <c r="R7" s="4">
        <v>4</v>
      </c>
      <c r="S7" s="24">
        <v>0.4</v>
      </c>
    </row>
    <row r="8" spans="1:19" x14ac:dyDescent="0.25">
      <c r="A8" s="13">
        <v>95</v>
      </c>
      <c r="B8" s="13">
        <v>75</v>
      </c>
      <c r="C8" s="13">
        <f>RANK(A8,A4:A8,1)</f>
        <v>2</v>
      </c>
      <c r="D8" s="13">
        <v>2</v>
      </c>
      <c r="E8" s="13">
        <f t="shared" si="0"/>
        <v>0</v>
      </c>
      <c r="F8" s="13">
        <f t="shared" si="1"/>
        <v>0</v>
      </c>
      <c r="M8" s="4">
        <v>3</v>
      </c>
      <c r="N8">
        <v>67</v>
      </c>
      <c r="P8" s="4">
        <v>2</v>
      </c>
      <c r="Q8" s="3">
        <v>45</v>
      </c>
      <c r="R8" s="4">
        <v>5</v>
      </c>
      <c r="S8" s="24">
        <v>0.2</v>
      </c>
    </row>
    <row r="9" spans="1:19" ht="15.75" thickBot="1" x14ac:dyDescent="0.3">
      <c r="A9" s="13"/>
      <c r="B9" s="13"/>
      <c r="C9" s="13"/>
      <c r="D9" s="13"/>
      <c r="E9" s="13"/>
      <c r="F9" s="21" t="s">
        <v>556</v>
      </c>
      <c r="M9" s="4">
        <v>4</v>
      </c>
      <c r="N9">
        <v>78</v>
      </c>
      <c r="P9" s="5">
        <v>1</v>
      </c>
      <c r="Q9" s="25">
        <v>23</v>
      </c>
      <c r="R9" s="5">
        <v>6</v>
      </c>
      <c r="S9" s="26">
        <v>0</v>
      </c>
    </row>
    <row r="10" spans="1:19" x14ac:dyDescent="0.25">
      <c r="M10" s="4">
        <v>5</v>
      </c>
      <c r="N10">
        <v>89</v>
      </c>
    </row>
    <row r="11" spans="1:19" ht="15.75" thickBot="1" x14ac:dyDescent="0.3">
      <c r="M11" s="5">
        <v>6</v>
      </c>
    </row>
    <row r="12" spans="1:19" x14ac:dyDescent="0.25">
      <c r="A12" t="s">
        <v>1</v>
      </c>
      <c r="B12">
        <v>5</v>
      </c>
      <c r="J12">
        <f>PEARSON(N5:N10,M6:M11)</f>
        <v>0.98974331861078702</v>
      </c>
    </row>
    <row r="13" spans="1:19" x14ac:dyDescent="0.25">
      <c r="A13" s="1" t="s">
        <v>260</v>
      </c>
      <c r="B13">
        <f>SUM(F4:F8)</f>
        <v>8</v>
      </c>
      <c r="N13">
        <f>CORREL(N5:N10,M6:M11)</f>
        <v>0.98974331861078702</v>
      </c>
    </row>
    <row r="14" spans="1:19" x14ac:dyDescent="0.25">
      <c r="A14" t="s">
        <v>261</v>
      </c>
      <c r="B14">
        <f>6*B13</f>
        <v>48</v>
      </c>
      <c r="N14">
        <f>PEARSON(N5:N10,M6:M11)</f>
        <v>0.98974331861078702</v>
      </c>
    </row>
    <row r="15" spans="1:19" x14ac:dyDescent="0.25">
      <c r="A15" t="s">
        <v>262</v>
      </c>
      <c r="B15">
        <f>B12*(B12^2-1)</f>
        <v>120</v>
      </c>
    </row>
    <row r="17" spans="1:5" x14ac:dyDescent="0.25">
      <c r="A17" t="s">
        <v>263</v>
      </c>
      <c r="E17">
        <f>1-(B14/B15)</f>
        <v>0.6</v>
      </c>
    </row>
  </sheetData>
  <sortState ref="P4:S9">
    <sortCondition ref="R5"/>
  </sortState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zoomScaleNormal="100" workbookViewId="0">
      <selection activeCell="G14" sqref="G14"/>
    </sheetView>
  </sheetViews>
  <sheetFormatPr defaultRowHeight="15" x14ac:dyDescent="0.25"/>
  <cols>
    <col min="4" max="4" width="16.5703125" customWidth="1"/>
    <col min="5" max="5" width="11.7109375" customWidth="1"/>
    <col min="6" max="6" width="13.5703125" customWidth="1"/>
    <col min="9" max="9" width="13.7109375" customWidth="1"/>
    <col min="11" max="11" width="11.7109375" customWidth="1"/>
    <col min="12" max="12" width="12.42578125" customWidth="1"/>
  </cols>
  <sheetData>
    <row r="1" spans="1:18" x14ac:dyDescent="0.25">
      <c r="A1" t="s">
        <v>268</v>
      </c>
      <c r="B1" t="s">
        <v>269</v>
      </c>
    </row>
    <row r="2" spans="1:18" x14ac:dyDescent="0.25">
      <c r="A2">
        <v>46</v>
      </c>
      <c r="B2">
        <v>40</v>
      </c>
      <c r="D2" t="s">
        <v>270</v>
      </c>
    </row>
    <row r="3" spans="1:18" ht="15.75" thickBot="1" x14ac:dyDescent="0.3">
      <c r="A3">
        <v>42</v>
      </c>
      <c r="B3">
        <v>38</v>
      </c>
      <c r="N3" t="s">
        <v>305</v>
      </c>
    </row>
    <row r="4" spans="1:18" x14ac:dyDescent="0.25">
      <c r="A4">
        <v>44</v>
      </c>
      <c r="B4">
        <v>36</v>
      </c>
      <c r="D4" s="12" t="s">
        <v>271</v>
      </c>
      <c r="E4" s="12"/>
      <c r="N4" t="s">
        <v>195</v>
      </c>
      <c r="O4">
        <v>0.5625</v>
      </c>
    </row>
    <row r="5" spans="1:18" x14ac:dyDescent="0.25">
      <c r="A5">
        <v>40</v>
      </c>
      <c r="B5">
        <v>35</v>
      </c>
      <c r="D5" s="4" t="s">
        <v>272</v>
      </c>
      <c r="E5" s="4">
        <v>0.75</v>
      </c>
      <c r="N5" t="s">
        <v>307</v>
      </c>
      <c r="P5">
        <v>7</v>
      </c>
    </row>
    <row r="6" spans="1:18" x14ac:dyDescent="0.25">
      <c r="A6">
        <v>43</v>
      </c>
      <c r="B6">
        <v>39</v>
      </c>
      <c r="D6" s="4" t="s">
        <v>273</v>
      </c>
      <c r="E6" s="4">
        <v>0.5625</v>
      </c>
      <c r="N6" t="s">
        <v>306</v>
      </c>
      <c r="P6">
        <v>5.75</v>
      </c>
    </row>
    <row r="7" spans="1:18" x14ac:dyDescent="0.25">
      <c r="A7">
        <v>41</v>
      </c>
      <c r="B7">
        <v>37</v>
      </c>
      <c r="D7" s="4" t="s">
        <v>274</v>
      </c>
      <c r="E7" s="4">
        <v>0.47499999999999998</v>
      </c>
      <c r="N7" t="s">
        <v>308</v>
      </c>
      <c r="P7">
        <v>0.75</v>
      </c>
    </row>
    <row r="8" spans="1:18" x14ac:dyDescent="0.25">
      <c r="A8">
        <v>45</v>
      </c>
      <c r="B8">
        <v>41</v>
      </c>
      <c r="D8" s="4" t="s">
        <v>275</v>
      </c>
      <c r="E8" s="4">
        <v>1.5652475842498528</v>
      </c>
    </row>
    <row r="9" spans="1:18" ht="15.75" thickBot="1" x14ac:dyDescent="0.3">
      <c r="D9" s="5" t="s">
        <v>276</v>
      </c>
      <c r="E9" s="5">
        <v>7</v>
      </c>
      <c r="M9" t="s">
        <v>309</v>
      </c>
    </row>
    <row r="10" spans="1:18" x14ac:dyDescent="0.25">
      <c r="A10" t="s">
        <v>197</v>
      </c>
      <c r="M10" t="s">
        <v>310</v>
      </c>
    </row>
    <row r="11" spans="1:18" ht="15.75" thickBot="1" x14ac:dyDescent="0.3">
      <c r="A11" t="s">
        <v>298</v>
      </c>
      <c r="D11" t="s">
        <v>277</v>
      </c>
    </row>
    <row r="12" spans="1:18" x14ac:dyDescent="0.25">
      <c r="A12" t="s">
        <v>299</v>
      </c>
      <c r="D12" s="6"/>
      <c r="E12" s="6" t="s">
        <v>282</v>
      </c>
      <c r="F12" s="6" t="s">
        <v>283</v>
      </c>
      <c r="G12" s="6" t="s">
        <v>284</v>
      </c>
      <c r="H12" s="6" t="s">
        <v>16</v>
      </c>
      <c r="I12" s="6" t="s">
        <v>285</v>
      </c>
    </row>
    <row r="13" spans="1:18" x14ac:dyDescent="0.25">
      <c r="A13" t="s">
        <v>300</v>
      </c>
      <c r="D13" s="4" t="s">
        <v>278</v>
      </c>
      <c r="E13" s="4">
        <v>1</v>
      </c>
      <c r="F13" s="4">
        <v>15.75</v>
      </c>
      <c r="G13" s="4">
        <v>15.75</v>
      </c>
      <c r="H13" s="4">
        <v>6.4285714285714279</v>
      </c>
      <c r="I13" s="4">
        <v>5.2181400384389884E-2</v>
      </c>
      <c r="N13" t="s">
        <v>579</v>
      </c>
      <c r="O13">
        <f>SLOPE(B2:B8,A2:A8)</f>
        <v>0.75</v>
      </c>
    </row>
    <row r="14" spans="1:18" x14ac:dyDescent="0.25">
      <c r="A14" t="s">
        <v>301</v>
      </c>
      <c r="D14" s="4" t="s">
        <v>279</v>
      </c>
      <c r="E14" s="4">
        <v>5</v>
      </c>
      <c r="F14" s="4">
        <v>12.25</v>
      </c>
      <c r="G14" s="4">
        <v>2.4500000000000002</v>
      </c>
      <c r="H14" s="4"/>
      <c r="I14" s="4"/>
      <c r="N14" t="s">
        <v>580</v>
      </c>
      <c r="O14">
        <f>INTERCEPT(B2:B8,A2:A8)</f>
        <v>5.75</v>
      </c>
      <c r="Q14" t="s">
        <v>270</v>
      </c>
    </row>
    <row r="15" spans="1:18" ht="15.75" thickBot="1" x14ac:dyDescent="0.3">
      <c r="A15" t="s">
        <v>302</v>
      </c>
      <c r="D15" s="5" t="s">
        <v>280</v>
      </c>
      <c r="E15" s="5">
        <v>6</v>
      </c>
      <c r="F15" s="5">
        <v>28</v>
      </c>
      <c r="G15" s="5"/>
      <c r="H15" s="5"/>
      <c r="I15" s="5"/>
    </row>
    <row r="16" spans="1:18" ht="15.75" thickBot="1" x14ac:dyDescent="0.3">
      <c r="A16" t="s">
        <v>303</v>
      </c>
      <c r="N16" t="s">
        <v>581</v>
      </c>
      <c r="O16">
        <f>O14+O13*30</f>
        <v>28.25</v>
      </c>
      <c r="Q16" s="12" t="s">
        <v>271</v>
      </c>
      <c r="R16" s="12"/>
    </row>
    <row r="17" spans="1:25" x14ac:dyDescent="0.25">
      <c r="A17" t="s">
        <v>304</v>
      </c>
      <c r="D17" s="6"/>
      <c r="E17" s="6" t="s">
        <v>286</v>
      </c>
      <c r="F17" s="6" t="s">
        <v>275</v>
      </c>
      <c r="G17" s="6" t="s">
        <v>287</v>
      </c>
      <c r="H17" s="6" t="s">
        <v>288</v>
      </c>
      <c r="I17" s="6" t="s">
        <v>289</v>
      </c>
      <c r="J17" s="6" t="s">
        <v>290</v>
      </c>
      <c r="K17" s="6" t="s">
        <v>291</v>
      </c>
      <c r="L17" s="6" t="s">
        <v>292</v>
      </c>
      <c r="Q17" s="4" t="s">
        <v>272</v>
      </c>
      <c r="R17" s="4">
        <v>0.74999999999999989</v>
      </c>
    </row>
    <row r="18" spans="1:25" x14ac:dyDescent="0.25">
      <c r="D18" s="4" t="s">
        <v>281</v>
      </c>
      <c r="E18" s="4">
        <v>5.7500000000000071</v>
      </c>
      <c r="F18" s="4">
        <v>12.733322425824298</v>
      </c>
      <c r="G18" s="4">
        <v>0.45157106744886166</v>
      </c>
      <c r="H18" s="4">
        <v>0.67049072636215423</v>
      </c>
      <c r="I18" s="4">
        <v>-26.98204732317075</v>
      </c>
      <c r="J18" s="4">
        <v>38.482047323170761</v>
      </c>
      <c r="K18" s="4">
        <v>-26.98204732317075</v>
      </c>
      <c r="L18" s="4">
        <v>38.482047323170761</v>
      </c>
      <c r="Q18" s="4" t="s">
        <v>273</v>
      </c>
      <c r="R18" s="4">
        <v>0.56249999999999989</v>
      </c>
    </row>
    <row r="19" spans="1:25" ht="15.75" thickBot="1" x14ac:dyDescent="0.3">
      <c r="D19" s="5" t="s">
        <v>293</v>
      </c>
      <c r="E19" s="5">
        <v>0.74999999999999989</v>
      </c>
      <c r="F19" s="5">
        <v>0.2958039891549808</v>
      </c>
      <c r="G19" s="5">
        <v>2.5354627641855494</v>
      </c>
      <c r="H19" s="5">
        <v>5.2181400384389884E-2</v>
      </c>
      <c r="I19" s="5">
        <v>-1.0388361152861928E-2</v>
      </c>
      <c r="J19" s="5">
        <v>1.5103883611528617</v>
      </c>
      <c r="K19" s="5">
        <v>-1.0388361152861928E-2</v>
      </c>
      <c r="L19" s="5">
        <v>1.5103883611528617</v>
      </c>
      <c r="Q19" s="4" t="s">
        <v>274</v>
      </c>
      <c r="R19" s="4">
        <v>0.47499999999999981</v>
      </c>
    </row>
    <row r="20" spans="1:25" x14ac:dyDescent="0.25">
      <c r="Q20" s="4" t="s">
        <v>275</v>
      </c>
      <c r="R20" s="4">
        <v>1.5652475842498528</v>
      </c>
    </row>
    <row r="21" spans="1:25" ht="15.75" thickBot="1" x14ac:dyDescent="0.3">
      <c r="Q21" s="5" t="s">
        <v>276</v>
      </c>
      <c r="R21" s="5">
        <v>7</v>
      </c>
    </row>
    <row r="23" spans="1:25" ht="15.75" thickBot="1" x14ac:dyDescent="0.3">
      <c r="D23" t="s">
        <v>294</v>
      </c>
      <c r="Q23" t="s">
        <v>277</v>
      </c>
    </row>
    <row r="24" spans="1:25" ht="15.75" thickBot="1" x14ac:dyDescent="0.3">
      <c r="Q24" s="6"/>
      <c r="R24" s="6" t="s">
        <v>282</v>
      </c>
      <c r="S24" s="6" t="s">
        <v>283</v>
      </c>
      <c r="T24" s="6" t="s">
        <v>284</v>
      </c>
      <c r="U24" s="6" t="s">
        <v>16</v>
      </c>
      <c r="V24" s="6" t="s">
        <v>285</v>
      </c>
    </row>
    <row r="25" spans="1:25" x14ac:dyDescent="0.25">
      <c r="D25" s="6" t="s">
        <v>295</v>
      </c>
      <c r="E25" s="6" t="s">
        <v>296</v>
      </c>
      <c r="F25" s="6" t="s">
        <v>297</v>
      </c>
      <c r="Q25" s="4" t="s">
        <v>278</v>
      </c>
      <c r="R25" s="4">
        <v>1</v>
      </c>
      <c r="S25" s="4">
        <v>15.749999999999998</v>
      </c>
      <c r="T25" s="4">
        <v>15.749999999999998</v>
      </c>
      <c r="U25" s="4">
        <v>6.428571428571427</v>
      </c>
      <c r="V25" s="4">
        <v>5.2181400457057873E-2</v>
      </c>
    </row>
    <row r="26" spans="1:25" x14ac:dyDescent="0.25">
      <c r="D26" s="4">
        <v>1</v>
      </c>
      <c r="E26" s="4">
        <v>40.25</v>
      </c>
      <c r="F26" s="4">
        <v>-0.25</v>
      </c>
      <c r="Q26" s="4" t="s">
        <v>279</v>
      </c>
      <c r="R26" s="4">
        <v>5</v>
      </c>
      <c r="S26" s="4">
        <v>12.250000000000002</v>
      </c>
      <c r="T26" s="4">
        <v>2.4500000000000002</v>
      </c>
      <c r="U26" s="4"/>
      <c r="V26" s="4"/>
    </row>
    <row r="27" spans="1:25" ht="15.75" thickBot="1" x14ac:dyDescent="0.3">
      <c r="D27" s="4">
        <v>2</v>
      </c>
      <c r="E27" s="4">
        <v>37.25</v>
      </c>
      <c r="F27" s="4">
        <v>0.75</v>
      </c>
      <c r="Q27" s="5" t="s">
        <v>280</v>
      </c>
      <c r="R27" s="5">
        <v>6</v>
      </c>
      <c r="S27" s="5">
        <v>28</v>
      </c>
      <c r="T27" s="5"/>
      <c r="U27" s="5"/>
      <c r="V27" s="5"/>
    </row>
    <row r="28" spans="1:25" ht="15.75" thickBot="1" x14ac:dyDescent="0.3">
      <c r="D28" s="4">
        <v>3</v>
      </c>
      <c r="E28" s="4">
        <v>38.75</v>
      </c>
      <c r="F28" s="4">
        <v>-2.75</v>
      </c>
    </row>
    <row r="29" spans="1:25" x14ac:dyDescent="0.25">
      <c r="D29" s="4">
        <v>4</v>
      </c>
      <c r="E29" s="4">
        <v>35.75</v>
      </c>
      <c r="F29" s="4">
        <v>-0.75</v>
      </c>
      <c r="Q29" s="6"/>
      <c r="R29" s="6" t="s">
        <v>286</v>
      </c>
      <c r="S29" s="6" t="s">
        <v>275</v>
      </c>
      <c r="T29" s="6" t="s">
        <v>287</v>
      </c>
      <c r="U29" s="6" t="s">
        <v>288</v>
      </c>
      <c r="V29" s="6" t="s">
        <v>289</v>
      </c>
      <c r="W29" s="6" t="s">
        <v>290</v>
      </c>
      <c r="X29" s="6" t="s">
        <v>291</v>
      </c>
      <c r="Y29" s="6" t="s">
        <v>292</v>
      </c>
    </row>
    <row r="30" spans="1:25" x14ac:dyDescent="0.25">
      <c r="D30" s="4">
        <v>5</v>
      </c>
      <c r="E30" s="4">
        <v>38</v>
      </c>
      <c r="F30" s="4">
        <v>1</v>
      </c>
      <c r="Q30" s="4" t="s">
        <v>281</v>
      </c>
      <c r="R30" s="4">
        <v>5.75</v>
      </c>
      <c r="S30" s="4">
        <v>12.733322425824298</v>
      </c>
      <c r="T30" s="4">
        <v>0.45157106744886111</v>
      </c>
      <c r="U30" s="4">
        <v>0.67049072633447893</v>
      </c>
      <c r="V30" s="4">
        <v>-26.982047335124477</v>
      </c>
      <c r="W30" s="4">
        <v>38.482047335124477</v>
      </c>
      <c r="X30" s="4">
        <v>-26.982047335124477</v>
      </c>
      <c r="Y30" s="4">
        <v>38.482047335124477</v>
      </c>
    </row>
    <row r="31" spans="1:25" ht="15.75" thickBot="1" x14ac:dyDescent="0.3">
      <c r="D31" s="4">
        <v>6</v>
      </c>
      <c r="E31" s="4">
        <v>36.5</v>
      </c>
      <c r="F31" s="4">
        <v>0.5</v>
      </c>
      <c r="Q31" s="5" t="s">
        <v>293</v>
      </c>
      <c r="R31" s="5">
        <v>0.75</v>
      </c>
      <c r="S31" s="5">
        <v>0.2958039891549808</v>
      </c>
      <c r="T31" s="5">
        <v>2.5354627641855498</v>
      </c>
      <c r="U31" s="5">
        <v>5.2181400457057873E-2</v>
      </c>
      <c r="V31" s="5">
        <v>-1.0388361430555104E-2</v>
      </c>
      <c r="W31" s="5">
        <v>1.5103883614305551</v>
      </c>
      <c r="X31" s="5">
        <v>-1.0388361430555104E-2</v>
      </c>
      <c r="Y31" s="5">
        <v>1.5103883614305551</v>
      </c>
    </row>
    <row r="32" spans="1:25" ht="15.75" thickBot="1" x14ac:dyDescent="0.3">
      <c r="D32" s="5">
        <v>7</v>
      </c>
      <c r="E32" s="5">
        <v>39.5</v>
      </c>
      <c r="F32" s="5">
        <v>1.5</v>
      </c>
    </row>
    <row r="35" spans="17:19" x14ac:dyDescent="0.25">
      <c r="Q35" t="s">
        <v>294</v>
      </c>
    </row>
    <row r="36" spans="17:19" ht="15.75" thickBot="1" x14ac:dyDescent="0.3"/>
    <row r="37" spans="17:19" x14ac:dyDescent="0.25">
      <c r="Q37" s="6" t="s">
        <v>295</v>
      </c>
      <c r="R37" s="6" t="s">
        <v>296</v>
      </c>
      <c r="S37" s="6" t="s">
        <v>297</v>
      </c>
    </row>
    <row r="38" spans="17:19" x14ac:dyDescent="0.25">
      <c r="Q38" s="4">
        <v>1</v>
      </c>
      <c r="R38" s="4">
        <v>40.25</v>
      </c>
      <c r="S38" s="4">
        <v>-0.25</v>
      </c>
    </row>
    <row r="39" spans="17:19" x14ac:dyDescent="0.25">
      <c r="Q39" s="4">
        <v>2</v>
      </c>
      <c r="R39" s="4">
        <v>37.25</v>
      </c>
      <c r="S39" s="4">
        <v>0.75</v>
      </c>
    </row>
    <row r="40" spans="17:19" x14ac:dyDescent="0.25">
      <c r="Q40" s="4">
        <v>3</v>
      </c>
      <c r="R40" s="4">
        <v>38.75</v>
      </c>
      <c r="S40" s="4">
        <v>-2.75</v>
      </c>
    </row>
    <row r="41" spans="17:19" x14ac:dyDescent="0.25">
      <c r="Q41" s="4">
        <v>4</v>
      </c>
      <c r="R41" s="4">
        <v>35.75</v>
      </c>
      <c r="S41" s="4">
        <v>-0.75</v>
      </c>
    </row>
    <row r="42" spans="17:19" x14ac:dyDescent="0.25">
      <c r="Q42" s="4">
        <v>5</v>
      </c>
      <c r="R42" s="4">
        <v>38</v>
      </c>
      <c r="S42" s="4">
        <v>1</v>
      </c>
    </row>
    <row r="43" spans="17:19" x14ac:dyDescent="0.25">
      <c r="Q43" s="4">
        <v>6</v>
      </c>
      <c r="R43" s="4">
        <v>36.5</v>
      </c>
      <c r="S43" s="4">
        <v>0.5</v>
      </c>
    </row>
    <row r="44" spans="17:19" ht="15.75" thickBot="1" x14ac:dyDescent="0.3">
      <c r="Q44" s="5">
        <v>7</v>
      </c>
      <c r="R44" s="5">
        <v>39.5</v>
      </c>
      <c r="S44" s="5">
        <v>1.5</v>
      </c>
    </row>
  </sheetData>
  <sortState ref="I26:I32">
    <sortCondition ref="I26"/>
  </sortState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H4" sqref="H4"/>
    </sheetView>
  </sheetViews>
  <sheetFormatPr defaultRowHeight="15" x14ac:dyDescent="0.25"/>
  <cols>
    <col min="1" max="1" width="8.85546875" customWidth="1"/>
    <col min="2" max="2" width="13.140625" customWidth="1"/>
    <col min="3" max="3" width="11.7109375" customWidth="1"/>
    <col min="9" max="9" width="13.42578125" customWidth="1"/>
    <col min="11" max="11" width="10.7109375" customWidth="1"/>
  </cols>
  <sheetData>
    <row r="1" spans="1:14" x14ac:dyDescent="0.25">
      <c r="A1" s="14" t="s">
        <v>317</v>
      </c>
      <c r="B1" s="14" t="s">
        <v>0</v>
      </c>
      <c r="G1" t="s">
        <v>328</v>
      </c>
      <c r="L1">
        <f>COMBIN(B8,E3)</f>
        <v>10</v>
      </c>
    </row>
    <row r="2" spans="1:14" x14ac:dyDescent="0.25">
      <c r="A2" s="13" t="s">
        <v>318</v>
      </c>
      <c r="B2" s="13">
        <v>3</v>
      </c>
      <c r="C2" t="s">
        <v>327</v>
      </c>
    </row>
    <row r="3" spans="1:14" ht="18" x14ac:dyDescent="0.35">
      <c r="A3" s="13" t="s">
        <v>319</v>
      </c>
      <c r="B3" s="13">
        <v>5</v>
      </c>
      <c r="C3" t="s">
        <v>345</v>
      </c>
      <c r="E3">
        <v>2</v>
      </c>
      <c r="G3" s="13" t="s">
        <v>329</v>
      </c>
      <c r="H3" s="13" t="s">
        <v>340</v>
      </c>
      <c r="I3" s="13" t="s">
        <v>349</v>
      </c>
    </row>
    <row r="4" spans="1:14" x14ac:dyDescent="0.25">
      <c r="A4" s="13" t="s">
        <v>320</v>
      </c>
      <c r="B4" s="13">
        <v>8</v>
      </c>
      <c r="G4" s="13" t="s">
        <v>330</v>
      </c>
      <c r="H4" s="13">
        <v>4</v>
      </c>
      <c r="I4" s="13">
        <f>(H4-C11)^2</f>
        <v>16</v>
      </c>
      <c r="N4" s="1"/>
    </row>
    <row r="5" spans="1:14" x14ac:dyDescent="0.25">
      <c r="A5" s="13" t="s">
        <v>321</v>
      </c>
      <c r="B5" s="13">
        <v>10</v>
      </c>
      <c r="G5" s="13" t="s">
        <v>331</v>
      </c>
      <c r="H5" s="13">
        <v>5.5</v>
      </c>
      <c r="I5" s="13">
        <v>6.25</v>
      </c>
    </row>
    <row r="6" spans="1:14" x14ac:dyDescent="0.25">
      <c r="A6" s="13" t="s">
        <v>322</v>
      </c>
      <c r="B6" s="13">
        <v>14</v>
      </c>
      <c r="G6" s="13" t="s">
        <v>332</v>
      </c>
      <c r="H6" s="13">
        <v>6.5</v>
      </c>
      <c r="I6" s="13">
        <v>2.25</v>
      </c>
    </row>
    <row r="7" spans="1:14" x14ac:dyDescent="0.25">
      <c r="G7" s="13" t="s">
        <v>333</v>
      </c>
      <c r="H7" s="13">
        <v>8.5</v>
      </c>
      <c r="I7" s="13">
        <v>0.25</v>
      </c>
    </row>
    <row r="8" spans="1:14" x14ac:dyDescent="0.25">
      <c r="A8" t="s">
        <v>1</v>
      </c>
      <c r="B8">
        <f>COUNT(B2:B6)</f>
        <v>5</v>
      </c>
      <c r="C8" t="s">
        <v>326</v>
      </c>
      <c r="G8" s="13" t="s">
        <v>334</v>
      </c>
      <c r="H8" s="13">
        <v>6.5</v>
      </c>
      <c r="I8" s="13">
        <v>2.25</v>
      </c>
    </row>
    <row r="9" spans="1:14" x14ac:dyDescent="0.25">
      <c r="A9" s="1" t="s">
        <v>325</v>
      </c>
      <c r="C9">
        <f>AVERAGE(B2:B6)</f>
        <v>8</v>
      </c>
      <c r="D9" t="s">
        <v>323</v>
      </c>
      <c r="G9" s="13" t="s">
        <v>335</v>
      </c>
      <c r="H9" s="13">
        <v>7.5</v>
      </c>
      <c r="I9" s="13">
        <v>0.25</v>
      </c>
      <c r="M9" t="s">
        <v>433</v>
      </c>
    </row>
    <row r="10" spans="1:14" x14ac:dyDescent="0.25">
      <c r="A10" s="1" t="s">
        <v>324</v>
      </c>
      <c r="C10">
        <f>STDEVA(B2:B6)</f>
        <v>4.3011626335213133</v>
      </c>
      <c r="G10" s="13" t="s">
        <v>336</v>
      </c>
      <c r="H10" s="13">
        <v>9.5</v>
      </c>
      <c r="I10" s="13">
        <v>2.25</v>
      </c>
      <c r="M10" t="s">
        <v>351</v>
      </c>
    </row>
    <row r="11" spans="1:14" ht="18" x14ac:dyDescent="0.35">
      <c r="A11" s="1" t="s">
        <v>348</v>
      </c>
      <c r="C11">
        <f>H14/H16</f>
        <v>8</v>
      </c>
      <c r="D11" t="s">
        <v>431</v>
      </c>
      <c r="G11" s="13" t="s">
        <v>337</v>
      </c>
      <c r="H11" s="13">
        <v>9</v>
      </c>
      <c r="I11" s="13">
        <v>1</v>
      </c>
    </row>
    <row r="12" spans="1:14" x14ac:dyDescent="0.25">
      <c r="B12" t="s">
        <v>346</v>
      </c>
      <c r="G12" s="13" t="s">
        <v>338</v>
      </c>
      <c r="H12" s="13">
        <v>11</v>
      </c>
      <c r="I12" s="13">
        <v>9</v>
      </c>
      <c r="M12" t="s">
        <v>432</v>
      </c>
    </row>
    <row r="13" spans="1:14" x14ac:dyDescent="0.25">
      <c r="A13" t="s">
        <v>344</v>
      </c>
      <c r="D13">
        <f>C10/SQRT(2)*SQRT((B8-2)/(B8-1))</f>
        <v>2.6339134382131846</v>
      </c>
      <c r="G13" s="13" t="s">
        <v>339</v>
      </c>
      <c r="H13" s="13">
        <v>12</v>
      </c>
      <c r="I13" s="13">
        <v>16</v>
      </c>
      <c r="M13" t="s">
        <v>434</v>
      </c>
    </row>
    <row r="14" spans="1:14" x14ac:dyDescent="0.25">
      <c r="G14" s="13" t="s">
        <v>341</v>
      </c>
      <c r="H14" s="13">
        <f>SUM(H4:H13)</f>
        <v>80</v>
      </c>
      <c r="I14" s="13">
        <v>55.5</v>
      </c>
    </row>
    <row r="16" spans="1:14" x14ac:dyDescent="0.25">
      <c r="G16" t="s">
        <v>342</v>
      </c>
      <c r="H16">
        <v>10</v>
      </c>
    </row>
    <row r="17" spans="5:10" ht="18" x14ac:dyDescent="0.35">
      <c r="E17" t="s">
        <v>347</v>
      </c>
      <c r="G17" t="s">
        <v>343</v>
      </c>
      <c r="J17">
        <f>I14/H16</f>
        <v>5.55</v>
      </c>
    </row>
    <row r="18" spans="5:10" x14ac:dyDescent="0.25">
      <c r="E18" t="s">
        <v>350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23" sqref="H23"/>
    </sheetView>
  </sheetViews>
  <sheetFormatPr defaultRowHeight="15" x14ac:dyDescent="0.25"/>
  <sheetData>
    <row r="1" spans="1:6" x14ac:dyDescent="0.25">
      <c r="A1">
        <v>10</v>
      </c>
    </row>
    <row r="2" spans="1:6" x14ac:dyDescent="0.25">
      <c r="A2">
        <v>12</v>
      </c>
    </row>
    <row r="3" spans="1:6" x14ac:dyDescent="0.25">
      <c r="A3">
        <v>15</v>
      </c>
      <c r="C3" t="s">
        <v>311</v>
      </c>
      <c r="D3">
        <f>MIN(A1:A20)</f>
        <v>10</v>
      </c>
    </row>
    <row r="4" spans="1:6" x14ac:dyDescent="0.25">
      <c r="A4">
        <v>16</v>
      </c>
      <c r="C4" t="s">
        <v>312</v>
      </c>
      <c r="D4">
        <f>MAX(A1:A20)</f>
        <v>59</v>
      </c>
    </row>
    <row r="5" spans="1:6" x14ac:dyDescent="0.25">
      <c r="A5">
        <v>20</v>
      </c>
      <c r="C5" t="s">
        <v>422</v>
      </c>
      <c r="D5">
        <v>10</v>
      </c>
    </row>
    <row r="6" spans="1:6" x14ac:dyDescent="0.25">
      <c r="A6">
        <v>23</v>
      </c>
    </row>
    <row r="7" spans="1:6" x14ac:dyDescent="0.25">
      <c r="A7">
        <v>25</v>
      </c>
    </row>
    <row r="8" spans="1:6" x14ac:dyDescent="0.25">
      <c r="A8">
        <v>21</v>
      </c>
    </row>
    <row r="9" spans="1:6" x14ac:dyDescent="0.25">
      <c r="A9">
        <v>24</v>
      </c>
      <c r="C9" s="13" t="s">
        <v>313</v>
      </c>
      <c r="D9" s="13" t="s">
        <v>314</v>
      </c>
      <c r="F9" t="s">
        <v>315</v>
      </c>
    </row>
    <row r="10" spans="1:6" x14ac:dyDescent="0.25">
      <c r="A10">
        <v>31</v>
      </c>
      <c r="C10" s="13">
        <v>1</v>
      </c>
      <c r="D10" s="13" t="str">
        <f>REPT("0",COUNTIF($A$1:$A$20,C10*10+0))&amp;REPT("1",COUNTIF($A$1:$A$20,C10*10+1))&amp;REPT("2",COUNTIF($A$1:$A$20,C10*10+2))&amp;REPT("3",COUNTIF($A$1:$A$20,C10*10+3))&amp;REPT("4",COUNTIF($A$1:$A$20,C10*10+4))&amp;REPT("5",COUNTIF($A$1:$A$20,C10*10+5))&amp;REPT("6",COUNTIF($A$1:$A$20,C10*10+6))&amp;REPT("7",COUNTIF($A$1:$A$20,C10*10+7))&amp;REPT("8",COUNTIF($A$1:$A$20,C10*10+8))&amp;REPT("9",COUNTIF($A$1:$A$20,C10*10+9))</f>
        <v>0256</v>
      </c>
    </row>
    <row r="11" spans="1:6" x14ac:dyDescent="0.25">
      <c r="A11">
        <v>36</v>
      </c>
      <c r="C11" s="13">
        <v>2</v>
      </c>
      <c r="D11" s="13" t="str">
        <f t="shared" ref="D11:D14" si="0">REPT("0",COUNTIF($A$1:$A$20,C11*10+0))&amp;REPT("1",COUNTIF($A$1:$A$20,C11*10+1))&amp;REPT("2",COUNTIF($A$1:$A$20,C11*10+2))&amp;REPT("3",COUNTIF($A$1:$A$20,C11*10+3))&amp;REPT("4",COUNTIF($A$1:$A$20,C11*10+4))&amp;REPT("5",COUNTIF($A$1:$A$20,C11*10+5))&amp;REPT("6",COUNTIF($A$1:$A$20,C11*10+6))&amp;REPT("7",COUNTIF($A$1:$A$20,C11*10+7))&amp;REPT("8",COUNTIF($A$1:$A$20,C11*10+8))&amp;REPT("9",COUNTIF($A$1:$A$20,C11*10+9))</f>
        <v>01345</v>
      </c>
    </row>
    <row r="12" spans="1:6" x14ac:dyDescent="0.25">
      <c r="A12">
        <v>33</v>
      </c>
      <c r="C12" s="13">
        <v>3</v>
      </c>
      <c r="D12" s="13" t="str">
        <f t="shared" si="0"/>
        <v>1136</v>
      </c>
    </row>
    <row r="13" spans="1:6" x14ac:dyDescent="0.25">
      <c r="A13">
        <v>31</v>
      </c>
      <c r="C13" s="13">
        <v>4</v>
      </c>
      <c r="D13" s="13" t="str">
        <f t="shared" si="0"/>
        <v>569</v>
      </c>
    </row>
    <row r="14" spans="1:6" x14ac:dyDescent="0.25">
      <c r="A14">
        <v>45</v>
      </c>
      <c r="C14" s="13">
        <v>5</v>
      </c>
      <c r="D14" s="13" t="str">
        <f t="shared" si="0"/>
        <v>2339</v>
      </c>
      <c r="F14" t="s">
        <v>316</v>
      </c>
    </row>
    <row r="15" spans="1:6" x14ac:dyDescent="0.25">
      <c r="A15">
        <v>46</v>
      </c>
    </row>
    <row r="16" spans="1:6" x14ac:dyDescent="0.25">
      <c r="A16">
        <v>49</v>
      </c>
    </row>
    <row r="17" spans="1:1" x14ac:dyDescent="0.25">
      <c r="A17">
        <v>52</v>
      </c>
    </row>
    <row r="18" spans="1:1" x14ac:dyDescent="0.25">
      <c r="A18">
        <v>53</v>
      </c>
    </row>
    <row r="19" spans="1:1" x14ac:dyDescent="0.25">
      <c r="A19">
        <v>59</v>
      </c>
    </row>
    <row r="20" spans="1:1" x14ac:dyDescent="0.25">
      <c r="A20">
        <v>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RowHeight="15" x14ac:dyDescent="0.25"/>
  <cols>
    <col min="1" max="1" width="17" customWidth="1"/>
    <col min="2" max="2" width="12.5703125" customWidth="1"/>
  </cols>
  <sheetData>
    <row r="1" spans="1:5" x14ac:dyDescent="0.25">
      <c r="A1" s="14" t="s">
        <v>352</v>
      </c>
      <c r="B1" s="14" t="s">
        <v>353</v>
      </c>
      <c r="C1" s="14" t="s">
        <v>62</v>
      </c>
      <c r="D1" s="16" t="s">
        <v>354</v>
      </c>
      <c r="E1" s="16" t="s">
        <v>356</v>
      </c>
    </row>
    <row r="2" spans="1:5" x14ac:dyDescent="0.25">
      <c r="A2" s="13">
        <v>0</v>
      </c>
      <c r="B2" s="13">
        <v>90</v>
      </c>
      <c r="C2" s="13">
        <f>SUMPRODUCT(A2,B2)</f>
        <v>0</v>
      </c>
      <c r="D2" s="13">
        <f>POISSON($A$2:$A$6,B11,0)</f>
        <v>0.49658530379140953</v>
      </c>
      <c r="E2" s="13">
        <f>B9*D2</f>
        <v>99.317060758281912</v>
      </c>
    </row>
    <row r="3" spans="1:5" x14ac:dyDescent="0.25">
      <c r="A3" s="13">
        <v>1</v>
      </c>
      <c r="B3" s="13">
        <v>50</v>
      </c>
      <c r="C3" s="13">
        <f t="shared" ref="C3:C7" si="0">SUMPRODUCT(A3,B3)</f>
        <v>50</v>
      </c>
      <c r="D3" s="13">
        <f>POISSON(A2:A6,B11,0)</f>
        <v>0.34760971265398666</v>
      </c>
      <c r="E3" s="13">
        <f>B9*D3</f>
        <v>69.521942530797332</v>
      </c>
    </row>
    <row r="4" spans="1:5" x14ac:dyDescent="0.25">
      <c r="A4" s="13">
        <v>2</v>
      </c>
      <c r="B4" s="13">
        <v>30</v>
      </c>
      <c r="C4" s="13">
        <f t="shared" si="0"/>
        <v>60</v>
      </c>
      <c r="D4" s="13">
        <f>POISSON(A2:A6,B11,0)</f>
        <v>0.12166339942889531</v>
      </c>
      <c r="E4" s="13">
        <f>B9*D4</f>
        <v>24.332679885779061</v>
      </c>
    </row>
    <row r="5" spans="1:5" x14ac:dyDescent="0.25">
      <c r="A5" s="13">
        <v>3</v>
      </c>
      <c r="B5" s="13">
        <v>15</v>
      </c>
      <c r="C5" s="13">
        <f t="shared" si="0"/>
        <v>45</v>
      </c>
      <c r="D5" s="13">
        <f>POISSON(A2:A6,B11,0)</f>
        <v>2.8388126533408907E-2</v>
      </c>
      <c r="E5" s="13">
        <f>D5*B9</f>
        <v>5.6776253066817812</v>
      </c>
    </row>
    <row r="6" spans="1:5" x14ac:dyDescent="0.25">
      <c r="A6" s="13">
        <v>4</v>
      </c>
      <c r="B6" s="13">
        <v>10</v>
      </c>
      <c r="C6" s="13">
        <f t="shared" si="0"/>
        <v>40</v>
      </c>
      <c r="D6" s="13">
        <f>POISSON(A2:A6,B11,0)</f>
        <v>4.9679221433465573E-3</v>
      </c>
      <c r="E6" s="13">
        <f>D6*B9</f>
        <v>0.99358442866931151</v>
      </c>
    </row>
    <row r="7" spans="1:5" x14ac:dyDescent="0.25">
      <c r="A7" s="22">
        <v>5</v>
      </c>
      <c r="B7" s="22">
        <v>5</v>
      </c>
      <c r="C7" s="22">
        <f t="shared" si="0"/>
        <v>25</v>
      </c>
    </row>
    <row r="8" spans="1:5" x14ac:dyDescent="0.25">
      <c r="A8" s="13" t="s">
        <v>280</v>
      </c>
      <c r="B8" s="13">
        <f>SUM(B2:B7)</f>
        <v>200</v>
      </c>
      <c r="C8" s="13">
        <f>SUM(C2:C7)</f>
        <v>220</v>
      </c>
      <c r="D8" s="13"/>
      <c r="E8" s="13"/>
    </row>
    <row r="9" spans="1:5" x14ac:dyDescent="0.25">
      <c r="A9" t="s">
        <v>1</v>
      </c>
      <c r="B9">
        <v>200</v>
      </c>
    </row>
    <row r="10" spans="1:5" x14ac:dyDescent="0.25">
      <c r="A10" s="1" t="s">
        <v>27</v>
      </c>
      <c r="B10">
        <v>140</v>
      </c>
    </row>
    <row r="11" spans="1:5" x14ac:dyDescent="0.25">
      <c r="A11" s="15" t="s">
        <v>355</v>
      </c>
      <c r="B11">
        <f>B10/B9</f>
        <v>0.7</v>
      </c>
    </row>
    <row r="13" spans="1:5" x14ac:dyDescent="0.25">
      <c r="A13" t="s">
        <v>357</v>
      </c>
    </row>
    <row r="15" spans="1:5" x14ac:dyDescent="0.25">
      <c r="A15" t="s">
        <v>358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N15" sqref="N15"/>
    </sheetView>
  </sheetViews>
  <sheetFormatPr defaultRowHeight="15" x14ac:dyDescent="0.25"/>
  <cols>
    <col min="1" max="1" width="16.140625" customWidth="1"/>
    <col min="2" max="2" width="12" customWidth="1"/>
  </cols>
  <sheetData>
    <row r="1" spans="1:15" x14ac:dyDescent="0.25">
      <c r="A1" s="13" t="s">
        <v>359</v>
      </c>
      <c r="B1" s="13" t="s">
        <v>360</v>
      </c>
      <c r="C1" s="13" t="s">
        <v>362</v>
      </c>
      <c r="D1" s="13" t="s">
        <v>363</v>
      </c>
      <c r="F1" s="13" t="s">
        <v>359</v>
      </c>
      <c r="G1" s="13" t="s">
        <v>360</v>
      </c>
      <c r="H1" s="22" t="s">
        <v>559</v>
      </c>
      <c r="I1" s="22" t="s">
        <v>363</v>
      </c>
      <c r="L1" t="s">
        <v>569</v>
      </c>
      <c r="M1" t="s">
        <v>360</v>
      </c>
      <c r="N1" t="s">
        <v>559</v>
      </c>
      <c r="O1" t="s">
        <v>570</v>
      </c>
    </row>
    <row r="2" spans="1:15" x14ac:dyDescent="0.25">
      <c r="A2" s="13">
        <v>10</v>
      </c>
      <c r="B2" s="13">
        <v>0.08</v>
      </c>
      <c r="C2" s="13">
        <f>SUMPRODUCT(A2,B2)</f>
        <v>0.8</v>
      </c>
      <c r="D2" s="13">
        <f>A2^2*B2</f>
        <v>8</v>
      </c>
      <c r="F2" s="13">
        <v>10</v>
      </c>
      <c r="G2" s="13">
        <v>0.08</v>
      </c>
      <c r="H2">
        <f>F2*G2</f>
        <v>0.8</v>
      </c>
      <c r="I2">
        <f>F2^2*G2</f>
        <v>8</v>
      </c>
      <c r="L2">
        <v>20</v>
      </c>
      <c r="M2">
        <v>0.08</v>
      </c>
      <c r="N2">
        <f>L2*M2</f>
        <v>1.6</v>
      </c>
      <c r="O2">
        <f>L2^2*M2</f>
        <v>32</v>
      </c>
    </row>
    <row r="3" spans="1:15" x14ac:dyDescent="0.25">
      <c r="A3" s="13">
        <v>20</v>
      </c>
      <c r="B3" s="13">
        <v>0.24</v>
      </c>
      <c r="C3" s="13">
        <f t="shared" ref="C3:C6" si="0">SUMPRODUCT(A3,B3)</f>
        <v>4.8</v>
      </c>
      <c r="D3" s="13">
        <f t="shared" ref="D3:D6" si="1">A3^2*B3</f>
        <v>96</v>
      </c>
      <c r="F3" s="13">
        <v>20</v>
      </c>
      <c r="G3" s="13">
        <v>0.24</v>
      </c>
      <c r="H3">
        <f t="shared" ref="H3:H6" si="2">F3*G3</f>
        <v>4.8</v>
      </c>
      <c r="I3">
        <f t="shared" ref="I3:I6" si="3">F3^2*G3</f>
        <v>96</v>
      </c>
      <c r="L3">
        <v>30</v>
      </c>
      <c r="M3">
        <v>0.24</v>
      </c>
      <c r="N3">
        <f t="shared" ref="N3:N6" si="4">L3*M3</f>
        <v>7.1999999999999993</v>
      </c>
      <c r="O3">
        <f t="shared" ref="O3:O6" si="5">L3^2*M3</f>
        <v>216</v>
      </c>
    </row>
    <row r="4" spans="1:15" x14ac:dyDescent="0.25">
      <c r="A4" s="13">
        <v>30</v>
      </c>
      <c r="B4" s="13">
        <v>0.28000000000000003</v>
      </c>
      <c r="C4" s="13">
        <f t="shared" si="0"/>
        <v>8.4</v>
      </c>
      <c r="D4" s="13">
        <f t="shared" si="1"/>
        <v>252.00000000000003</v>
      </c>
      <c r="F4" s="13">
        <v>30</v>
      </c>
      <c r="G4" s="13">
        <v>0.28000000000000003</v>
      </c>
      <c r="H4">
        <f t="shared" si="2"/>
        <v>8.4</v>
      </c>
      <c r="I4">
        <f t="shared" si="3"/>
        <v>252.00000000000003</v>
      </c>
      <c r="L4">
        <v>40</v>
      </c>
      <c r="M4">
        <v>0.28000000000000003</v>
      </c>
      <c r="N4">
        <f t="shared" si="4"/>
        <v>11.200000000000001</v>
      </c>
      <c r="O4">
        <f t="shared" si="5"/>
        <v>448.00000000000006</v>
      </c>
    </row>
    <row r="5" spans="1:15" x14ac:dyDescent="0.25">
      <c r="A5" s="13">
        <v>40</v>
      </c>
      <c r="B5" s="13">
        <v>0.3</v>
      </c>
      <c r="C5" s="13">
        <f t="shared" si="0"/>
        <v>12</v>
      </c>
      <c r="D5" s="13">
        <f t="shared" si="1"/>
        <v>480</v>
      </c>
      <c r="F5" s="13">
        <v>40</v>
      </c>
      <c r="G5" s="13">
        <v>0.3</v>
      </c>
      <c r="H5">
        <f t="shared" si="2"/>
        <v>12</v>
      </c>
      <c r="I5">
        <f t="shared" si="3"/>
        <v>480</v>
      </c>
      <c r="L5">
        <v>50</v>
      </c>
      <c r="M5">
        <v>0.3</v>
      </c>
      <c r="N5">
        <f t="shared" si="4"/>
        <v>15</v>
      </c>
      <c r="O5">
        <f t="shared" si="5"/>
        <v>750</v>
      </c>
    </row>
    <row r="6" spans="1:15" x14ac:dyDescent="0.25">
      <c r="A6" s="13">
        <v>50</v>
      </c>
      <c r="B6" s="13">
        <v>0.1</v>
      </c>
      <c r="C6" s="13">
        <f t="shared" si="0"/>
        <v>5</v>
      </c>
      <c r="D6" s="13">
        <f t="shared" si="1"/>
        <v>250</v>
      </c>
      <c r="F6" s="13">
        <v>50</v>
      </c>
      <c r="G6" s="13">
        <v>0.1</v>
      </c>
      <c r="H6">
        <f t="shared" si="2"/>
        <v>5</v>
      </c>
      <c r="I6">
        <f t="shared" si="3"/>
        <v>250</v>
      </c>
      <c r="L6">
        <v>60</v>
      </c>
      <c r="M6">
        <v>0.1</v>
      </c>
      <c r="N6">
        <f t="shared" si="4"/>
        <v>6</v>
      </c>
      <c r="O6">
        <f t="shared" si="5"/>
        <v>360</v>
      </c>
    </row>
    <row r="7" spans="1:15" x14ac:dyDescent="0.25">
      <c r="A7" s="13" t="s">
        <v>361</v>
      </c>
      <c r="B7" s="13">
        <v>1</v>
      </c>
      <c r="C7" s="13">
        <f>SUM(C2:C6)</f>
        <v>31</v>
      </c>
      <c r="D7" s="13">
        <f>SUM(D2:D6)</f>
        <v>1086</v>
      </c>
      <c r="F7" s="13" t="s">
        <v>361</v>
      </c>
      <c r="G7" s="13">
        <v>1</v>
      </c>
      <c r="H7">
        <f>SUM(H2:H6)</f>
        <v>31</v>
      </c>
      <c r="I7">
        <f>SUM(I2:I6)</f>
        <v>1086</v>
      </c>
      <c r="M7">
        <f>SUM(M2:M6)</f>
        <v>1.0000000000000002</v>
      </c>
      <c r="N7">
        <f>SUM(N2:N6)</f>
        <v>41</v>
      </c>
      <c r="O7">
        <f>SUM(O2:O6)</f>
        <v>1806</v>
      </c>
    </row>
    <row r="9" spans="1:15" x14ac:dyDescent="0.25">
      <c r="A9" s="1" t="s">
        <v>364</v>
      </c>
      <c r="B9">
        <v>1</v>
      </c>
      <c r="G9" t="s">
        <v>560</v>
      </c>
      <c r="H9">
        <v>1</v>
      </c>
    </row>
    <row r="10" spans="1:15" x14ac:dyDescent="0.25">
      <c r="A10" s="1" t="s">
        <v>369</v>
      </c>
      <c r="C10">
        <v>31</v>
      </c>
      <c r="G10" t="s">
        <v>561</v>
      </c>
      <c r="H10" s="23" t="s">
        <v>562</v>
      </c>
      <c r="I10">
        <v>31</v>
      </c>
      <c r="M10" t="s">
        <v>571</v>
      </c>
      <c r="N10">
        <f>N7</f>
        <v>41</v>
      </c>
    </row>
    <row r="11" spans="1:15" x14ac:dyDescent="0.25">
      <c r="A11" s="1" t="s">
        <v>365</v>
      </c>
      <c r="B11">
        <v>1086</v>
      </c>
      <c r="G11" t="s">
        <v>563</v>
      </c>
      <c r="I11">
        <f>I7</f>
        <v>1086</v>
      </c>
      <c r="M11" t="s">
        <v>564</v>
      </c>
      <c r="N11">
        <f>N7</f>
        <v>41</v>
      </c>
    </row>
    <row r="12" spans="1:15" x14ac:dyDescent="0.25">
      <c r="A12" s="1"/>
      <c r="J12">
        <f>(H7)^2</f>
        <v>961</v>
      </c>
    </row>
    <row r="13" spans="1:15" x14ac:dyDescent="0.25">
      <c r="A13" s="1" t="s">
        <v>366</v>
      </c>
      <c r="B13">
        <v>31</v>
      </c>
      <c r="G13" t="s">
        <v>564</v>
      </c>
      <c r="H13">
        <f>H7</f>
        <v>31</v>
      </c>
      <c r="M13" t="s">
        <v>572</v>
      </c>
      <c r="N13">
        <f>O7-((N7)^2)</f>
        <v>125</v>
      </c>
    </row>
    <row r="14" spans="1:15" x14ac:dyDescent="0.25">
      <c r="A14" s="1" t="s">
        <v>367</v>
      </c>
      <c r="C14">
        <f>B11-C10^2</f>
        <v>125</v>
      </c>
      <c r="G14" t="s">
        <v>565</v>
      </c>
      <c r="H14">
        <f>I11-J12</f>
        <v>125</v>
      </c>
      <c r="M14" t="s">
        <v>566</v>
      </c>
      <c r="N14">
        <f>SQRT(N13)</f>
        <v>11.180339887498949</v>
      </c>
    </row>
    <row r="15" spans="1:15" x14ac:dyDescent="0.25">
      <c r="A15" s="1" t="s">
        <v>368</v>
      </c>
      <c r="C15">
        <f>SQRT(C14)</f>
        <v>11.180339887498949</v>
      </c>
      <c r="G15" t="s">
        <v>566</v>
      </c>
      <c r="H15">
        <f>SQRT(H14)</f>
        <v>11.180339887498949</v>
      </c>
    </row>
    <row r="17" spans="1:9" x14ac:dyDescent="0.25">
      <c r="A17" t="s">
        <v>370</v>
      </c>
      <c r="B17">
        <f>4*C10+5</f>
        <v>129</v>
      </c>
    </row>
    <row r="19" spans="1:9" x14ac:dyDescent="0.25">
      <c r="H19" t="s">
        <v>567</v>
      </c>
      <c r="I19" s="23" t="s">
        <v>568</v>
      </c>
    </row>
    <row r="20" spans="1:9" x14ac:dyDescent="0.25">
      <c r="I20">
        <f>4*I10+5</f>
        <v>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4" sqref="G14"/>
    </sheetView>
  </sheetViews>
  <sheetFormatPr defaultRowHeight="15" x14ac:dyDescent="0.25"/>
  <cols>
    <col min="1" max="1" width="29.5703125" customWidth="1"/>
  </cols>
  <sheetData>
    <row r="1" spans="1:8" x14ac:dyDescent="0.25">
      <c r="C1" t="s">
        <v>371</v>
      </c>
    </row>
    <row r="3" spans="1:8" x14ac:dyDescent="0.25">
      <c r="A3" t="s">
        <v>131</v>
      </c>
    </row>
    <row r="4" spans="1:8" x14ac:dyDescent="0.25">
      <c r="A4" t="s">
        <v>373</v>
      </c>
      <c r="B4">
        <v>50</v>
      </c>
      <c r="F4" t="s">
        <v>573</v>
      </c>
    </row>
    <row r="5" spans="1:8" x14ac:dyDescent="0.25">
      <c r="A5" t="s">
        <v>372</v>
      </c>
      <c r="B5">
        <v>7.5</v>
      </c>
      <c r="F5" t="s">
        <v>373</v>
      </c>
      <c r="H5">
        <v>100</v>
      </c>
    </row>
    <row r="6" spans="1:8" x14ac:dyDescent="0.25">
      <c r="A6" t="s">
        <v>382</v>
      </c>
      <c r="B6">
        <v>7.5</v>
      </c>
      <c r="F6" t="s">
        <v>372</v>
      </c>
      <c r="H6">
        <v>30214</v>
      </c>
    </row>
    <row r="7" spans="1:8" x14ac:dyDescent="0.25">
      <c r="A7" t="s">
        <v>375</v>
      </c>
      <c r="B7">
        <v>1.5</v>
      </c>
      <c r="F7" t="s">
        <v>5</v>
      </c>
      <c r="H7">
        <f>860</f>
        <v>860</v>
      </c>
    </row>
    <row r="8" spans="1:8" x14ac:dyDescent="0.25">
      <c r="A8" t="s">
        <v>374</v>
      </c>
      <c r="B8">
        <v>0.21199999999999999</v>
      </c>
    </row>
    <row r="9" spans="1:8" ht="18" x14ac:dyDescent="0.35">
      <c r="A9" t="s">
        <v>376</v>
      </c>
      <c r="B9">
        <v>1.96</v>
      </c>
      <c r="F9" t="s">
        <v>574</v>
      </c>
      <c r="G9">
        <f>1.96</f>
        <v>1.96</v>
      </c>
    </row>
    <row r="10" spans="1:8" ht="18" x14ac:dyDescent="0.35">
      <c r="A10" t="s">
        <v>377</v>
      </c>
      <c r="B10">
        <f>B6-(B9*B8)</f>
        <v>7.0844800000000001</v>
      </c>
      <c r="F10" t="s">
        <v>575</v>
      </c>
    </row>
    <row r="11" spans="1:8" ht="18" x14ac:dyDescent="0.35">
      <c r="A11" t="s">
        <v>378</v>
      </c>
      <c r="B11">
        <f>B6+(B10*B8)</f>
        <v>9.0019097600000002</v>
      </c>
      <c r="F11" t="s">
        <v>576</v>
      </c>
      <c r="G11">
        <f>H7/SQRT(H5)</f>
        <v>86</v>
      </c>
    </row>
    <row r="12" spans="1:8" x14ac:dyDescent="0.25">
      <c r="A12" t="s">
        <v>379</v>
      </c>
      <c r="B12" t="s">
        <v>380</v>
      </c>
      <c r="F12" t="s">
        <v>577</v>
      </c>
      <c r="G12" t="s">
        <v>578</v>
      </c>
    </row>
    <row r="13" spans="1:8" ht="18" x14ac:dyDescent="0.35">
      <c r="A13" t="s">
        <v>381</v>
      </c>
      <c r="F13">
        <f>H6-(1.96*G11)</f>
        <v>30045.439999999999</v>
      </c>
      <c r="G13">
        <f>H6+(1.96*G11)</f>
        <v>30382.560000000001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5" sqref="C15"/>
    </sheetView>
  </sheetViews>
  <sheetFormatPr defaultRowHeight="15" x14ac:dyDescent="0.25"/>
  <cols>
    <col min="2" max="2" width="25" customWidth="1"/>
  </cols>
  <sheetData>
    <row r="1" spans="1:5" x14ac:dyDescent="0.25">
      <c r="E1" t="s">
        <v>383</v>
      </c>
    </row>
    <row r="4" spans="1:5" x14ac:dyDescent="0.25">
      <c r="A4" t="s">
        <v>373</v>
      </c>
      <c r="C4">
        <v>150</v>
      </c>
    </row>
    <row r="5" spans="1:5" x14ac:dyDescent="0.25">
      <c r="A5" t="s">
        <v>384</v>
      </c>
      <c r="C5">
        <v>0.42</v>
      </c>
    </row>
    <row r="6" spans="1:5" x14ac:dyDescent="0.25">
      <c r="B6" t="s">
        <v>385</v>
      </c>
      <c r="C6">
        <v>0.57999999999999996</v>
      </c>
    </row>
    <row r="7" spans="1:5" ht="17.25" x14ac:dyDescent="0.25">
      <c r="A7" t="s">
        <v>386</v>
      </c>
      <c r="C7">
        <v>0.42</v>
      </c>
    </row>
    <row r="8" spans="1:5" x14ac:dyDescent="0.25">
      <c r="B8" t="s">
        <v>387</v>
      </c>
      <c r="C8">
        <v>0.57999999999999996</v>
      </c>
    </row>
    <row r="9" spans="1:5" x14ac:dyDescent="0.25">
      <c r="A9" t="s">
        <v>388</v>
      </c>
      <c r="C9">
        <f>SQRT(C5*C6/C4)</f>
        <v>4.0298883359219766E-2</v>
      </c>
    </row>
    <row r="10" spans="1:5" ht="18" x14ac:dyDescent="0.35">
      <c r="A10" t="s">
        <v>389</v>
      </c>
      <c r="C10">
        <v>1.96</v>
      </c>
    </row>
    <row r="11" spans="1:5" x14ac:dyDescent="0.25">
      <c r="A11" t="s">
        <v>391</v>
      </c>
      <c r="C11">
        <f>C5-C10*C9</f>
        <v>0.34101418861592925</v>
      </c>
    </row>
    <row r="12" spans="1:5" x14ac:dyDescent="0.25">
      <c r="A12" t="s">
        <v>390</v>
      </c>
      <c r="C12">
        <f>C5+C10*C9</f>
        <v>0.49898581138407072</v>
      </c>
    </row>
    <row r="14" spans="1:5" x14ac:dyDescent="0.25">
      <c r="A14" t="s">
        <v>392</v>
      </c>
      <c r="C14" t="s">
        <v>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H18" sqref="H18"/>
    </sheetView>
  </sheetViews>
  <sheetFormatPr defaultRowHeight="15" x14ac:dyDescent="0.25"/>
  <cols>
    <col min="2" max="2" width="10.5703125" customWidth="1"/>
    <col min="3" max="3" width="9.5703125" customWidth="1"/>
    <col min="4" max="4" width="10.5703125" customWidth="1"/>
    <col min="9" max="9" width="15" customWidth="1"/>
  </cols>
  <sheetData>
    <row r="1" spans="1:12" ht="17.25" x14ac:dyDescent="0.25">
      <c r="A1" t="s">
        <v>0</v>
      </c>
      <c r="B1" t="s">
        <v>16</v>
      </c>
      <c r="C1" t="s">
        <v>17</v>
      </c>
      <c r="D1" t="s">
        <v>18</v>
      </c>
      <c r="E1" t="s">
        <v>31</v>
      </c>
      <c r="K1" t="s">
        <v>19</v>
      </c>
    </row>
    <row r="2" spans="1:12" x14ac:dyDescent="0.25">
      <c r="A2">
        <v>3</v>
      </c>
      <c r="B2">
        <v>4</v>
      </c>
      <c r="C2">
        <f>SUMPRODUCT(A2,B2)</f>
        <v>12</v>
      </c>
      <c r="D2">
        <f>SUMPRODUCT(A2,C2)</f>
        <v>36</v>
      </c>
      <c r="E2">
        <v>4</v>
      </c>
      <c r="K2" t="s">
        <v>20</v>
      </c>
      <c r="L2" t="s">
        <v>21</v>
      </c>
    </row>
    <row r="3" spans="1:12" ht="17.25" x14ac:dyDescent="0.25">
      <c r="A3">
        <v>5</v>
      </c>
      <c r="B3">
        <v>8</v>
      </c>
      <c r="C3">
        <f t="shared" ref="C3:C6" si="0">SUMPRODUCT(A3,B3)</f>
        <v>40</v>
      </c>
      <c r="D3">
        <f t="shared" ref="D3:D6" si="1">SUMPRODUCT(A3,C3)</f>
        <v>200</v>
      </c>
      <c r="E3">
        <v>12</v>
      </c>
      <c r="K3" t="s">
        <v>22</v>
      </c>
      <c r="L3" t="s">
        <v>23</v>
      </c>
    </row>
    <row r="4" spans="1:12" ht="17.25" x14ac:dyDescent="0.25">
      <c r="A4">
        <v>7</v>
      </c>
      <c r="B4">
        <v>11</v>
      </c>
      <c r="C4">
        <f t="shared" si="0"/>
        <v>77</v>
      </c>
      <c r="D4">
        <f t="shared" si="1"/>
        <v>539</v>
      </c>
      <c r="E4">
        <v>33</v>
      </c>
      <c r="K4" t="s">
        <v>24</v>
      </c>
      <c r="L4" t="s">
        <v>25</v>
      </c>
    </row>
    <row r="5" spans="1:12" x14ac:dyDescent="0.25">
      <c r="A5">
        <v>9</v>
      </c>
      <c r="B5">
        <v>14</v>
      </c>
      <c r="C5">
        <f t="shared" si="0"/>
        <v>126</v>
      </c>
      <c r="D5">
        <f t="shared" si="1"/>
        <v>1134</v>
      </c>
      <c r="E5">
        <v>47</v>
      </c>
      <c r="L5" t="s">
        <v>26</v>
      </c>
    </row>
    <row r="6" spans="1:12" x14ac:dyDescent="0.25">
      <c r="A6">
        <v>11</v>
      </c>
      <c r="B6">
        <v>17</v>
      </c>
      <c r="C6">
        <f t="shared" si="0"/>
        <v>187</v>
      </c>
      <c r="D6">
        <f t="shared" si="1"/>
        <v>2057</v>
      </c>
      <c r="E6">
        <v>54</v>
      </c>
    </row>
    <row r="7" spans="1:12" x14ac:dyDescent="0.25">
      <c r="B7" t="s">
        <v>168</v>
      </c>
      <c r="C7" s="1" t="s">
        <v>169</v>
      </c>
      <c r="D7" s="1" t="s">
        <v>170</v>
      </c>
    </row>
    <row r="8" spans="1:12" x14ac:dyDescent="0.25">
      <c r="A8" t="s">
        <v>1</v>
      </c>
      <c r="B8">
        <f>SUM(B2:B6)</f>
        <v>54</v>
      </c>
    </row>
    <row r="9" spans="1:12" x14ac:dyDescent="0.25">
      <c r="A9" s="1" t="s">
        <v>27</v>
      </c>
      <c r="B9">
        <f>SUM(C2:C6)</f>
        <v>442</v>
      </c>
      <c r="H9" t="s">
        <v>46</v>
      </c>
      <c r="J9">
        <f>(B8+1)/4</f>
        <v>13.75</v>
      </c>
      <c r="K9" t="s">
        <v>36</v>
      </c>
      <c r="L9">
        <v>7</v>
      </c>
    </row>
    <row r="10" spans="1:12" ht="17.25" x14ac:dyDescent="0.25">
      <c r="A10" s="1" t="s">
        <v>28</v>
      </c>
      <c r="B10">
        <f>SUM(D2:D6)</f>
        <v>3966</v>
      </c>
      <c r="H10" t="s">
        <v>47</v>
      </c>
      <c r="J10">
        <f>3*(B8+1)/4</f>
        <v>41.25</v>
      </c>
      <c r="K10" t="s">
        <v>38</v>
      </c>
      <c r="L10">
        <v>9</v>
      </c>
    </row>
    <row r="11" spans="1:12" x14ac:dyDescent="0.25">
      <c r="H11" t="s">
        <v>48</v>
      </c>
      <c r="J11">
        <f>90*(B8+1)/100</f>
        <v>49.5</v>
      </c>
      <c r="K11" t="s">
        <v>50</v>
      </c>
      <c r="L11">
        <v>54</v>
      </c>
    </row>
    <row r="12" spans="1:12" x14ac:dyDescent="0.25">
      <c r="A12" t="s">
        <v>29</v>
      </c>
      <c r="C12">
        <f>B9/B8</f>
        <v>8.1851851851851851</v>
      </c>
      <c r="H12" t="s">
        <v>49</v>
      </c>
      <c r="J12">
        <f>10*(B8+1)/100</f>
        <v>5.5</v>
      </c>
      <c r="K12" t="s">
        <v>40</v>
      </c>
      <c r="L12">
        <v>5</v>
      </c>
    </row>
    <row r="13" spans="1:12" x14ac:dyDescent="0.25">
      <c r="A13" t="s">
        <v>30</v>
      </c>
      <c r="D13">
        <f>(B8+1)/2</f>
        <v>27.5</v>
      </c>
    </row>
    <row r="14" spans="1:12" x14ac:dyDescent="0.25">
      <c r="A14" t="s">
        <v>32</v>
      </c>
    </row>
    <row r="15" spans="1:12" x14ac:dyDescent="0.25">
      <c r="A15" t="s">
        <v>33</v>
      </c>
    </row>
    <row r="16" spans="1:12" x14ac:dyDescent="0.25">
      <c r="A16" t="s">
        <v>34</v>
      </c>
    </row>
    <row r="17" spans="1:4" ht="17.25" x14ac:dyDescent="0.25">
      <c r="A17" s="1" t="s">
        <v>435</v>
      </c>
      <c r="C17">
        <f>(B10/B8)-(B9/B8)^2</f>
        <v>6.4471879286694076</v>
      </c>
    </row>
    <row r="18" spans="1:4" x14ac:dyDescent="0.25">
      <c r="A18" s="1" t="s">
        <v>436</v>
      </c>
      <c r="C18">
        <f>SQRT(C17)</f>
        <v>2.5391313334818677</v>
      </c>
      <c r="D18" t="s">
        <v>129</v>
      </c>
    </row>
    <row r="19" spans="1:4" x14ac:dyDescent="0.25">
      <c r="A19" s="1" t="s">
        <v>35</v>
      </c>
      <c r="D19">
        <f>3*(C12-D13)/C18</f>
        <v>-22.820577919845611</v>
      </c>
    </row>
    <row r="20" spans="1:4" x14ac:dyDescent="0.25">
      <c r="A20" s="1" t="s">
        <v>45</v>
      </c>
      <c r="D20">
        <f>1/2*(L10-L9/L11-L12)</f>
        <v>1.9351851851851851</v>
      </c>
    </row>
    <row r="21" spans="1:4" x14ac:dyDescent="0.25">
      <c r="A21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19" sqref="I19"/>
    </sheetView>
  </sheetViews>
  <sheetFormatPr defaultRowHeight="15" x14ac:dyDescent="0.25"/>
  <cols>
    <col min="1" max="1" width="11.42578125" customWidth="1"/>
    <col min="6" max="6" width="23" customWidth="1"/>
    <col min="8" max="8" width="11.5703125" customWidth="1"/>
  </cols>
  <sheetData>
    <row r="1" spans="1:10" x14ac:dyDescent="0.25">
      <c r="E1" t="s">
        <v>397</v>
      </c>
    </row>
    <row r="3" spans="1:10" x14ac:dyDescent="0.25">
      <c r="A3" t="s">
        <v>398</v>
      </c>
    </row>
    <row r="4" spans="1:10" x14ac:dyDescent="0.25">
      <c r="B4" t="s">
        <v>399</v>
      </c>
    </row>
    <row r="5" spans="1:10" x14ac:dyDescent="0.25">
      <c r="A5" t="s">
        <v>131</v>
      </c>
    </row>
    <row r="6" spans="1:10" x14ac:dyDescent="0.25">
      <c r="A6" t="s">
        <v>400</v>
      </c>
      <c r="B6" s="2" t="s">
        <v>401</v>
      </c>
      <c r="C6">
        <f>(1/5)</f>
        <v>0.2</v>
      </c>
      <c r="E6" s="13" t="s">
        <v>417</v>
      </c>
      <c r="F6" s="13" t="s">
        <v>403</v>
      </c>
    </row>
    <row r="7" spans="1:10" x14ac:dyDescent="0.25">
      <c r="A7" t="s">
        <v>385</v>
      </c>
      <c r="B7" t="s">
        <v>402</v>
      </c>
      <c r="C7">
        <f>(4/5)</f>
        <v>0.8</v>
      </c>
      <c r="E7" s="13">
        <v>0</v>
      </c>
      <c r="F7" s="13">
        <f>BINOMDIST(F8,B8,C6,0)</f>
        <v>0.26214399999999993</v>
      </c>
      <c r="G7" t="s">
        <v>406</v>
      </c>
    </row>
    <row r="8" spans="1:10" x14ac:dyDescent="0.25">
      <c r="A8" t="s">
        <v>342</v>
      </c>
      <c r="B8">
        <v>6</v>
      </c>
      <c r="E8" s="13">
        <v>1</v>
      </c>
      <c r="F8" s="13">
        <f>BINOMDIST(E8,B8,C6,0)</f>
        <v>0.39321600000000001</v>
      </c>
      <c r="H8" t="s">
        <v>407</v>
      </c>
      <c r="I8">
        <v>0</v>
      </c>
      <c r="J8" t="s">
        <v>414</v>
      </c>
    </row>
    <row r="9" spans="1:10" x14ac:dyDescent="0.25">
      <c r="E9" s="13">
        <v>2</v>
      </c>
      <c r="F9" s="13">
        <f>BINOMDIST(E9,B8,C6,0)</f>
        <v>0.24575999999999998</v>
      </c>
      <c r="H9" t="s">
        <v>408</v>
      </c>
      <c r="I9" t="s">
        <v>409</v>
      </c>
    </row>
    <row r="10" spans="1:10" x14ac:dyDescent="0.25">
      <c r="A10" t="s">
        <v>404</v>
      </c>
      <c r="B10">
        <f>B8*C6</f>
        <v>1.2000000000000002</v>
      </c>
      <c r="E10" s="13">
        <v>3</v>
      </c>
      <c r="F10" s="13">
        <f>BINOMDIST(E10,B8,C6,0)</f>
        <v>8.1920000000000021E-2</v>
      </c>
      <c r="H10" t="s">
        <v>410</v>
      </c>
      <c r="I10" t="s">
        <v>411</v>
      </c>
    </row>
    <row r="11" spans="1:10" x14ac:dyDescent="0.25">
      <c r="A11" t="s">
        <v>405</v>
      </c>
      <c r="B11">
        <f>B8*C6*C7</f>
        <v>0.96000000000000019</v>
      </c>
      <c r="E11" s="13">
        <v>4</v>
      </c>
      <c r="F11" s="13">
        <v>1.536E-2</v>
      </c>
      <c r="H11" t="s">
        <v>412</v>
      </c>
      <c r="I11" t="s">
        <v>413</v>
      </c>
    </row>
    <row r="12" spans="1:10" x14ac:dyDescent="0.25">
      <c r="E12" s="13">
        <v>5</v>
      </c>
      <c r="F12" s="13">
        <v>1.536E-3</v>
      </c>
    </row>
    <row r="13" spans="1:10" x14ac:dyDescent="0.25">
      <c r="E13" s="13">
        <v>6</v>
      </c>
      <c r="F13" s="13">
        <f>BINOMDIST(E13,B8,C6,0)</f>
        <v>6.4000000000000065E-5</v>
      </c>
      <c r="H13" t="s">
        <v>264</v>
      </c>
    </row>
    <row r="14" spans="1:10" x14ac:dyDescent="0.25">
      <c r="H14" t="s">
        <v>418</v>
      </c>
    </row>
    <row r="15" spans="1:10" x14ac:dyDescent="0.25">
      <c r="A15" t="s">
        <v>415</v>
      </c>
      <c r="D15">
        <f>SUM(F9:F13)</f>
        <v>0.34463999999999995</v>
      </c>
    </row>
    <row r="17" spans="1:3" x14ac:dyDescent="0.25">
      <c r="A17" t="s">
        <v>416</v>
      </c>
      <c r="C17">
        <f>SUM(F7:F9)</f>
        <v>0.90111999999999992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16" sqref="G16"/>
    </sheetView>
  </sheetViews>
  <sheetFormatPr defaultRowHeight="15" x14ac:dyDescent="0.25"/>
  <cols>
    <col min="1" max="1" width="10.42578125" customWidth="1"/>
    <col min="8" max="8" width="11.28515625" customWidth="1"/>
  </cols>
  <sheetData>
    <row r="1" spans="1:9" x14ac:dyDescent="0.25">
      <c r="F1" t="s">
        <v>419</v>
      </c>
    </row>
    <row r="3" spans="1:9" x14ac:dyDescent="0.25">
      <c r="A3" t="s">
        <v>420</v>
      </c>
    </row>
    <row r="4" spans="1:9" x14ac:dyDescent="0.25">
      <c r="B4" t="s">
        <v>399</v>
      </c>
    </row>
    <row r="5" spans="1:9" x14ac:dyDescent="0.25">
      <c r="A5" t="s">
        <v>131</v>
      </c>
      <c r="B5" t="s">
        <v>400</v>
      </c>
      <c r="C5">
        <v>0.04</v>
      </c>
      <c r="E5" s="13" t="s">
        <v>176</v>
      </c>
      <c r="F5" s="13" t="s">
        <v>360</v>
      </c>
      <c r="G5" s="17" t="s">
        <v>197</v>
      </c>
    </row>
    <row r="6" spans="1:9" x14ac:dyDescent="0.25">
      <c r="A6" t="s">
        <v>373</v>
      </c>
      <c r="C6">
        <v>125</v>
      </c>
      <c r="E6" s="13">
        <v>0</v>
      </c>
      <c r="F6" s="13">
        <f>POISSON(E6,C7,0)</f>
        <v>6.737946999085467E-3</v>
      </c>
      <c r="G6" t="s">
        <v>424</v>
      </c>
    </row>
    <row r="7" spans="1:9" x14ac:dyDescent="0.25">
      <c r="A7" t="s">
        <v>421</v>
      </c>
      <c r="C7">
        <f>C6*C5</f>
        <v>5</v>
      </c>
      <c r="E7" s="13">
        <v>1</v>
      </c>
      <c r="F7" s="13">
        <v>3.3689999999999998E-2</v>
      </c>
      <c r="H7" t="s">
        <v>176</v>
      </c>
      <c r="I7" t="s">
        <v>430</v>
      </c>
    </row>
    <row r="8" spans="1:9" x14ac:dyDescent="0.25">
      <c r="E8" s="13">
        <v>2</v>
      </c>
      <c r="F8" s="13">
        <v>8.4223999999999993E-2</v>
      </c>
      <c r="H8" t="s">
        <v>425</v>
      </c>
      <c r="I8" t="s">
        <v>426</v>
      </c>
    </row>
    <row r="9" spans="1:9" x14ac:dyDescent="0.25">
      <c r="E9" s="13">
        <v>3</v>
      </c>
      <c r="F9" s="13">
        <v>0.140374</v>
      </c>
      <c r="H9" t="s">
        <v>412</v>
      </c>
      <c r="I9" t="s">
        <v>413</v>
      </c>
    </row>
    <row r="10" spans="1:9" x14ac:dyDescent="0.25">
      <c r="E10" s="13">
        <v>4</v>
      </c>
      <c r="F10" s="13">
        <v>0.17546700000000001</v>
      </c>
    </row>
    <row r="11" spans="1:9" x14ac:dyDescent="0.25">
      <c r="E11" s="13">
        <v>5</v>
      </c>
      <c r="F11" s="13">
        <v>0.17546700000000001</v>
      </c>
      <c r="H11" t="s">
        <v>427</v>
      </c>
    </row>
    <row r="12" spans="1:9" x14ac:dyDescent="0.25">
      <c r="E12" s="13">
        <v>6</v>
      </c>
      <c r="F12" s="13">
        <v>0.146233</v>
      </c>
      <c r="H12" t="s">
        <v>428</v>
      </c>
    </row>
    <row r="13" spans="1:9" x14ac:dyDescent="0.25">
      <c r="E13" s="13" t="s">
        <v>423</v>
      </c>
      <c r="F13" s="13" t="s">
        <v>423</v>
      </c>
    </row>
    <row r="14" spans="1:9" x14ac:dyDescent="0.25">
      <c r="E14" s="13" t="s">
        <v>423</v>
      </c>
      <c r="F14" s="13" t="s">
        <v>423</v>
      </c>
    </row>
    <row r="15" spans="1:9" x14ac:dyDescent="0.25">
      <c r="E15" s="13">
        <v>125</v>
      </c>
      <c r="F15" s="13">
        <f>POISSON(125,$C$5,FALSE)</f>
        <v>0</v>
      </c>
    </row>
    <row r="17" spans="1:2" x14ac:dyDescent="0.25">
      <c r="A17" t="s">
        <v>429</v>
      </c>
      <c r="B17" s="10">
        <v>6.7380000000000001E-3</v>
      </c>
    </row>
    <row r="18" spans="1:2" x14ac:dyDescent="0.25">
      <c r="A18" s="10" t="s">
        <v>557</v>
      </c>
      <c r="B18">
        <v>8.4223999999999993E-2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14" sqref="B14"/>
    </sheetView>
  </sheetViews>
  <sheetFormatPr defaultRowHeight="15" x14ac:dyDescent="0.25"/>
  <cols>
    <col min="1" max="1" width="10.28515625" customWidth="1"/>
    <col min="2" max="2" width="10.140625" customWidth="1"/>
    <col min="3" max="3" width="9.7109375" customWidth="1"/>
  </cols>
  <sheetData>
    <row r="1" spans="1:11" x14ac:dyDescent="0.25">
      <c r="A1" t="s">
        <v>131</v>
      </c>
    </row>
    <row r="2" spans="1:11" x14ac:dyDescent="0.25">
      <c r="A2" t="s">
        <v>442</v>
      </c>
      <c r="B2">
        <v>100</v>
      </c>
      <c r="E2" t="s">
        <v>197</v>
      </c>
    </row>
    <row r="3" spans="1:11" x14ac:dyDescent="0.25">
      <c r="A3" t="s">
        <v>440</v>
      </c>
      <c r="B3">
        <v>5</v>
      </c>
      <c r="E3" t="s">
        <v>446</v>
      </c>
    </row>
    <row r="4" spans="1:11" x14ac:dyDescent="0.25">
      <c r="A4" t="s">
        <v>441</v>
      </c>
      <c r="B4">
        <v>110</v>
      </c>
      <c r="E4" t="s">
        <v>447</v>
      </c>
    </row>
    <row r="5" spans="1:11" x14ac:dyDescent="0.25">
      <c r="A5" t="s">
        <v>443</v>
      </c>
      <c r="B5">
        <v>2</v>
      </c>
    </row>
    <row r="7" spans="1:11" x14ac:dyDescent="0.25">
      <c r="A7" t="s">
        <v>444</v>
      </c>
      <c r="B7">
        <f>NORMDIST(B4,B2,B3,1)</f>
        <v>0.97724986805182079</v>
      </c>
      <c r="K7" s="18"/>
    </row>
    <row r="8" spans="1:11" x14ac:dyDescent="0.25">
      <c r="A8" t="s">
        <v>445</v>
      </c>
      <c r="C8">
        <f>1-B7</f>
        <v>2.2750131948179209E-2</v>
      </c>
    </row>
    <row r="10" spans="1:11" x14ac:dyDescent="0.25">
      <c r="A10" t="s">
        <v>448</v>
      </c>
      <c r="D10">
        <f>E14-D16</f>
        <v>-0.83999484803691293</v>
      </c>
      <c r="G10" s="10"/>
    </row>
    <row r="11" spans="1:11" x14ac:dyDescent="0.25">
      <c r="A11" t="s">
        <v>449</v>
      </c>
      <c r="B11">
        <v>85</v>
      </c>
    </row>
    <row r="12" spans="1:11" x14ac:dyDescent="0.25">
      <c r="A12" s="1" t="s">
        <v>450</v>
      </c>
      <c r="B12">
        <v>105</v>
      </c>
    </row>
    <row r="14" spans="1:11" x14ac:dyDescent="0.25">
      <c r="A14" t="s">
        <v>451</v>
      </c>
      <c r="E14">
        <f>NORMDIST(B11,B2,B3,1)</f>
        <v>1.3498980316300933E-3</v>
      </c>
    </row>
    <row r="16" spans="1:11" x14ac:dyDescent="0.25">
      <c r="A16" t="s">
        <v>452</v>
      </c>
      <c r="D16">
        <f>NORMDIST(B12,B2,B3,1)</f>
        <v>0.84134474606854304</v>
      </c>
    </row>
    <row r="17" spans="2:2" x14ac:dyDescent="0.25">
      <c r="B17" t="s">
        <v>264</v>
      </c>
    </row>
    <row r="18" spans="2:2" x14ac:dyDescent="0.25">
      <c r="B18" t="s">
        <v>453</v>
      </c>
    </row>
    <row r="19" spans="2:2" x14ac:dyDescent="0.25">
      <c r="B19" t="s">
        <v>454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H16" sqref="H16"/>
    </sheetView>
  </sheetViews>
  <sheetFormatPr defaultRowHeight="15" x14ac:dyDescent="0.25"/>
  <cols>
    <col min="2" max="2" width="10.28515625" customWidth="1"/>
    <col min="8" max="8" width="11.7109375" customWidth="1"/>
  </cols>
  <sheetData>
    <row r="1" spans="1:15" x14ac:dyDescent="0.25">
      <c r="D1" t="s">
        <v>455</v>
      </c>
    </row>
    <row r="3" spans="1:15" x14ac:dyDescent="0.25">
      <c r="A3" t="s">
        <v>458</v>
      </c>
    </row>
    <row r="4" spans="1:15" x14ac:dyDescent="0.25">
      <c r="A4" t="s">
        <v>131</v>
      </c>
    </row>
    <row r="5" spans="1:15" x14ac:dyDescent="0.25">
      <c r="A5" t="s">
        <v>456</v>
      </c>
      <c r="C5">
        <v>400</v>
      </c>
    </row>
    <row r="6" spans="1:15" x14ac:dyDescent="0.25">
      <c r="A6" t="s">
        <v>457</v>
      </c>
      <c r="C6">
        <v>171.38</v>
      </c>
    </row>
    <row r="7" spans="1:15" x14ac:dyDescent="0.25">
      <c r="A7" t="s">
        <v>459</v>
      </c>
      <c r="C7">
        <v>171.17</v>
      </c>
    </row>
    <row r="8" spans="1:15" x14ac:dyDescent="0.25">
      <c r="A8" t="s">
        <v>460</v>
      </c>
      <c r="C8">
        <v>3.3</v>
      </c>
    </row>
    <row r="10" spans="1:15" x14ac:dyDescent="0.25">
      <c r="A10" t="s">
        <v>461</v>
      </c>
      <c r="C10" s="19">
        <v>0.05</v>
      </c>
    </row>
    <row r="11" spans="1:15" x14ac:dyDescent="0.25">
      <c r="A11" t="s">
        <v>462</v>
      </c>
      <c r="D11">
        <f>C8/SQRT(C5)</f>
        <v>0.16499999999999998</v>
      </c>
    </row>
    <row r="13" spans="1:15" x14ac:dyDescent="0.25">
      <c r="A13" t="s">
        <v>463</v>
      </c>
      <c r="E13">
        <f>(C6-C7)/D11</f>
        <v>1.2727272727273211</v>
      </c>
    </row>
    <row r="15" spans="1:15" x14ac:dyDescent="0.25">
      <c r="A15" t="s">
        <v>468</v>
      </c>
      <c r="F15" t="s">
        <v>474</v>
      </c>
      <c r="K15" t="s">
        <v>475</v>
      </c>
    </row>
    <row r="16" spans="1:15" ht="18" x14ac:dyDescent="0.35">
      <c r="A16" t="s">
        <v>464</v>
      </c>
      <c r="F16" t="s">
        <v>469</v>
      </c>
      <c r="I16">
        <f>C7-D19*D11</f>
        <v>170.8466</v>
      </c>
      <c r="K16" t="s">
        <v>476</v>
      </c>
      <c r="O16">
        <f>2*(1-NORMSDIST(E13))</f>
        <v>0.20311483634311434</v>
      </c>
    </row>
    <row r="17" spans="1:12" x14ac:dyDescent="0.25">
      <c r="A17" t="s">
        <v>465</v>
      </c>
      <c r="F17" t="s">
        <v>471</v>
      </c>
      <c r="I17">
        <f>C7+D19*D11</f>
        <v>171.49339999999998</v>
      </c>
      <c r="K17" s="1" t="s">
        <v>477</v>
      </c>
      <c r="L17">
        <v>0.05</v>
      </c>
    </row>
    <row r="18" spans="1:12" x14ac:dyDescent="0.25">
      <c r="F18" t="s">
        <v>466</v>
      </c>
      <c r="K18" s="1" t="s">
        <v>466</v>
      </c>
    </row>
    <row r="19" spans="1:12" x14ac:dyDescent="0.25">
      <c r="A19" t="s">
        <v>470</v>
      </c>
      <c r="D19">
        <v>1.96</v>
      </c>
      <c r="F19" t="s">
        <v>472</v>
      </c>
      <c r="K19" s="1" t="s">
        <v>478</v>
      </c>
    </row>
    <row r="20" spans="1:12" x14ac:dyDescent="0.25">
      <c r="A20" t="s">
        <v>466</v>
      </c>
      <c r="F20" t="s">
        <v>473</v>
      </c>
    </row>
    <row r="21" spans="1:12" x14ac:dyDescent="0.25">
      <c r="A21" t="s">
        <v>467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8" sqref="H8"/>
    </sheetView>
  </sheetViews>
  <sheetFormatPr defaultRowHeight="15" x14ac:dyDescent="0.25"/>
  <cols>
    <col min="1" max="1" width="28" customWidth="1"/>
    <col min="2" max="2" width="14" customWidth="1"/>
    <col min="3" max="3" width="9.140625" customWidth="1"/>
    <col min="4" max="4" width="5.140625" customWidth="1"/>
    <col min="15" max="15" width="12.7109375" customWidth="1"/>
  </cols>
  <sheetData>
    <row r="1" spans="1:17" x14ac:dyDescent="0.25">
      <c r="D1" t="s">
        <v>479</v>
      </c>
    </row>
    <row r="2" spans="1:17" x14ac:dyDescent="0.25">
      <c r="K2" t="s">
        <v>177</v>
      </c>
    </row>
    <row r="3" spans="1:17" x14ac:dyDescent="0.25">
      <c r="A3" t="s">
        <v>0</v>
      </c>
      <c r="B3" t="s">
        <v>255</v>
      </c>
      <c r="K3" t="s">
        <v>500</v>
      </c>
    </row>
    <row r="4" spans="1:17" x14ac:dyDescent="0.25">
      <c r="A4">
        <v>900</v>
      </c>
      <c r="B4">
        <v>1052</v>
      </c>
      <c r="E4" s="1" t="s">
        <v>517</v>
      </c>
      <c r="F4">
        <v>1088</v>
      </c>
      <c r="K4" t="s">
        <v>501</v>
      </c>
    </row>
    <row r="5" spans="1:17" x14ac:dyDescent="0.25">
      <c r="A5">
        <v>1276</v>
      </c>
      <c r="B5">
        <v>947</v>
      </c>
      <c r="E5" s="1" t="s">
        <v>518</v>
      </c>
      <c r="F5">
        <v>999.5</v>
      </c>
      <c r="K5" t="s">
        <v>502</v>
      </c>
    </row>
    <row r="6" spans="1:17" x14ac:dyDescent="0.25">
      <c r="K6" t="s">
        <v>503</v>
      </c>
    </row>
    <row r="7" spans="1:17" x14ac:dyDescent="0.25">
      <c r="A7" t="s">
        <v>131</v>
      </c>
      <c r="E7" t="s">
        <v>498</v>
      </c>
      <c r="F7">
        <v>0.37012899999999999</v>
      </c>
      <c r="K7" t="s">
        <v>504</v>
      </c>
    </row>
    <row r="8" spans="1:17" x14ac:dyDescent="0.25">
      <c r="A8" t="s">
        <v>480</v>
      </c>
      <c r="B8">
        <v>52783</v>
      </c>
      <c r="E8" t="s">
        <v>497</v>
      </c>
      <c r="H8">
        <v>1.6448529999999999</v>
      </c>
      <c r="K8" t="s">
        <v>505</v>
      </c>
    </row>
    <row r="9" spans="1:17" x14ac:dyDescent="0.25">
      <c r="A9" t="s">
        <v>481</v>
      </c>
      <c r="B9">
        <v>61650</v>
      </c>
      <c r="E9" t="s">
        <v>466</v>
      </c>
      <c r="K9" t="s">
        <v>506</v>
      </c>
    </row>
    <row r="10" spans="1:17" x14ac:dyDescent="0.25">
      <c r="A10" t="s">
        <v>482</v>
      </c>
      <c r="B10">
        <v>0.05</v>
      </c>
      <c r="E10" t="s">
        <v>499</v>
      </c>
      <c r="K10" t="s">
        <v>508</v>
      </c>
    </row>
    <row r="11" spans="1:17" x14ac:dyDescent="0.25">
      <c r="K11" t="s">
        <v>507</v>
      </c>
      <c r="O11" t="s">
        <v>486</v>
      </c>
    </row>
    <row r="12" spans="1:17" ht="15.75" thickBot="1" x14ac:dyDescent="0.3">
      <c r="A12" t="s">
        <v>484</v>
      </c>
    </row>
    <row r="13" spans="1:17" x14ac:dyDescent="0.25">
      <c r="A13" t="s">
        <v>483</v>
      </c>
      <c r="O13" s="6"/>
      <c r="P13" s="6" t="s">
        <v>487</v>
      </c>
      <c r="Q13" s="6" t="s">
        <v>488</v>
      </c>
    </row>
    <row r="14" spans="1:17" x14ac:dyDescent="0.25">
      <c r="A14" t="s">
        <v>485</v>
      </c>
      <c r="O14" s="4" t="s">
        <v>489</v>
      </c>
      <c r="P14" s="4">
        <v>1088</v>
      </c>
      <c r="Q14" s="4">
        <v>999.5</v>
      </c>
    </row>
    <row r="15" spans="1:17" x14ac:dyDescent="0.25">
      <c r="O15" s="4" t="s">
        <v>490</v>
      </c>
      <c r="P15" s="4">
        <v>52738</v>
      </c>
      <c r="Q15" s="4">
        <v>61650</v>
      </c>
    </row>
    <row r="16" spans="1:17" x14ac:dyDescent="0.25">
      <c r="A16" t="s">
        <v>486</v>
      </c>
      <c r="O16" s="4" t="s">
        <v>276</v>
      </c>
      <c r="P16" s="4">
        <v>2</v>
      </c>
      <c r="Q16" s="4">
        <v>2</v>
      </c>
    </row>
    <row r="17" spans="1:17" ht="15.75" thickBot="1" x14ac:dyDescent="0.3">
      <c r="O17" s="4" t="s">
        <v>491</v>
      </c>
      <c r="P17" s="4">
        <v>0</v>
      </c>
      <c r="Q17" s="4"/>
    </row>
    <row r="18" spans="1:17" x14ac:dyDescent="0.25">
      <c r="A18" s="6"/>
      <c r="B18" s="6" t="s">
        <v>487</v>
      </c>
      <c r="C18" s="6" t="s">
        <v>488</v>
      </c>
      <c r="O18" s="4" t="s">
        <v>492</v>
      </c>
      <c r="P18" s="4">
        <v>0.37005649849474337</v>
      </c>
      <c r="Q18" s="4"/>
    </row>
    <row r="19" spans="1:17" x14ac:dyDescent="0.25">
      <c r="A19" s="4" t="s">
        <v>489</v>
      </c>
      <c r="B19" s="4">
        <v>1088</v>
      </c>
      <c r="C19" s="4">
        <v>999.5</v>
      </c>
      <c r="O19" s="4" t="s">
        <v>493</v>
      </c>
      <c r="P19" s="4">
        <v>0.3556701970002033</v>
      </c>
      <c r="Q19" s="4"/>
    </row>
    <row r="20" spans="1:17" x14ac:dyDescent="0.25">
      <c r="A20" s="4" t="s">
        <v>490</v>
      </c>
      <c r="B20" s="4">
        <v>52783</v>
      </c>
      <c r="C20" s="4">
        <v>61560</v>
      </c>
      <c r="O20" s="4" t="s">
        <v>494</v>
      </c>
      <c r="P20" s="4">
        <v>1.6448536269514715</v>
      </c>
      <c r="Q20" s="4"/>
    </row>
    <row r="21" spans="1:17" x14ac:dyDescent="0.25">
      <c r="A21" s="4" t="s">
        <v>276</v>
      </c>
      <c r="B21" s="4">
        <v>2</v>
      </c>
      <c r="C21" s="4">
        <v>2</v>
      </c>
      <c r="H21" t="s">
        <v>486</v>
      </c>
      <c r="O21" s="4" t="s">
        <v>495</v>
      </c>
      <c r="P21" s="4">
        <v>0.71134039400040661</v>
      </c>
      <c r="Q21" s="4"/>
    </row>
    <row r="22" spans="1:17" ht="15.75" thickBot="1" x14ac:dyDescent="0.3">
      <c r="A22" s="4" t="s">
        <v>491</v>
      </c>
      <c r="B22" s="4">
        <v>0</v>
      </c>
      <c r="C22" s="4"/>
      <c r="O22" s="5" t="s">
        <v>496</v>
      </c>
      <c r="P22" s="5">
        <v>1.9599639845400536</v>
      </c>
      <c r="Q22" s="5"/>
    </row>
    <row r="23" spans="1:17" x14ac:dyDescent="0.25">
      <c r="A23" s="4" t="s">
        <v>492</v>
      </c>
      <c r="B23" s="4">
        <v>0.37012930970461716</v>
      </c>
      <c r="C23" s="4"/>
      <c r="H23" s="6"/>
      <c r="I23" s="6" t="s">
        <v>487</v>
      </c>
      <c r="J23" s="6" t="s">
        <v>488</v>
      </c>
    </row>
    <row r="24" spans="1:17" x14ac:dyDescent="0.25">
      <c r="A24" s="4" t="s">
        <v>493</v>
      </c>
      <c r="B24" s="4">
        <v>0.35564307223887404</v>
      </c>
      <c r="C24" s="4"/>
      <c r="H24" s="4" t="s">
        <v>489</v>
      </c>
      <c r="I24" s="4">
        <v>1088</v>
      </c>
      <c r="J24" s="4">
        <v>999.5</v>
      </c>
    </row>
    <row r="25" spans="1:17" x14ac:dyDescent="0.25">
      <c r="A25" s="4" t="s">
        <v>494</v>
      </c>
      <c r="B25" s="4">
        <v>1.6448536269514724</v>
      </c>
      <c r="C25" s="4"/>
      <c r="H25" s="4" t="s">
        <v>490</v>
      </c>
      <c r="I25" s="4">
        <v>52783</v>
      </c>
      <c r="J25" s="4">
        <v>61650</v>
      </c>
    </row>
    <row r="26" spans="1:17" x14ac:dyDescent="0.25">
      <c r="A26" s="4" t="s">
        <v>495</v>
      </c>
      <c r="B26" s="4">
        <v>0.71128614447774807</v>
      </c>
      <c r="C26" s="4"/>
      <c r="H26" s="4" t="s">
        <v>276</v>
      </c>
      <c r="I26" s="4">
        <v>2</v>
      </c>
      <c r="J26" s="4">
        <v>2</v>
      </c>
    </row>
    <row r="27" spans="1:17" ht="15.75" thickBot="1" x14ac:dyDescent="0.3">
      <c r="A27" s="5" t="s">
        <v>496</v>
      </c>
      <c r="B27" s="5">
        <v>1.959963984540054</v>
      </c>
      <c r="C27" s="5"/>
      <c r="H27" s="4" t="s">
        <v>491</v>
      </c>
      <c r="I27" s="4">
        <v>0</v>
      </c>
      <c r="J27" s="4"/>
    </row>
    <row r="28" spans="1:17" x14ac:dyDescent="0.25">
      <c r="H28" s="4" t="s">
        <v>492</v>
      </c>
      <c r="I28" s="4">
        <v>0.36998373023786363</v>
      </c>
      <c r="J28" s="4"/>
    </row>
    <row r="29" spans="1:17" x14ac:dyDescent="0.25">
      <c r="H29" s="4" t="s">
        <v>493</v>
      </c>
      <c r="I29" s="4">
        <v>0.35569730649023701</v>
      </c>
      <c r="J29" s="4"/>
    </row>
    <row r="30" spans="1:17" x14ac:dyDescent="0.25">
      <c r="H30" s="4" t="s">
        <v>494</v>
      </c>
      <c r="I30" s="4">
        <v>1.6448536269514724</v>
      </c>
      <c r="J30" s="4"/>
    </row>
    <row r="31" spans="1:17" x14ac:dyDescent="0.25">
      <c r="H31" s="4" t="s">
        <v>495</v>
      </c>
      <c r="I31" s="4">
        <v>0.71139461298047402</v>
      </c>
      <c r="J31" s="4"/>
    </row>
    <row r="32" spans="1:17" ht="15.75" thickBot="1" x14ac:dyDescent="0.3">
      <c r="H32" s="5" t="s">
        <v>496</v>
      </c>
      <c r="I32" s="5">
        <v>1.959963984540054</v>
      </c>
      <c r="J32" s="5"/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C25" sqref="C25"/>
    </sheetView>
  </sheetViews>
  <sheetFormatPr defaultRowHeight="15" x14ac:dyDescent="0.25"/>
  <cols>
    <col min="1" max="1" width="10.5703125" customWidth="1"/>
    <col min="2" max="2" width="12.5703125" customWidth="1"/>
    <col min="3" max="3" width="10.85546875" customWidth="1"/>
  </cols>
  <sheetData>
    <row r="1" spans="1:5" x14ac:dyDescent="0.25">
      <c r="E1" t="s">
        <v>529</v>
      </c>
    </row>
    <row r="3" spans="1:5" x14ac:dyDescent="0.25">
      <c r="A3" t="s">
        <v>509</v>
      </c>
    </row>
    <row r="4" spans="1:5" x14ac:dyDescent="0.25">
      <c r="A4" t="s">
        <v>510</v>
      </c>
    </row>
    <row r="5" spans="1:5" x14ac:dyDescent="0.25">
      <c r="A5" t="s">
        <v>131</v>
      </c>
    </row>
    <row r="6" spans="1:5" x14ac:dyDescent="0.25">
      <c r="A6" t="s">
        <v>511</v>
      </c>
      <c r="C6">
        <v>500</v>
      </c>
    </row>
    <row r="7" spans="1:5" x14ac:dyDescent="0.25">
      <c r="A7" t="s">
        <v>512</v>
      </c>
      <c r="D7">
        <v>0.54</v>
      </c>
    </row>
    <row r="8" spans="1:5" x14ac:dyDescent="0.25">
      <c r="C8" t="s">
        <v>385</v>
      </c>
      <c r="D8">
        <v>0.46</v>
      </c>
    </row>
    <row r="10" spans="1:5" x14ac:dyDescent="0.25">
      <c r="A10" t="s">
        <v>513</v>
      </c>
      <c r="D10">
        <v>0.5</v>
      </c>
    </row>
    <row r="11" spans="1:5" x14ac:dyDescent="0.25">
      <c r="C11" t="s">
        <v>387</v>
      </c>
      <c r="D11">
        <v>0.5</v>
      </c>
    </row>
    <row r="13" spans="1:5" x14ac:dyDescent="0.25">
      <c r="A13" t="s">
        <v>514</v>
      </c>
    </row>
    <row r="14" spans="1:5" x14ac:dyDescent="0.25">
      <c r="A14" t="s">
        <v>515</v>
      </c>
    </row>
    <row r="15" spans="1:5" x14ac:dyDescent="0.25">
      <c r="A15" t="s">
        <v>516</v>
      </c>
    </row>
    <row r="17" spans="1:4" x14ac:dyDescent="0.25">
      <c r="A17" t="s">
        <v>519</v>
      </c>
    </row>
    <row r="19" spans="1:4" x14ac:dyDescent="0.25">
      <c r="A19" t="s">
        <v>520</v>
      </c>
    </row>
    <row r="20" spans="1:4" x14ac:dyDescent="0.25">
      <c r="A20" t="s">
        <v>521</v>
      </c>
      <c r="C20">
        <f>SQRT(D10*D11/C6)</f>
        <v>2.2360679774997897E-2</v>
      </c>
    </row>
    <row r="21" spans="1:4" x14ac:dyDescent="0.25">
      <c r="A21" t="s">
        <v>522</v>
      </c>
      <c r="C21">
        <v>0.04</v>
      </c>
    </row>
    <row r="22" spans="1:4" x14ac:dyDescent="0.25">
      <c r="A22" t="s">
        <v>523</v>
      </c>
      <c r="C22">
        <f>(D7-D10)/SQRT(C20)</f>
        <v>0.26749612199056905</v>
      </c>
    </row>
    <row r="24" spans="1:4" x14ac:dyDescent="0.25">
      <c r="A24" t="s">
        <v>524</v>
      </c>
    </row>
    <row r="25" spans="1:4" x14ac:dyDescent="0.25">
      <c r="A25" t="s">
        <v>525</v>
      </c>
      <c r="B25">
        <v>1.96</v>
      </c>
    </row>
    <row r="26" spans="1:4" x14ac:dyDescent="0.25">
      <c r="A26" t="s">
        <v>526</v>
      </c>
      <c r="D26">
        <f>2*(1-NORMSDIST(C22))</f>
        <v>0.78908719962785234</v>
      </c>
    </row>
    <row r="27" spans="1:4" x14ac:dyDescent="0.25">
      <c r="A27" s="1" t="s">
        <v>527</v>
      </c>
      <c r="B27">
        <v>0.05</v>
      </c>
    </row>
    <row r="28" spans="1:4" x14ac:dyDescent="0.25">
      <c r="A28" s="1" t="s">
        <v>466</v>
      </c>
    </row>
    <row r="29" spans="1:4" x14ac:dyDescent="0.25">
      <c r="A29" s="1" t="s">
        <v>528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13" sqref="I13"/>
    </sheetView>
  </sheetViews>
  <sheetFormatPr defaultRowHeight="15" x14ac:dyDescent="0.25"/>
  <cols>
    <col min="2" max="2" width="12.140625" customWidth="1"/>
    <col min="3" max="3" width="10.42578125" customWidth="1"/>
    <col min="6" max="6" width="12.140625" customWidth="1"/>
  </cols>
  <sheetData>
    <row r="1" spans="1:7" x14ac:dyDescent="0.25">
      <c r="D1" t="s">
        <v>530</v>
      </c>
    </row>
    <row r="3" spans="1:7" x14ac:dyDescent="0.25">
      <c r="A3" t="s">
        <v>531</v>
      </c>
    </row>
    <row r="4" spans="1:7" x14ac:dyDescent="0.25">
      <c r="A4" t="s">
        <v>131</v>
      </c>
    </row>
    <row r="5" spans="1:7" x14ac:dyDescent="0.25">
      <c r="A5" t="s">
        <v>532</v>
      </c>
      <c r="F5" t="s">
        <v>537</v>
      </c>
    </row>
    <row r="6" spans="1:7" x14ac:dyDescent="0.25">
      <c r="A6" t="s">
        <v>533</v>
      </c>
      <c r="B6">
        <v>250</v>
      </c>
      <c r="F6" t="s">
        <v>538</v>
      </c>
      <c r="G6">
        <v>200</v>
      </c>
    </row>
    <row r="7" spans="1:7" x14ac:dyDescent="0.25">
      <c r="A7" t="s">
        <v>534</v>
      </c>
      <c r="B7">
        <v>24</v>
      </c>
      <c r="F7" t="s">
        <v>539</v>
      </c>
      <c r="G7">
        <v>10</v>
      </c>
    </row>
    <row r="8" spans="1:7" x14ac:dyDescent="0.25">
      <c r="A8" t="s">
        <v>535</v>
      </c>
      <c r="D8">
        <v>9.6000000000000002E-2</v>
      </c>
      <c r="F8" t="s">
        <v>558</v>
      </c>
      <c r="G8">
        <v>0.05</v>
      </c>
    </row>
    <row r="9" spans="1:7" x14ac:dyDescent="0.25">
      <c r="B9" t="s">
        <v>536</v>
      </c>
      <c r="D9">
        <v>0.90400000000000003</v>
      </c>
      <c r="F9" t="s">
        <v>540</v>
      </c>
      <c r="G9">
        <v>0.95</v>
      </c>
    </row>
    <row r="11" spans="1:7" x14ac:dyDescent="0.25">
      <c r="A11" t="s">
        <v>541</v>
      </c>
    </row>
    <row r="12" spans="1:7" x14ac:dyDescent="0.25">
      <c r="A12" t="s">
        <v>542</v>
      </c>
    </row>
    <row r="13" spans="1:7" x14ac:dyDescent="0.25">
      <c r="A13" t="s">
        <v>543</v>
      </c>
    </row>
    <row r="14" spans="1:7" ht="13.5" customHeight="1" x14ac:dyDescent="0.25"/>
    <row r="15" spans="1:7" x14ac:dyDescent="0.25">
      <c r="A15" t="s">
        <v>544</v>
      </c>
    </row>
    <row r="17" spans="1:9" x14ac:dyDescent="0.25">
      <c r="A17" t="s">
        <v>520</v>
      </c>
    </row>
    <row r="18" spans="1:9" x14ac:dyDescent="0.25">
      <c r="A18" t="s">
        <v>547</v>
      </c>
      <c r="E18" t="s">
        <v>545</v>
      </c>
      <c r="I18">
        <f>(B6*D8+G6*G8)/(B6+G6)</f>
        <v>7.5555555555555556E-2</v>
      </c>
    </row>
    <row r="19" spans="1:9" x14ac:dyDescent="0.25">
      <c r="B19">
        <f>(D8-G8)/SQRT((I18*G19)*(1/B6+1/G6))</f>
        <v>1.8346911535621673</v>
      </c>
      <c r="E19" t="s">
        <v>546</v>
      </c>
      <c r="G19">
        <f>1-I18</f>
        <v>0.9244444444444444</v>
      </c>
    </row>
    <row r="21" spans="1:9" x14ac:dyDescent="0.25">
      <c r="A21" t="s">
        <v>548</v>
      </c>
      <c r="C21">
        <v>1.96</v>
      </c>
      <c r="E21" t="s">
        <v>526</v>
      </c>
      <c r="H21">
        <f>2*(1-NORMSDIST(B19))</f>
        <v>6.6551463798121491E-2</v>
      </c>
    </row>
    <row r="22" spans="1:9" x14ac:dyDescent="0.25">
      <c r="E22" t="s">
        <v>550</v>
      </c>
    </row>
    <row r="23" spans="1:9" x14ac:dyDescent="0.25">
      <c r="A23" t="s">
        <v>466</v>
      </c>
      <c r="B23" t="s">
        <v>549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L20" sqref="L20"/>
    </sheetView>
  </sheetViews>
  <sheetFormatPr defaultRowHeight="15" x14ac:dyDescent="0.25"/>
  <cols>
    <col min="2" max="2" width="9.5703125" customWidth="1"/>
    <col min="3" max="3" width="6.7109375" customWidth="1"/>
    <col min="5" max="5" width="11.7109375" customWidth="1"/>
    <col min="10" max="10" width="13.42578125" customWidth="1"/>
    <col min="11" max="11" width="9.7109375" customWidth="1"/>
    <col min="15" max="15" width="14" customWidth="1"/>
  </cols>
  <sheetData>
    <row r="1" spans="1:16" ht="17.25" x14ac:dyDescent="0.25">
      <c r="A1" t="s">
        <v>51</v>
      </c>
      <c r="B1" t="s">
        <v>58</v>
      </c>
      <c r="C1" t="s">
        <v>60</v>
      </c>
      <c r="D1" t="s">
        <v>61</v>
      </c>
      <c r="E1" t="s">
        <v>59</v>
      </c>
      <c r="F1" t="s">
        <v>62</v>
      </c>
      <c r="G1" t="s">
        <v>63</v>
      </c>
      <c r="H1" t="s">
        <v>31</v>
      </c>
    </row>
    <row r="2" spans="1:16" x14ac:dyDescent="0.25">
      <c r="A2" t="s">
        <v>52</v>
      </c>
      <c r="B2">
        <v>8</v>
      </c>
      <c r="C2">
        <v>0</v>
      </c>
      <c r="D2">
        <v>10</v>
      </c>
      <c r="E2">
        <f>(C2+D2)/2</f>
        <v>5</v>
      </c>
      <c r="F2">
        <f>SUMPRODUCT(B2,E2)</f>
        <v>40</v>
      </c>
      <c r="G2">
        <f>SUMPRODUCT(E2,F2)</f>
        <v>200</v>
      </c>
      <c r="H2">
        <f>0+B2</f>
        <v>8</v>
      </c>
      <c r="J2" t="s">
        <v>84</v>
      </c>
      <c r="N2" t="s">
        <v>88</v>
      </c>
    </row>
    <row r="3" spans="1:16" x14ac:dyDescent="0.25">
      <c r="A3" s="2" t="s">
        <v>53</v>
      </c>
      <c r="B3">
        <v>15</v>
      </c>
      <c r="C3">
        <v>10</v>
      </c>
      <c r="D3">
        <v>20</v>
      </c>
      <c r="E3">
        <f t="shared" ref="E3:E7" si="0">(C3+D3)/2</f>
        <v>15</v>
      </c>
      <c r="F3">
        <f t="shared" ref="F3:F7" si="1">SUMPRODUCT(B3,E3)</f>
        <v>225</v>
      </c>
      <c r="G3">
        <f t="shared" ref="G3:G7" si="2">SUMPRODUCT(E3,F3)</f>
        <v>3375</v>
      </c>
      <c r="H3">
        <f>H2+B3</f>
        <v>23</v>
      </c>
      <c r="J3" t="s">
        <v>87</v>
      </c>
      <c r="L3">
        <f>K6+(K4-K7)*K9/K8</f>
        <v>31.25</v>
      </c>
      <c r="N3" t="s">
        <v>110</v>
      </c>
      <c r="P3">
        <f>O6+(P4-O7)*O9/O8</f>
        <v>46.428571428571431</v>
      </c>
    </row>
    <row r="4" spans="1:16" x14ac:dyDescent="0.25">
      <c r="A4" t="s">
        <v>54</v>
      </c>
      <c r="B4">
        <v>25</v>
      </c>
      <c r="C4">
        <v>20</v>
      </c>
      <c r="D4">
        <v>30</v>
      </c>
      <c r="E4">
        <f t="shared" si="0"/>
        <v>25</v>
      </c>
      <c r="F4">
        <f t="shared" si="1"/>
        <v>625</v>
      </c>
      <c r="G4">
        <f t="shared" si="2"/>
        <v>15625</v>
      </c>
      <c r="H4">
        <f t="shared" ref="H4:H7" si="3">H3+B4</f>
        <v>48</v>
      </c>
      <c r="J4" t="s">
        <v>85</v>
      </c>
      <c r="K4">
        <f>3*B9/4</f>
        <v>48.75</v>
      </c>
      <c r="N4" t="s">
        <v>114</v>
      </c>
      <c r="P4">
        <f>90*B9/100</f>
        <v>58.5</v>
      </c>
    </row>
    <row r="5" spans="1:16" x14ac:dyDescent="0.25">
      <c r="A5" t="s">
        <v>55</v>
      </c>
      <c r="B5">
        <v>6</v>
      </c>
      <c r="C5">
        <v>30</v>
      </c>
      <c r="D5">
        <v>40</v>
      </c>
      <c r="E5">
        <f t="shared" si="0"/>
        <v>35</v>
      </c>
      <c r="F5">
        <f t="shared" si="1"/>
        <v>210</v>
      </c>
      <c r="G5">
        <f t="shared" si="2"/>
        <v>7350</v>
      </c>
      <c r="H5">
        <f t="shared" si="3"/>
        <v>54</v>
      </c>
      <c r="J5" t="s">
        <v>86</v>
      </c>
      <c r="N5" t="s">
        <v>111</v>
      </c>
    </row>
    <row r="6" spans="1:16" x14ac:dyDescent="0.25">
      <c r="A6" t="s">
        <v>56</v>
      </c>
      <c r="B6">
        <v>7</v>
      </c>
      <c r="C6">
        <v>40</v>
      </c>
      <c r="D6">
        <v>50</v>
      </c>
      <c r="E6">
        <f t="shared" si="0"/>
        <v>45</v>
      </c>
      <c r="F6">
        <f t="shared" si="1"/>
        <v>315</v>
      </c>
      <c r="G6">
        <f t="shared" si="2"/>
        <v>14175</v>
      </c>
      <c r="H6">
        <f t="shared" si="3"/>
        <v>61</v>
      </c>
      <c r="J6" t="s">
        <v>69</v>
      </c>
      <c r="K6">
        <v>30</v>
      </c>
      <c r="N6" t="s">
        <v>69</v>
      </c>
      <c r="O6">
        <v>40</v>
      </c>
    </row>
    <row r="7" spans="1:16" x14ac:dyDescent="0.25">
      <c r="A7" t="s">
        <v>57</v>
      </c>
      <c r="B7">
        <v>4</v>
      </c>
      <c r="C7">
        <v>50</v>
      </c>
      <c r="D7">
        <v>60</v>
      </c>
      <c r="E7">
        <f t="shared" si="0"/>
        <v>55</v>
      </c>
      <c r="F7">
        <f t="shared" si="1"/>
        <v>220</v>
      </c>
      <c r="G7">
        <f t="shared" si="2"/>
        <v>12100</v>
      </c>
      <c r="H7">
        <f t="shared" si="3"/>
        <v>65</v>
      </c>
      <c r="J7" t="s">
        <v>70</v>
      </c>
      <c r="K7">
        <v>48</v>
      </c>
      <c r="N7" t="s">
        <v>70</v>
      </c>
      <c r="O7">
        <v>54</v>
      </c>
    </row>
    <row r="8" spans="1:16" x14ac:dyDescent="0.25">
      <c r="J8" t="s">
        <v>71</v>
      </c>
      <c r="K8">
        <v>6</v>
      </c>
      <c r="N8" t="s">
        <v>71</v>
      </c>
      <c r="O8">
        <v>7</v>
      </c>
    </row>
    <row r="9" spans="1:16" x14ac:dyDescent="0.25">
      <c r="A9" t="s">
        <v>1</v>
      </c>
      <c r="B9">
        <f>SUM(B2:B7)</f>
        <v>65</v>
      </c>
      <c r="J9" t="s">
        <v>72</v>
      </c>
      <c r="K9">
        <v>10</v>
      </c>
      <c r="N9" t="s">
        <v>72</v>
      </c>
      <c r="O9">
        <v>10</v>
      </c>
    </row>
    <row r="10" spans="1:16" x14ac:dyDescent="0.25">
      <c r="A10" s="1" t="s">
        <v>27</v>
      </c>
      <c r="B10">
        <f>SUM(F2:F7)</f>
        <v>1635</v>
      </c>
      <c r="E10" t="s">
        <v>73</v>
      </c>
      <c r="I10" t="s">
        <v>80</v>
      </c>
    </row>
    <row r="11" spans="1:16" ht="17.25" x14ac:dyDescent="0.25">
      <c r="A11" s="1" t="s">
        <v>64</v>
      </c>
      <c r="B11">
        <f>SUM(G2:G7)</f>
        <v>52825</v>
      </c>
      <c r="E11" t="s">
        <v>79</v>
      </c>
      <c r="H11">
        <f>F16+(F12-F14)*F17/(2*F12-F14-F13)</f>
        <v>23.448275862068964</v>
      </c>
      <c r="I11" t="s">
        <v>81</v>
      </c>
      <c r="K11">
        <f>J14+(K12-J15)*J17/J16</f>
        <v>15.5</v>
      </c>
      <c r="N11" t="s">
        <v>112</v>
      </c>
    </row>
    <row r="12" spans="1:16" x14ac:dyDescent="0.25">
      <c r="E12" t="s">
        <v>74</v>
      </c>
      <c r="F12">
        <v>25</v>
      </c>
      <c r="I12" t="s">
        <v>82</v>
      </c>
      <c r="K12">
        <f>B9/4</f>
        <v>16.25</v>
      </c>
      <c r="N12" t="s">
        <v>113</v>
      </c>
      <c r="P12">
        <f>O15+(P13-O16)*O18/O17</f>
        <v>8.125</v>
      </c>
    </row>
    <row r="13" spans="1:16" x14ac:dyDescent="0.25">
      <c r="A13" t="s">
        <v>65</v>
      </c>
      <c r="B13">
        <f>B10/B9</f>
        <v>25.153846153846153</v>
      </c>
      <c r="E13" t="s">
        <v>75</v>
      </c>
      <c r="F13">
        <v>6</v>
      </c>
      <c r="I13" t="s">
        <v>83</v>
      </c>
      <c r="N13" t="s">
        <v>115</v>
      </c>
      <c r="P13">
        <f>10*B9/100</f>
        <v>6.5</v>
      </c>
    </row>
    <row r="14" spans="1:16" x14ac:dyDescent="0.25">
      <c r="A14" t="s">
        <v>66</v>
      </c>
      <c r="D14">
        <f>B17+(C15-B18)*B20/B19</f>
        <v>23.8</v>
      </c>
      <c r="E14" t="s">
        <v>76</v>
      </c>
      <c r="F14">
        <v>15</v>
      </c>
      <c r="I14" t="s">
        <v>69</v>
      </c>
      <c r="J14">
        <v>10</v>
      </c>
      <c r="N14" t="s">
        <v>116</v>
      </c>
    </row>
    <row r="15" spans="1:16" x14ac:dyDescent="0.25">
      <c r="A15" t="s">
        <v>67</v>
      </c>
      <c r="C15">
        <f>B9/2</f>
        <v>32.5</v>
      </c>
      <c r="E15" t="s">
        <v>77</v>
      </c>
      <c r="I15" t="s">
        <v>70</v>
      </c>
      <c r="J15">
        <v>8</v>
      </c>
      <c r="N15" t="s">
        <v>69</v>
      </c>
      <c r="O15">
        <v>0</v>
      </c>
    </row>
    <row r="16" spans="1:16" x14ac:dyDescent="0.25">
      <c r="A16" t="s">
        <v>68</v>
      </c>
      <c r="E16" t="s">
        <v>69</v>
      </c>
      <c r="F16">
        <v>20</v>
      </c>
      <c r="I16" t="s">
        <v>71</v>
      </c>
      <c r="J16">
        <v>15</v>
      </c>
      <c r="N16" t="s">
        <v>70</v>
      </c>
      <c r="O16">
        <v>0</v>
      </c>
    </row>
    <row r="17" spans="1:15" x14ac:dyDescent="0.25">
      <c r="A17" t="s">
        <v>69</v>
      </c>
      <c r="B17">
        <v>20</v>
      </c>
      <c r="E17" t="s">
        <v>78</v>
      </c>
      <c r="F17">
        <v>10</v>
      </c>
      <c r="I17" t="s">
        <v>72</v>
      </c>
      <c r="J17">
        <v>10</v>
      </c>
      <c r="N17" t="s">
        <v>71</v>
      </c>
      <c r="O17">
        <v>8</v>
      </c>
    </row>
    <row r="18" spans="1:15" x14ac:dyDescent="0.25">
      <c r="A18" t="s">
        <v>70</v>
      </c>
      <c r="B18">
        <v>23</v>
      </c>
      <c r="N18" t="s">
        <v>72</v>
      </c>
      <c r="O18">
        <v>10</v>
      </c>
    </row>
    <row r="19" spans="1:15" x14ac:dyDescent="0.25">
      <c r="A19" t="s">
        <v>71</v>
      </c>
      <c r="B19">
        <v>25</v>
      </c>
      <c r="E19" t="s">
        <v>118</v>
      </c>
      <c r="H19">
        <f>3*(B13-D14)/B23</f>
        <v>0.30274910837139335</v>
      </c>
      <c r="J19" t="s">
        <v>553</v>
      </c>
      <c r="L19">
        <f>(L3-K11)/(L3+K11)</f>
        <v>0.33689839572192515</v>
      </c>
    </row>
    <row r="20" spans="1:15" x14ac:dyDescent="0.25">
      <c r="A20" t="s">
        <v>72</v>
      </c>
      <c r="B20">
        <v>10</v>
      </c>
    </row>
    <row r="21" spans="1:15" x14ac:dyDescent="0.25">
      <c r="E21" t="s">
        <v>119</v>
      </c>
      <c r="H21">
        <f>1/2*(L3-K11/P3-P12)</f>
        <v>11.395576923076923</v>
      </c>
    </row>
    <row r="22" spans="1:15" ht="17.25" x14ac:dyDescent="0.25">
      <c r="A22" s="1" t="s">
        <v>437</v>
      </c>
      <c r="C22">
        <f>(B11/B9)-(B10/B9)^2</f>
        <v>179.9763313609468</v>
      </c>
    </row>
    <row r="23" spans="1:15" x14ac:dyDescent="0.25">
      <c r="A23" s="1" t="s">
        <v>438</v>
      </c>
      <c r="B23">
        <f>SQRT(C22)</f>
        <v>13.41552575790255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I13" sqref="I13"/>
    </sheetView>
  </sheetViews>
  <sheetFormatPr defaultRowHeight="15" x14ac:dyDescent="0.25"/>
  <cols>
    <col min="1" max="1" width="9.42578125" customWidth="1"/>
    <col min="2" max="2" width="11.85546875" customWidth="1"/>
    <col min="3" max="3" width="4.140625" customWidth="1"/>
    <col min="4" max="4" width="2.140625" customWidth="1"/>
    <col min="6" max="6" width="14.5703125" customWidth="1"/>
    <col min="7" max="7" width="8.42578125" customWidth="1"/>
    <col min="8" max="8" width="4.28515625" customWidth="1"/>
    <col min="9" max="9" width="11.42578125" customWidth="1"/>
    <col min="11" max="11" width="12.42578125" customWidth="1"/>
    <col min="12" max="12" width="8.5703125" customWidth="1"/>
    <col min="18" max="18" width="11" customWidth="1"/>
  </cols>
  <sheetData>
    <row r="1" spans="1:16" ht="18" thickBot="1" x14ac:dyDescent="0.3">
      <c r="A1">
        <v>91</v>
      </c>
      <c r="B1">
        <v>88</v>
      </c>
      <c r="C1">
        <v>95</v>
      </c>
      <c r="E1" t="s">
        <v>89</v>
      </c>
      <c r="F1" t="s">
        <v>97</v>
      </c>
      <c r="G1" t="s">
        <v>60</v>
      </c>
      <c r="H1" t="s">
        <v>61</v>
      </c>
      <c r="I1" t="s">
        <v>120</v>
      </c>
      <c r="J1" t="s">
        <v>62</v>
      </c>
      <c r="K1" t="s">
        <v>63</v>
      </c>
      <c r="L1" t="s">
        <v>31</v>
      </c>
      <c r="N1" t="s">
        <v>98</v>
      </c>
    </row>
    <row r="2" spans="1:16" x14ac:dyDescent="0.25">
      <c r="A2">
        <v>79</v>
      </c>
      <c r="B2">
        <v>97</v>
      </c>
      <c r="C2">
        <v>89</v>
      </c>
      <c r="E2" t="s">
        <v>90</v>
      </c>
      <c r="F2" s="4">
        <v>2</v>
      </c>
      <c r="G2">
        <v>60</v>
      </c>
      <c r="H2">
        <v>80</v>
      </c>
      <c r="I2">
        <f>(G2+H2)/2</f>
        <v>70</v>
      </c>
      <c r="J2">
        <f>SUMPRODUCT(F2,I2)</f>
        <v>140</v>
      </c>
      <c r="K2">
        <f>SUMPRODUCT(I2,J2)</f>
        <v>9800</v>
      </c>
      <c r="L2">
        <f>0+F2</f>
        <v>2</v>
      </c>
      <c r="N2">
        <v>60</v>
      </c>
      <c r="O2" s="6" t="s">
        <v>99</v>
      </c>
      <c r="P2" s="6" t="s">
        <v>101</v>
      </c>
    </row>
    <row r="3" spans="1:16" x14ac:dyDescent="0.25">
      <c r="A3">
        <v>66</v>
      </c>
      <c r="B3">
        <v>92</v>
      </c>
      <c r="C3">
        <v>86</v>
      </c>
      <c r="E3" t="s">
        <v>91</v>
      </c>
      <c r="F3" s="4">
        <v>11</v>
      </c>
      <c r="G3">
        <v>80</v>
      </c>
      <c r="H3">
        <v>100</v>
      </c>
      <c r="I3">
        <f t="shared" ref="I3:I8" si="0">(G3+H3)/2</f>
        <v>90</v>
      </c>
      <c r="J3">
        <f t="shared" ref="J3:J8" si="1">SUMPRODUCT(F3,I3)</f>
        <v>990</v>
      </c>
      <c r="K3">
        <f t="shared" ref="K3:K8" si="2">SUMPRODUCT(I3,J3)</f>
        <v>89100</v>
      </c>
      <c r="L3">
        <f>L2+F3</f>
        <v>13</v>
      </c>
      <c r="N3">
        <v>80</v>
      </c>
      <c r="O3" s="3">
        <v>60</v>
      </c>
      <c r="P3" s="4">
        <v>0</v>
      </c>
    </row>
    <row r="4" spans="1:16" x14ac:dyDescent="0.25">
      <c r="A4">
        <v>98</v>
      </c>
      <c r="B4">
        <v>87</v>
      </c>
      <c r="C4">
        <v>98</v>
      </c>
      <c r="E4" t="s">
        <v>92</v>
      </c>
      <c r="F4" s="4">
        <v>1</v>
      </c>
      <c r="G4">
        <v>100</v>
      </c>
      <c r="H4">
        <v>120</v>
      </c>
      <c r="I4">
        <f t="shared" si="0"/>
        <v>110</v>
      </c>
      <c r="J4">
        <f t="shared" si="1"/>
        <v>110</v>
      </c>
      <c r="K4">
        <f t="shared" si="2"/>
        <v>12100</v>
      </c>
      <c r="L4">
        <f t="shared" ref="L4:L8" si="3">L3+F4</f>
        <v>14</v>
      </c>
      <c r="N4">
        <v>100</v>
      </c>
      <c r="O4" s="3">
        <v>80</v>
      </c>
      <c r="P4" s="4">
        <v>2</v>
      </c>
    </row>
    <row r="5" spans="1:16" x14ac:dyDescent="0.25">
      <c r="A5">
        <v>127</v>
      </c>
      <c r="B5">
        <v>142</v>
      </c>
      <c r="C5">
        <v>145</v>
      </c>
      <c r="E5" t="s">
        <v>93</v>
      </c>
      <c r="F5" s="4">
        <v>5</v>
      </c>
      <c r="G5">
        <v>120</v>
      </c>
      <c r="H5">
        <v>140</v>
      </c>
      <c r="I5">
        <f t="shared" si="0"/>
        <v>130</v>
      </c>
      <c r="J5">
        <f t="shared" si="1"/>
        <v>650</v>
      </c>
      <c r="K5">
        <f t="shared" si="2"/>
        <v>84500</v>
      </c>
      <c r="L5">
        <f t="shared" si="3"/>
        <v>19</v>
      </c>
      <c r="N5">
        <v>120</v>
      </c>
      <c r="O5" s="3">
        <v>100</v>
      </c>
      <c r="P5" s="4">
        <v>11</v>
      </c>
    </row>
    <row r="6" spans="1:16" x14ac:dyDescent="0.25">
      <c r="A6">
        <v>139</v>
      </c>
      <c r="B6">
        <v>127</v>
      </c>
      <c r="C6">
        <v>129</v>
      </c>
      <c r="E6" t="s">
        <v>94</v>
      </c>
      <c r="F6" s="4">
        <v>8</v>
      </c>
      <c r="G6">
        <v>140</v>
      </c>
      <c r="H6">
        <v>160</v>
      </c>
      <c r="I6">
        <f t="shared" si="0"/>
        <v>150</v>
      </c>
      <c r="J6">
        <f t="shared" si="1"/>
        <v>1200</v>
      </c>
      <c r="K6">
        <f t="shared" si="2"/>
        <v>180000</v>
      </c>
      <c r="L6">
        <f t="shared" si="3"/>
        <v>27</v>
      </c>
      <c r="N6">
        <v>140</v>
      </c>
      <c r="O6" s="3">
        <v>120</v>
      </c>
      <c r="P6" s="4">
        <v>1</v>
      </c>
    </row>
    <row r="7" spans="1:16" x14ac:dyDescent="0.25">
      <c r="A7">
        <v>154</v>
      </c>
      <c r="B7">
        <v>184</v>
      </c>
      <c r="C7">
        <v>149</v>
      </c>
      <c r="E7" t="s">
        <v>95</v>
      </c>
      <c r="F7" s="4">
        <v>1</v>
      </c>
      <c r="G7">
        <v>160</v>
      </c>
      <c r="H7">
        <v>180</v>
      </c>
      <c r="I7">
        <f t="shared" si="0"/>
        <v>170</v>
      </c>
      <c r="J7">
        <f t="shared" si="1"/>
        <v>170</v>
      </c>
      <c r="K7">
        <f t="shared" si="2"/>
        <v>28900</v>
      </c>
      <c r="L7">
        <f t="shared" si="3"/>
        <v>28</v>
      </c>
      <c r="N7">
        <v>160</v>
      </c>
      <c r="O7" s="3">
        <v>140</v>
      </c>
      <c r="P7" s="4">
        <v>5</v>
      </c>
    </row>
    <row r="8" spans="1:16" x14ac:dyDescent="0.25">
      <c r="A8">
        <v>147</v>
      </c>
      <c r="B8">
        <v>145</v>
      </c>
      <c r="C8">
        <v>158</v>
      </c>
      <c r="E8" t="s">
        <v>96</v>
      </c>
      <c r="F8" s="4">
        <v>2</v>
      </c>
      <c r="G8">
        <v>180</v>
      </c>
      <c r="H8">
        <v>200</v>
      </c>
      <c r="I8">
        <f t="shared" si="0"/>
        <v>190</v>
      </c>
      <c r="J8">
        <f t="shared" si="1"/>
        <v>380</v>
      </c>
      <c r="K8">
        <f t="shared" si="2"/>
        <v>72200</v>
      </c>
      <c r="L8">
        <f t="shared" si="3"/>
        <v>30</v>
      </c>
      <c r="N8">
        <v>180</v>
      </c>
      <c r="O8" s="3">
        <v>160</v>
      </c>
      <c r="P8" s="4">
        <v>8</v>
      </c>
    </row>
    <row r="9" spans="1:16" x14ac:dyDescent="0.25">
      <c r="A9">
        <v>192</v>
      </c>
      <c r="B9">
        <v>162</v>
      </c>
      <c r="C9">
        <v>141</v>
      </c>
      <c r="F9" s="1" t="s">
        <v>156</v>
      </c>
      <c r="J9" s="1" t="s">
        <v>157</v>
      </c>
      <c r="K9" s="1" t="s">
        <v>158</v>
      </c>
      <c r="N9">
        <v>200</v>
      </c>
      <c r="O9" s="3">
        <v>180</v>
      </c>
      <c r="P9" s="4">
        <v>1</v>
      </c>
    </row>
    <row r="10" spans="1:16" x14ac:dyDescent="0.25">
      <c r="A10">
        <v>132</v>
      </c>
      <c r="B10">
        <v>120</v>
      </c>
      <c r="C10">
        <v>100</v>
      </c>
      <c r="O10" s="3">
        <v>200</v>
      </c>
      <c r="P10" s="4">
        <v>2</v>
      </c>
    </row>
    <row r="11" spans="1:16" ht="15.75" thickBot="1" x14ac:dyDescent="0.3">
      <c r="O11" s="5" t="s">
        <v>100</v>
      </c>
      <c r="P11" s="5">
        <v>0</v>
      </c>
    </row>
    <row r="12" spans="1:16" x14ac:dyDescent="0.25">
      <c r="A12" t="s">
        <v>1</v>
      </c>
      <c r="B12">
        <f>SUM(F2:F8)</f>
        <v>30</v>
      </c>
      <c r="E12" t="s">
        <v>123</v>
      </c>
      <c r="I12" t="s">
        <v>125</v>
      </c>
    </row>
    <row r="13" spans="1:16" x14ac:dyDescent="0.25">
      <c r="A13" s="1" t="s">
        <v>27</v>
      </c>
      <c r="B13">
        <f>SUM(J2:J8)</f>
        <v>3640</v>
      </c>
      <c r="E13" t="s">
        <v>551</v>
      </c>
      <c r="G13">
        <f>F17/G15</f>
        <v>0.28129507112461988</v>
      </c>
      <c r="I13" t="s">
        <v>552</v>
      </c>
      <c r="L13">
        <f>3*(G15-C16)/F17</f>
        <v>-0.23439467200922201</v>
      </c>
    </row>
    <row r="14" spans="1:16" ht="17.25" x14ac:dyDescent="0.25">
      <c r="A14" s="1" t="s">
        <v>28</v>
      </c>
      <c r="B14">
        <f>SUM(K2:K8)</f>
        <v>476600</v>
      </c>
    </row>
    <row r="15" spans="1:16" x14ac:dyDescent="0.25">
      <c r="A15" s="1" t="s">
        <v>122</v>
      </c>
      <c r="E15" t="s">
        <v>124</v>
      </c>
      <c r="G15">
        <f>B13/B12</f>
        <v>121.33333333333333</v>
      </c>
      <c r="I15" t="s">
        <v>126</v>
      </c>
    </row>
    <row r="16" spans="1:16" ht="17.25" x14ac:dyDescent="0.25">
      <c r="A16" t="s">
        <v>66</v>
      </c>
      <c r="C16">
        <f>B19+(C17-B20)*B22/B21</f>
        <v>124</v>
      </c>
      <c r="E16" s="1" t="s">
        <v>439</v>
      </c>
      <c r="G16">
        <f>(B14/B12)-(B13/B12)^2</f>
        <v>1164.8888888888887</v>
      </c>
      <c r="I16" t="s">
        <v>127</v>
      </c>
      <c r="J16" t="s">
        <v>128</v>
      </c>
      <c r="L16">
        <f>1/2*(K19-G19/T19-P19)</f>
        <v>33.184659090909093</v>
      </c>
    </row>
    <row r="17" spans="1:20" x14ac:dyDescent="0.25">
      <c r="A17" t="s">
        <v>67</v>
      </c>
      <c r="C17">
        <f>B12/2</f>
        <v>15</v>
      </c>
      <c r="E17" s="1" t="s">
        <v>438</v>
      </c>
      <c r="F17">
        <f>SQRT(G16)</f>
        <v>34.13046862978721</v>
      </c>
    </row>
    <row r="18" spans="1:20" x14ac:dyDescent="0.25">
      <c r="A18" t="s">
        <v>121</v>
      </c>
    </row>
    <row r="19" spans="1:20" x14ac:dyDescent="0.25">
      <c r="A19" t="s">
        <v>69</v>
      </c>
      <c r="B19">
        <v>120</v>
      </c>
      <c r="E19" t="s">
        <v>81</v>
      </c>
      <c r="G19">
        <f>F22+(G20-F23)*F25/F24</f>
        <v>90</v>
      </c>
      <c r="I19" t="s">
        <v>87</v>
      </c>
      <c r="K19">
        <f>J22+(K20-J23)*J25/J24</f>
        <v>148.75</v>
      </c>
      <c r="M19" t="s">
        <v>113</v>
      </c>
      <c r="P19">
        <f>N22+(P20-N23)*N25/N24</f>
        <v>81.818181818181813</v>
      </c>
      <c r="Q19" t="s">
        <v>110</v>
      </c>
      <c r="T19">
        <f>R22+(S20-R23)*R25/R24</f>
        <v>160</v>
      </c>
    </row>
    <row r="20" spans="1:20" x14ac:dyDescent="0.25">
      <c r="A20" t="s">
        <v>70</v>
      </c>
      <c r="B20">
        <v>14</v>
      </c>
      <c r="E20" t="s">
        <v>159</v>
      </c>
      <c r="G20">
        <f>30/4</f>
        <v>7.5</v>
      </c>
      <c r="I20" t="s">
        <v>161</v>
      </c>
      <c r="K20">
        <f>3*(B12/4)</f>
        <v>22.5</v>
      </c>
      <c r="M20" t="s">
        <v>163</v>
      </c>
      <c r="P20">
        <f>10*B12/100</f>
        <v>3</v>
      </c>
      <c r="Q20" t="s">
        <v>165</v>
      </c>
      <c r="S20">
        <f>90*B12/100</f>
        <v>27</v>
      </c>
    </row>
    <row r="21" spans="1:20" x14ac:dyDescent="0.25">
      <c r="A21" t="s">
        <v>71</v>
      </c>
      <c r="B21">
        <v>5</v>
      </c>
      <c r="E21" t="s">
        <v>160</v>
      </c>
      <c r="I21" t="s">
        <v>162</v>
      </c>
      <c r="M21" t="s">
        <v>164</v>
      </c>
      <c r="Q21" t="s">
        <v>166</v>
      </c>
    </row>
    <row r="22" spans="1:20" x14ac:dyDescent="0.25">
      <c r="A22" t="s">
        <v>72</v>
      </c>
      <c r="B22">
        <v>20</v>
      </c>
      <c r="E22" t="s">
        <v>69</v>
      </c>
      <c r="F22">
        <v>80</v>
      </c>
      <c r="I22" t="s">
        <v>69</v>
      </c>
      <c r="J22">
        <v>140</v>
      </c>
      <c r="M22" t="s">
        <v>69</v>
      </c>
      <c r="N22">
        <v>80</v>
      </c>
      <c r="Q22" t="s">
        <v>69</v>
      </c>
      <c r="R22">
        <v>140</v>
      </c>
    </row>
    <row r="23" spans="1:20" x14ac:dyDescent="0.25">
      <c r="E23" t="s">
        <v>70</v>
      </c>
      <c r="F23">
        <v>2</v>
      </c>
      <c r="I23" t="s">
        <v>70</v>
      </c>
      <c r="J23">
        <v>19</v>
      </c>
      <c r="M23" t="s">
        <v>70</v>
      </c>
      <c r="N23">
        <v>2</v>
      </c>
      <c r="Q23" t="s">
        <v>70</v>
      </c>
      <c r="R23">
        <v>19</v>
      </c>
    </row>
    <row r="24" spans="1:20" x14ac:dyDescent="0.25">
      <c r="E24" t="s">
        <v>71</v>
      </c>
      <c r="F24">
        <v>11</v>
      </c>
      <c r="I24" t="s">
        <v>71</v>
      </c>
      <c r="J24">
        <v>8</v>
      </c>
      <c r="M24" t="s">
        <v>71</v>
      </c>
      <c r="N24">
        <v>11</v>
      </c>
      <c r="Q24" t="s">
        <v>71</v>
      </c>
      <c r="R24">
        <v>8</v>
      </c>
    </row>
    <row r="25" spans="1:20" x14ac:dyDescent="0.25">
      <c r="E25" t="s">
        <v>72</v>
      </c>
      <c r="F25">
        <v>20</v>
      </c>
      <c r="I25" t="s">
        <v>72</v>
      </c>
      <c r="J25">
        <v>20</v>
      </c>
      <c r="M25" t="s">
        <v>72</v>
      </c>
      <c r="N25">
        <v>20</v>
      </c>
      <c r="Q25" t="s">
        <v>72</v>
      </c>
      <c r="R25">
        <v>20</v>
      </c>
    </row>
  </sheetData>
  <sortState ref="O3:O10">
    <sortCondition ref="O3"/>
  </sortState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15" zoomScaleNormal="115" workbookViewId="0">
      <selection activeCell="C9" sqref="C9"/>
    </sheetView>
  </sheetViews>
  <sheetFormatPr defaultRowHeight="15" x14ac:dyDescent="0.25"/>
  <sheetData>
    <row r="1" spans="1:12" x14ac:dyDescent="0.25">
      <c r="A1" s="7" t="s">
        <v>102</v>
      </c>
      <c r="B1" s="7" t="s">
        <v>109</v>
      </c>
      <c r="C1" s="7"/>
      <c r="D1" s="7"/>
    </row>
    <row r="2" spans="1:12" x14ac:dyDescent="0.25">
      <c r="A2" t="s">
        <v>103</v>
      </c>
      <c r="B2">
        <v>400</v>
      </c>
      <c r="L2" t="s">
        <v>197</v>
      </c>
    </row>
    <row r="3" spans="1:12" x14ac:dyDescent="0.25">
      <c r="A3" t="s">
        <v>104</v>
      </c>
      <c r="B3">
        <v>120</v>
      </c>
      <c r="L3" t="s">
        <v>245</v>
      </c>
    </row>
    <row r="4" spans="1:12" x14ac:dyDescent="0.25">
      <c r="A4" t="s">
        <v>105</v>
      </c>
      <c r="B4">
        <v>250</v>
      </c>
      <c r="E4" s="8"/>
      <c r="L4" t="s">
        <v>240</v>
      </c>
    </row>
    <row r="5" spans="1:12" x14ac:dyDescent="0.25">
      <c r="A5" t="s">
        <v>106</v>
      </c>
      <c r="B5">
        <v>100</v>
      </c>
      <c r="L5" t="s">
        <v>246</v>
      </c>
    </row>
    <row r="6" spans="1:12" x14ac:dyDescent="0.25">
      <c r="A6" t="s">
        <v>107</v>
      </c>
      <c r="B6">
        <v>50</v>
      </c>
      <c r="L6" t="s">
        <v>248</v>
      </c>
    </row>
    <row r="7" spans="1:12" x14ac:dyDescent="0.25">
      <c r="A7" t="s">
        <v>108</v>
      </c>
      <c r="B7">
        <v>180</v>
      </c>
      <c r="L7" t="s">
        <v>247</v>
      </c>
    </row>
    <row r="8" spans="1:12" x14ac:dyDescent="0.25">
      <c r="L8" t="s">
        <v>249</v>
      </c>
    </row>
    <row r="9" spans="1:12" x14ac:dyDescent="0.25">
      <c r="E9" s="9"/>
      <c r="L9" t="s">
        <v>250</v>
      </c>
    </row>
    <row r="10" spans="1:12" x14ac:dyDescent="0.25">
      <c r="D10" s="10"/>
      <c r="E10" s="8"/>
      <c r="L10" t="s">
        <v>251</v>
      </c>
    </row>
    <row r="11" spans="1:12" x14ac:dyDescent="0.25">
      <c r="L11" t="s">
        <v>252</v>
      </c>
    </row>
    <row r="12" spans="1:12" x14ac:dyDescent="0.25">
      <c r="D12" s="10"/>
      <c r="L12" t="s">
        <v>253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" sqref="H1"/>
    </sheetView>
  </sheetViews>
  <sheetFormatPr defaultRowHeight="15" x14ac:dyDescent="0.25"/>
  <sheetData>
    <row r="1" spans="1:6" x14ac:dyDescent="0.25">
      <c r="A1" t="s">
        <v>130</v>
      </c>
    </row>
    <row r="2" spans="1:6" ht="18" x14ac:dyDescent="0.35">
      <c r="A2" t="s">
        <v>131</v>
      </c>
      <c r="B2" t="s">
        <v>132</v>
      </c>
      <c r="C2">
        <v>68</v>
      </c>
      <c r="E2" s="1" t="s">
        <v>117</v>
      </c>
      <c r="F2" s="1">
        <v>2.2400000000000002</v>
      </c>
    </row>
    <row r="3" spans="1:6" ht="18" x14ac:dyDescent="0.35">
      <c r="B3" t="s">
        <v>133</v>
      </c>
      <c r="C3">
        <v>69</v>
      </c>
    </row>
    <row r="4" spans="1:6" ht="18" x14ac:dyDescent="0.35">
      <c r="B4" t="s">
        <v>134</v>
      </c>
      <c r="C4">
        <v>60</v>
      </c>
    </row>
    <row r="5" spans="1:6" ht="18" x14ac:dyDescent="0.35">
      <c r="B5" t="s">
        <v>135</v>
      </c>
      <c r="C5">
        <v>50</v>
      </c>
    </row>
    <row r="6" spans="1:6" x14ac:dyDescent="0.25">
      <c r="A6" t="s">
        <v>136</v>
      </c>
    </row>
    <row r="7" spans="1:6" x14ac:dyDescent="0.25">
      <c r="A7" t="s">
        <v>137</v>
      </c>
      <c r="B7" t="s">
        <v>138</v>
      </c>
    </row>
    <row r="8" spans="1:6" ht="18" x14ac:dyDescent="0.35">
      <c r="A8" t="s">
        <v>139</v>
      </c>
    </row>
    <row r="9" spans="1:6" ht="18" x14ac:dyDescent="0.35">
      <c r="A9" t="s">
        <v>140</v>
      </c>
    </row>
    <row r="11" spans="1:6" x14ac:dyDescent="0.25">
      <c r="A11" t="s">
        <v>141</v>
      </c>
      <c r="B11" t="s">
        <v>142</v>
      </c>
    </row>
    <row r="12" spans="1:6" x14ac:dyDescent="0.25">
      <c r="B12" s="1" t="s">
        <v>143</v>
      </c>
    </row>
    <row r="14" spans="1:6" x14ac:dyDescent="0.25">
      <c r="A14" t="s">
        <v>144</v>
      </c>
      <c r="B14" t="s">
        <v>145</v>
      </c>
    </row>
    <row r="15" spans="1:6" x14ac:dyDescent="0.25">
      <c r="A15" t="s">
        <v>146</v>
      </c>
      <c r="E15">
        <f>(C2-C3)/F2*SQRT(1/C4+1/C5)</f>
        <v>-8.5484563192530186E-2</v>
      </c>
    </row>
    <row r="16" spans="1:6" ht="18" x14ac:dyDescent="0.35">
      <c r="A16" t="s">
        <v>147</v>
      </c>
      <c r="B16">
        <v>8.548E-2</v>
      </c>
    </row>
    <row r="18" spans="1:6" x14ac:dyDescent="0.25">
      <c r="A18" t="s">
        <v>148</v>
      </c>
      <c r="B18" t="s">
        <v>149</v>
      </c>
    </row>
    <row r="19" spans="1:6" x14ac:dyDescent="0.25">
      <c r="A19" t="s">
        <v>150</v>
      </c>
      <c r="F19">
        <f>NORMSDIST(0.05)</f>
        <v>0.51993880583837249</v>
      </c>
    </row>
    <row r="20" spans="1:6" ht="18" x14ac:dyDescent="0.35">
      <c r="A20" t="s">
        <v>151</v>
      </c>
      <c r="B20">
        <v>0.51993900000000004</v>
      </c>
    </row>
    <row r="22" spans="1:6" x14ac:dyDescent="0.25">
      <c r="A22" t="s">
        <v>152</v>
      </c>
      <c r="B22" t="s">
        <v>153</v>
      </c>
    </row>
    <row r="23" spans="1:6" ht="18" x14ac:dyDescent="0.35">
      <c r="A23" t="s">
        <v>154</v>
      </c>
    </row>
    <row r="24" spans="1:6" x14ac:dyDescent="0.25">
      <c r="A24" t="s">
        <v>155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D16" sqref="D16"/>
    </sheetView>
  </sheetViews>
  <sheetFormatPr defaultRowHeight="15" x14ac:dyDescent="0.25"/>
  <sheetData>
    <row r="1" spans="1:14" x14ac:dyDescent="0.25">
      <c r="B1" t="s">
        <v>171</v>
      </c>
    </row>
    <row r="2" spans="1:14" x14ac:dyDescent="0.25">
      <c r="N2" t="s">
        <v>177</v>
      </c>
    </row>
    <row r="3" spans="1:14" x14ac:dyDescent="0.25">
      <c r="A3" t="s">
        <v>0</v>
      </c>
      <c r="N3" t="s">
        <v>178</v>
      </c>
    </row>
    <row r="4" spans="1:14" x14ac:dyDescent="0.25">
      <c r="A4">
        <v>12</v>
      </c>
      <c r="N4" t="s">
        <v>179</v>
      </c>
    </row>
    <row r="5" spans="1:14" x14ac:dyDescent="0.25">
      <c r="A5">
        <v>13</v>
      </c>
      <c r="D5" t="s">
        <v>36</v>
      </c>
      <c r="E5">
        <f>QUARTILE(A4:A25,1)</f>
        <v>21.5</v>
      </c>
      <c r="N5" t="s">
        <v>180</v>
      </c>
    </row>
    <row r="6" spans="1:14" x14ac:dyDescent="0.25">
      <c r="A6">
        <v>15</v>
      </c>
      <c r="D6" t="s">
        <v>172</v>
      </c>
      <c r="E6">
        <f>MIN(A4:A25)</f>
        <v>12</v>
      </c>
      <c r="N6" t="s">
        <v>181</v>
      </c>
    </row>
    <row r="7" spans="1:14" x14ac:dyDescent="0.25">
      <c r="A7">
        <v>18</v>
      </c>
      <c r="D7" t="s">
        <v>174</v>
      </c>
      <c r="E7">
        <f>MEDIAN(A4:A25)</f>
        <v>32.5</v>
      </c>
      <c r="N7" t="s">
        <v>182</v>
      </c>
    </row>
    <row r="8" spans="1:14" x14ac:dyDescent="0.25">
      <c r="A8">
        <v>19</v>
      </c>
      <c r="D8" t="s">
        <v>173</v>
      </c>
      <c r="E8">
        <f>MAX(A4:A25)</f>
        <v>61</v>
      </c>
      <c r="N8" t="s">
        <v>183</v>
      </c>
    </row>
    <row r="9" spans="1:14" x14ac:dyDescent="0.25">
      <c r="A9">
        <v>21</v>
      </c>
      <c r="D9" t="s">
        <v>38</v>
      </c>
      <c r="E9">
        <f>QUARTILE(A4:A25,3)</f>
        <v>45</v>
      </c>
      <c r="N9" t="s">
        <v>184</v>
      </c>
    </row>
    <row r="10" spans="1:14" x14ac:dyDescent="0.25">
      <c r="A10">
        <v>23</v>
      </c>
      <c r="N10" t="s">
        <v>185</v>
      </c>
    </row>
    <row r="11" spans="1:14" x14ac:dyDescent="0.25">
      <c r="A11">
        <v>25</v>
      </c>
      <c r="N11" t="s">
        <v>186</v>
      </c>
    </row>
    <row r="12" spans="1:14" x14ac:dyDescent="0.25">
      <c r="A12">
        <v>27</v>
      </c>
      <c r="N12" t="s">
        <v>187</v>
      </c>
    </row>
    <row r="13" spans="1:14" x14ac:dyDescent="0.25">
      <c r="A13">
        <v>31</v>
      </c>
      <c r="N13" t="s">
        <v>188</v>
      </c>
    </row>
    <row r="14" spans="1:14" x14ac:dyDescent="0.25">
      <c r="A14">
        <v>35</v>
      </c>
      <c r="N14" t="s">
        <v>189</v>
      </c>
    </row>
    <row r="15" spans="1:14" x14ac:dyDescent="0.25">
      <c r="A15">
        <v>31</v>
      </c>
      <c r="N15" t="s">
        <v>190</v>
      </c>
    </row>
    <row r="16" spans="1:14" x14ac:dyDescent="0.25">
      <c r="A16">
        <v>36</v>
      </c>
      <c r="N16" t="s">
        <v>191</v>
      </c>
    </row>
    <row r="17" spans="1:14" x14ac:dyDescent="0.25">
      <c r="A17">
        <v>34</v>
      </c>
      <c r="N17" t="s">
        <v>192</v>
      </c>
    </row>
    <row r="18" spans="1:14" x14ac:dyDescent="0.25">
      <c r="A18">
        <v>41</v>
      </c>
      <c r="N18" t="s">
        <v>193</v>
      </c>
    </row>
    <row r="19" spans="1:14" x14ac:dyDescent="0.25">
      <c r="A19">
        <v>42</v>
      </c>
      <c r="N19" t="s">
        <v>194</v>
      </c>
    </row>
    <row r="20" spans="1:14" x14ac:dyDescent="0.25">
      <c r="A20">
        <v>46</v>
      </c>
      <c r="F20" t="s">
        <v>244</v>
      </c>
    </row>
    <row r="21" spans="1:14" x14ac:dyDescent="0.25">
      <c r="A21">
        <v>51</v>
      </c>
    </row>
    <row r="22" spans="1:14" x14ac:dyDescent="0.25">
      <c r="A22">
        <v>53</v>
      </c>
    </row>
    <row r="23" spans="1:14" x14ac:dyDescent="0.25">
      <c r="A23">
        <v>52</v>
      </c>
    </row>
    <row r="24" spans="1:14" x14ac:dyDescent="0.25">
      <c r="A24">
        <v>52</v>
      </c>
    </row>
    <row r="25" spans="1:14" x14ac:dyDescent="0.25">
      <c r="A25">
        <v>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8"/>
    </sheetView>
  </sheetViews>
  <sheetFormatPr defaultRowHeight="15" x14ac:dyDescent="0.25"/>
  <cols>
    <col min="2" max="2" width="13.85546875" bestFit="1" customWidth="1"/>
  </cols>
  <sheetData>
    <row r="1" spans="1:2" x14ac:dyDescent="0.25">
      <c r="A1" t="s">
        <v>592</v>
      </c>
      <c r="B1" t="s">
        <v>593</v>
      </c>
    </row>
    <row r="2" spans="1:2" x14ac:dyDescent="0.25">
      <c r="A2" t="s">
        <v>586</v>
      </c>
      <c r="B2">
        <v>20</v>
      </c>
    </row>
    <row r="3" spans="1:2" x14ac:dyDescent="0.25">
      <c r="A3" t="s">
        <v>587</v>
      </c>
      <c r="B3">
        <v>40</v>
      </c>
    </row>
    <row r="4" spans="1:2" x14ac:dyDescent="0.25">
      <c r="A4" t="s">
        <v>588</v>
      </c>
      <c r="B4">
        <v>80</v>
      </c>
    </row>
    <row r="5" spans="1:2" x14ac:dyDescent="0.25">
      <c r="A5" t="s">
        <v>589</v>
      </c>
      <c r="B5">
        <v>50</v>
      </c>
    </row>
    <row r="6" spans="1:2" x14ac:dyDescent="0.25">
      <c r="A6" t="s">
        <v>590</v>
      </c>
      <c r="B6">
        <v>40</v>
      </c>
    </row>
    <row r="7" spans="1:2" x14ac:dyDescent="0.25">
      <c r="A7" t="s">
        <v>591</v>
      </c>
      <c r="B7">
        <v>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C1" workbookViewId="0">
      <selection activeCell="A2" sqref="A2:A18"/>
    </sheetView>
  </sheetViews>
  <sheetFormatPr defaultRowHeight="15" x14ac:dyDescent="0.25"/>
  <sheetData>
    <row r="1" spans="1:17" x14ac:dyDescent="0.25">
      <c r="A1" t="s">
        <v>176</v>
      </c>
    </row>
    <row r="2" spans="1:17" x14ac:dyDescent="0.25">
      <c r="A2">
        <v>23</v>
      </c>
    </row>
    <row r="3" spans="1:17" x14ac:dyDescent="0.25">
      <c r="A3">
        <v>25</v>
      </c>
    </row>
    <row r="4" spans="1:17" x14ac:dyDescent="0.25">
      <c r="A4">
        <v>26</v>
      </c>
      <c r="C4" t="s">
        <v>197</v>
      </c>
    </row>
    <row r="5" spans="1:17" x14ac:dyDescent="0.25">
      <c r="A5">
        <v>31</v>
      </c>
      <c r="C5" t="s">
        <v>198</v>
      </c>
    </row>
    <row r="6" spans="1:17" x14ac:dyDescent="0.25">
      <c r="A6">
        <v>35</v>
      </c>
      <c r="C6" t="s">
        <v>175</v>
      </c>
    </row>
    <row r="7" spans="1:17" x14ac:dyDescent="0.25">
      <c r="A7">
        <v>36</v>
      </c>
      <c r="C7" t="s">
        <v>199</v>
      </c>
    </row>
    <row r="8" spans="1:17" x14ac:dyDescent="0.25">
      <c r="A8">
        <v>45</v>
      </c>
      <c r="C8" t="s">
        <v>200</v>
      </c>
    </row>
    <row r="9" spans="1:17" x14ac:dyDescent="0.25">
      <c r="A9">
        <v>42</v>
      </c>
      <c r="C9" t="s">
        <v>201</v>
      </c>
    </row>
    <row r="10" spans="1:17" x14ac:dyDescent="0.25">
      <c r="A10">
        <v>49</v>
      </c>
      <c r="C10" t="s">
        <v>204</v>
      </c>
      <c r="O10" t="s">
        <v>266</v>
      </c>
    </row>
    <row r="11" spans="1:17" x14ac:dyDescent="0.25">
      <c r="A11">
        <v>51</v>
      </c>
      <c r="C11" t="s">
        <v>205</v>
      </c>
      <c r="O11" t="s">
        <v>267</v>
      </c>
    </row>
    <row r="12" spans="1:17" x14ac:dyDescent="0.25">
      <c r="A12">
        <v>56</v>
      </c>
      <c r="C12" t="s">
        <v>202</v>
      </c>
      <c r="P12" t="s">
        <v>195</v>
      </c>
      <c r="Q12">
        <v>8.9999999999999993E-3</v>
      </c>
    </row>
    <row r="13" spans="1:17" x14ac:dyDescent="0.25">
      <c r="A13">
        <v>51</v>
      </c>
      <c r="C13" t="s">
        <v>203</v>
      </c>
      <c r="P13" t="s">
        <v>196</v>
      </c>
      <c r="Q13">
        <f>SQRT(Q12)</f>
        <v>9.4868329805051374E-2</v>
      </c>
    </row>
    <row r="14" spans="1:17" x14ac:dyDescent="0.25">
      <c r="A14">
        <v>58</v>
      </c>
      <c r="C14" t="s">
        <v>206</v>
      </c>
    </row>
    <row r="15" spans="1:17" x14ac:dyDescent="0.25">
      <c r="A15">
        <v>10</v>
      </c>
    </row>
    <row r="16" spans="1:17" x14ac:dyDescent="0.25">
      <c r="A16">
        <v>12</v>
      </c>
    </row>
    <row r="17" spans="1:1" x14ac:dyDescent="0.25">
      <c r="A17">
        <v>15</v>
      </c>
    </row>
    <row r="18" spans="1:1" x14ac:dyDescent="0.25">
      <c r="A18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Sheet3</vt:lpstr>
      <vt:lpstr>histogram</vt:lpstr>
      <vt:lpstr>piechart</vt:lpstr>
      <vt:lpstr>hypothesis</vt:lpstr>
      <vt:lpstr>5 no summary</vt:lpstr>
      <vt:lpstr>time series</vt:lpstr>
      <vt:lpstr>scatter diagram</vt:lpstr>
      <vt:lpstr>lessthan curve</vt:lpstr>
      <vt:lpstr>frequency curve</vt:lpstr>
      <vt:lpstr>rank</vt:lpstr>
      <vt:lpstr>regression</vt:lpstr>
      <vt:lpstr>sampling</vt:lpstr>
      <vt:lpstr>steam$leaf</vt:lpstr>
      <vt:lpstr>poisson</vt:lpstr>
      <vt:lpstr>estimation</vt:lpstr>
      <vt:lpstr>confidence limit</vt:lpstr>
      <vt:lpstr>estimat</vt:lpstr>
      <vt:lpstr>binomial distribution</vt:lpstr>
      <vt:lpstr>poisson dist</vt:lpstr>
      <vt:lpstr>normal distribution</vt:lpstr>
      <vt:lpstr>Hypothe 1</vt:lpstr>
      <vt:lpstr>Hypothesis 2</vt:lpstr>
      <vt:lpstr>Hypothesis 3</vt:lpstr>
      <vt:lpstr>hypothesis 4</vt:lpstr>
      <vt:lpstr>Sheet4</vt:lpstr>
    </vt:vector>
  </TitlesOfParts>
  <Company>Deftones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</dc:creator>
  <cp:lastModifiedBy>Vishal Koirala</cp:lastModifiedBy>
  <dcterms:created xsi:type="dcterms:W3CDTF">2015-03-03T16:47:25Z</dcterms:created>
  <dcterms:modified xsi:type="dcterms:W3CDTF">2015-07-09T01:58:16Z</dcterms:modified>
</cp:coreProperties>
</file>