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"/>
    </mc:Choice>
  </mc:AlternateContent>
  <bookViews>
    <workbookView xWindow="0" yWindow="0" windowWidth="15600" windowHeight="7755" activeTab="1"/>
  </bookViews>
  <sheets>
    <sheet name="Gambaran Umum Responden" sheetId="1" r:id="rId1"/>
    <sheet name="Sosial Keagamaan" sheetId="2" r:id="rId2"/>
    <sheet name="Politik dan Pemilu" sheetId="3" r:id="rId3"/>
    <sheet name="Kampany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5" l="1"/>
  <c r="D83" i="3"/>
  <c r="C11" i="5" l="1"/>
  <c r="C10" i="5"/>
  <c r="C9" i="5"/>
  <c r="C8" i="5"/>
  <c r="C7" i="5"/>
  <c r="C6" i="5"/>
  <c r="C5" i="5"/>
  <c r="C4" i="5"/>
  <c r="D118" i="3"/>
  <c r="D125" i="3"/>
  <c r="D124" i="3"/>
  <c r="D123" i="3"/>
  <c r="D122" i="3"/>
  <c r="D121" i="3"/>
  <c r="D120" i="3"/>
  <c r="D119" i="3"/>
  <c r="D117" i="3"/>
  <c r="D116" i="3"/>
  <c r="D96" i="3"/>
  <c r="D95" i="3"/>
  <c r="D94" i="3"/>
  <c r="D93" i="3"/>
  <c r="D92" i="3"/>
  <c r="D91" i="3"/>
  <c r="D90" i="3"/>
  <c r="D89" i="3"/>
  <c r="D88" i="3"/>
  <c r="D67" i="3"/>
  <c r="D66" i="3"/>
  <c r="D43" i="3"/>
  <c r="D42" i="3"/>
  <c r="D41" i="3"/>
  <c r="D40" i="3"/>
  <c r="D39" i="3"/>
  <c r="D38" i="3"/>
  <c r="D37" i="3"/>
  <c r="D36" i="3"/>
  <c r="D35" i="3"/>
  <c r="D34" i="3"/>
  <c r="D33" i="3"/>
  <c r="D10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C23" i="2"/>
  <c r="C22" i="2"/>
  <c r="C21" i="2"/>
  <c r="C20" i="2"/>
  <c r="C19" i="2"/>
  <c r="C18" i="2"/>
  <c r="C17" i="2"/>
  <c r="C16" i="2"/>
  <c r="C15" i="2"/>
  <c r="D97" i="3" l="1"/>
  <c r="D126" i="3"/>
  <c r="D29" i="3"/>
  <c r="D44" i="3"/>
  <c r="C24" i="2"/>
  <c r="XFD24" i="2" s="1"/>
  <c r="C66" i="2" l="1"/>
  <c r="C65" i="2"/>
  <c r="C64" i="2"/>
  <c r="C63" i="2"/>
  <c r="C62" i="2"/>
  <c r="C61" i="2"/>
  <c r="C59" i="2"/>
  <c r="C60" i="2"/>
  <c r="C58" i="2"/>
  <c r="C57" i="2"/>
  <c r="C56" i="2"/>
  <c r="C55" i="2"/>
  <c r="C54" i="2"/>
  <c r="C53" i="2"/>
  <c r="C52" i="2"/>
  <c r="C51" i="2"/>
  <c r="C45" i="2"/>
  <c r="C67" i="2" l="1"/>
  <c r="C46" i="2" l="1"/>
  <c r="C92" i="2" l="1"/>
</calcChain>
</file>

<file path=xl/sharedStrings.xml><?xml version="1.0" encoding="utf-8"?>
<sst xmlns="http://schemas.openxmlformats.org/spreadsheetml/2006/main" count="349" uniqueCount="213">
  <si>
    <t>Usia Responden</t>
  </si>
  <si>
    <t>Percent</t>
  </si>
  <si>
    <t>17-21 tahun</t>
  </si>
  <si>
    <t>22-37 tahun</t>
  </si>
  <si>
    <t>&gt;53 tahun</t>
  </si>
  <si>
    <t>Total</t>
  </si>
  <si>
    <t>Jenis Kelamin</t>
  </si>
  <si>
    <t>Pria</t>
  </si>
  <si>
    <t>Wanita</t>
  </si>
  <si>
    <t>Pengeluaran Keluarga Per Bulan</t>
  </si>
  <si>
    <t>&lt;Rp. 1 juta</t>
  </si>
  <si>
    <t>Rp. 1-2 juta</t>
  </si>
  <si>
    <t>Rp. 2-3 juta</t>
  </si>
  <si>
    <t>Rp. 3-4 juta</t>
  </si>
  <si>
    <t>&gt; Rp. 4 Juta</t>
  </si>
  <si>
    <t>Penghasilan pribadi per bulan</t>
  </si>
  <si>
    <t>&gt; Rp. 4 juta</t>
  </si>
  <si>
    <t>Pekerjaaan</t>
  </si>
  <si>
    <t>Nelayan</t>
  </si>
  <si>
    <t>Pedagang</t>
  </si>
  <si>
    <t>Karyawan swasta</t>
  </si>
  <si>
    <t>Lainya</t>
  </si>
  <si>
    <t>TT/TJ/RHS</t>
  </si>
  <si>
    <t>Pendidikan terakhir</t>
  </si>
  <si>
    <t>Tidak sekolah</t>
  </si>
  <si>
    <t>SD dan sederajat</t>
  </si>
  <si>
    <t>SLTP daan sederajat</t>
  </si>
  <si>
    <t>SLTA dan sederajat</t>
  </si>
  <si>
    <t>PT dan sederajat</t>
  </si>
  <si>
    <t>Agama</t>
  </si>
  <si>
    <t>Islam</t>
  </si>
  <si>
    <t>Kristen</t>
  </si>
  <si>
    <t>Katolik</t>
  </si>
  <si>
    <t>Hindu</t>
  </si>
  <si>
    <t>Pensiunan (PNS/TNI/Polri/BUMN dll)</t>
  </si>
  <si>
    <t>Ibu rumah tangga</t>
  </si>
  <si>
    <t>Belum atau tidak bekerja</t>
  </si>
  <si>
    <t>Sektor jasa (tukang, salon, ojek, dll)</t>
  </si>
  <si>
    <t>Lainnya</t>
  </si>
  <si>
    <t>Keterangan</t>
  </si>
  <si>
    <t>Afiliasi kultur sosial/keagamaan</t>
  </si>
  <si>
    <t>Front Pembela Islam (FPI)</t>
  </si>
  <si>
    <t>Muslim (non NU/Muhammadiyah/FPI)</t>
  </si>
  <si>
    <t>Pengurus NU Ranting/MWC</t>
  </si>
  <si>
    <t>Pengurus NU Cabang</t>
  </si>
  <si>
    <t>Pengurus Muslimat Ranting/PAC</t>
  </si>
  <si>
    <t>Pengurus Ansor Ranting/PAC</t>
  </si>
  <si>
    <t>Pengurs Fatayat Ranting/PAC</t>
  </si>
  <si>
    <t>Pengurus Banom NU</t>
  </si>
  <si>
    <t>Anggota/Aktifis NU</t>
  </si>
  <si>
    <t>Anggota jamaah tahlil/sholawat dsb</t>
  </si>
  <si>
    <t>Merasa memilki kesamaan kultur</t>
  </si>
  <si>
    <t>Klasifikasi Responden yang Mengaku NU</t>
  </si>
  <si>
    <t>Aa Gym (Abdullah Gymnastiar)</t>
  </si>
  <si>
    <t>Abdul Somad</t>
  </si>
  <si>
    <t>Adi Hidayat</t>
  </si>
  <si>
    <t>Din Syamsudin</t>
  </si>
  <si>
    <t>Firanda Andirja</t>
  </si>
  <si>
    <t>Habib Riziq Shihab</t>
  </si>
  <si>
    <t>Hidayat Nur Wahid</t>
  </si>
  <si>
    <t>Idrus Romli</t>
  </si>
  <si>
    <t>Kholid Basalamah</t>
  </si>
  <si>
    <t>Marzuki Mustamar</t>
  </si>
  <si>
    <t>Mustofa Bisri (Gus Mus)</t>
  </si>
  <si>
    <t>Reza Basalamah</t>
  </si>
  <si>
    <t>Said Aqil Siradj</t>
  </si>
  <si>
    <t>Yusuf Mansur</t>
  </si>
  <si>
    <t>Habib Bahar Bin Smith</t>
  </si>
  <si>
    <t>Tokoh Ulama yang Dianut</t>
  </si>
  <si>
    <t>Preferensi Kiai Warga Nahdliyin</t>
  </si>
  <si>
    <t>Prabowo-Sandi</t>
  </si>
  <si>
    <t>Jokowi-Maruf Amin</t>
  </si>
  <si>
    <t>Elektabilitas Capres-Cawapres berdasarkan Afiliasi Keagamaan</t>
  </si>
  <si>
    <t>PKB</t>
  </si>
  <si>
    <t>Gerinda</t>
  </si>
  <si>
    <t>PDIP</t>
  </si>
  <si>
    <t>Golkar</t>
  </si>
  <si>
    <t>Nasdem</t>
  </si>
  <si>
    <t>PKS</t>
  </si>
  <si>
    <t>Perindo</t>
  </si>
  <si>
    <t>PPP</t>
  </si>
  <si>
    <t>PAN</t>
  </si>
  <si>
    <t>Hanura</t>
  </si>
  <si>
    <t>Partai</t>
  </si>
  <si>
    <t>Demokrat</t>
  </si>
  <si>
    <t>Sebaran Suara NU untuk Partai Politik</t>
  </si>
  <si>
    <t>Air bersih</t>
  </si>
  <si>
    <t>Biaya pendidikan</t>
  </si>
  <si>
    <t>Keamanan dan kriminalitas</t>
  </si>
  <si>
    <t>Kebutuhan pokok mahal</t>
  </si>
  <si>
    <t>Kelangkaan/mahalnya pupuk</t>
  </si>
  <si>
    <t>Kenakalan remaja</t>
  </si>
  <si>
    <t>Kerusakan jalan</t>
  </si>
  <si>
    <t>Kerusakann jembatan</t>
  </si>
  <si>
    <t>Kerusakan/perlunya irigasi</t>
  </si>
  <si>
    <t>Korupsi</t>
  </si>
  <si>
    <t>Layanan kesehatan buruk/mahal</t>
  </si>
  <si>
    <t>Listrik mahal/tidak merata</t>
  </si>
  <si>
    <t>Narkoba</t>
  </si>
  <si>
    <t>Pelayanan pemerintah kabupaten</t>
  </si>
  <si>
    <t>Pelayanan pemerintah kecamatan</t>
  </si>
  <si>
    <t>Pelayanan pemerintah desa</t>
  </si>
  <si>
    <t>Pembangunan SD/sederajat</t>
  </si>
  <si>
    <t>Pembangunan SMA/sederajat</t>
  </si>
  <si>
    <t>Pembangunan SMP/sederajat</t>
  </si>
  <si>
    <t>Pembangunan tempat ibadah</t>
  </si>
  <si>
    <t>Pemerataan kesejahteraan</t>
  </si>
  <si>
    <t>Pengangguran</t>
  </si>
  <si>
    <t>Permodalan Usaha</t>
  </si>
  <si>
    <t>Sengketa Lahan</t>
  </si>
  <si>
    <t>No</t>
  </si>
  <si>
    <t xml:space="preserve">Masalah </t>
  </si>
  <si>
    <t>Prioritas Masalah Menurut Aspirasi Masyarakat</t>
  </si>
  <si>
    <t>Top Of Mind Partai Politik</t>
  </si>
  <si>
    <t>PBB</t>
  </si>
  <si>
    <t>PKPI</t>
  </si>
  <si>
    <t>Bagus</t>
  </si>
  <si>
    <t>Buruk</t>
  </si>
  <si>
    <t>Intensitas Turba</t>
  </si>
  <si>
    <t>Kinerja Partai</t>
  </si>
  <si>
    <t>GOLKAR</t>
  </si>
  <si>
    <t>NASDEM</t>
  </si>
  <si>
    <t>GERINDRA</t>
  </si>
  <si>
    <t>DEMOKRAT</t>
  </si>
  <si>
    <t>HANURA</t>
  </si>
  <si>
    <t>Persepsi Responden terhadap Kinerja dan Kunjungan Partai</t>
  </si>
  <si>
    <t>Preferensi Responden dalam Mencoblos</t>
  </si>
  <si>
    <t>Gambar</t>
  </si>
  <si>
    <t>Nama Caleg</t>
  </si>
  <si>
    <t>Joko Widodo</t>
  </si>
  <si>
    <t>Prabowo Subianto</t>
  </si>
  <si>
    <t>Sandiaga Uno</t>
  </si>
  <si>
    <t>Nama</t>
  </si>
  <si>
    <t>Ma'ruf Amin</t>
  </si>
  <si>
    <t>Popularitas Capres-Cawapres</t>
  </si>
  <si>
    <t>Pilihan Responden</t>
  </si>
  <si>
    <t>Undecided Voters</t>
  </si>
  <si>
    <t>Tidak suka dengan Prabowo</t>
  </si>
  <si>
    <t>Tidak suga dengan Sandiaga</t>
  </si>
  <si>
    <t>Suka dengan Maruf Amin</t>
  </si>
  <si>
    <t>Jokowi lebih tegas</t>
  </si>
  <si>
    <t>Berpihak pada wong cilik</t>
  </si>
  <si>
    <t>Jokowi-Maruf lebih islami</t>
  </si>
  <si>
    <t>Jujur, merakyat &amp; sederhana</t>
  </si>
  <si>
    <t>Sudah terbukti mampu memimpin</t>
  </si>
  <si>
    <t>Jokowi kurang tegas</t>
  </si>
  <si>
    <t>Jokowi gagal memimpin</t>
  </si>
  <si>
    <t>Tidaj suka dengan Jokowi</t>
  </si>
  <si>
    <t>Tidak suka dengan Maruf Amin</t>
  </si>
  <si>
    <t>Jokowi dicurigai PKI/anti islam</t>
  </si>
  <si>
    <t>Suka dengan Sandiaga</t>
  </si>
  <si>
    <t>Prabowo lebih tegas</t>
  </si>
  <si>
    <t>Prabowo-Sandi lebih islami</t>
  </si>
  <si>
    <t>Ikut pilhan kepala keluarga/ Suami/ Ayah</t>
  </si>
  <si>
    <t>Ikut pilihan tokoh kampung</t>
  </si>
  <si>
    <t>Ikut pilihan orang kebanyakan/tetangga</t>
  </si>
  <si>
    <t>Menunggu petunjuk Kiai/Pesantren</t>
  </si>
  <si>
    <t>Memilih sesuai pertimbangan sendiri</t>
  </si>
  <si>
    <t>Dirembug sama keluarga</t>
  </si>
  <si>
    <t>Memilih yang memberi sesuatu</t>
  </si>
  <si>
    <t>Ikut pilihan Kades</t>
  </si>
  <si>
    <t>Istikhoroh</t>
  </si>
  <si>
    <t>Alasan Memilih Jokowi</t>
  </si>
  <si>
    <t>Alasan Memilih Prabowo</t>
  </si>
  <si>
    <t>Pengambilan Keputusan Responden dalam Memilih</t>
  </si>
  <si>
    <t>Dialogis (forum di desa)</t>
  </si>
  <si>
    <t>Pentas musik</t>
  </si>
  <si>
    <t>Konvoi</t>
  </si>
  <si>
    <t>Bakti Sosial</t>
  </si>
  <si>
    <t>Pengajian</t>
  </si>
  <si>
    <t>Door to door</t>
  </si>
  <si>
    <t>TV/Radio</t>
  </si>
  <si>
    <t>Koran</t>
  </si>
  <si>
    <t>Spanduk/Baliho</t>
  </si>
  <si>
    <t>Kaos</t>
  </si>
  <si>
    <t>Kalender</t>
  </si>
  <si>
    <t>Karung beras bergambar</t>
  </si>
  <si>
    <t>Jilbab/kerudung</t>
  </si>
  <si>
    <t>Sarung</t>
  </si>
  <si>
    <t>Sembako</t>
  </si>
  <si>
    <t>Menerima uang tersebut dan memilih yang memberi</t>
  </si>
  <si>
    <t>Menerima uang tersebut tetapi tetap memilih berdasarkan hati nurani</t>
  </si>
  <si>
    <t>MMenerima uang dari semua calon, lalu memilih yang memberi paling banyak</t>
  </si>
  <si>
    <t>Menolak uang yang diberikan calon</t>
  </si>
  <si>
    <t>10-25 ribu</t>
  </si>
  <si>
    <t>30-50 ribu</t>
  </si>
  <si>
    <t>51-100 ribu</t>
  </si>
  <si>
    <t>&gt;100 ribu</t>
  </si>
  <si>
    <t>Pasti akan memilih</t>
  </si>
  <si>
    <t>Belum pasti</t>
  </si>
  <si>
    <t>Wajar</t>
  </si>
  <si>
    <t>Tidak wajar</t>
  </si>
  <si>
    <t>Model Kampanye yang Disukai Responden</t>
  </si>
  <si>
    <t>Persepsi Responden terhadap Money Politics</t>
  </si>
  <si>
    <t>Sikap Responden jika diberi uang oleh calon</t>
  </si>
  <si>
    <t>Besaran uang yang biasa disebar calon</t>
  </si>
  <si>
    <t>Kepastian Responden dalam Pemilu 17 April</t>
  </si>
  <si>
    <t>Berkarya</t>
  </si>
  <si>
    <t>PSI</t>
  </si>
  <si>
    <t>38-53 tahun</t>
  </si>
  <si>
    <t>Petani / Peternak</t>
  </si>
  <si>
    <t>PNS / ASN</t>
  </si>
  <si>
    <t>Pegawai / Guru honorer</t>
  </si>
  <si>
    <t>Pengusaha / Wiraswasta</t>
  </si>
  <si>
    <t>Pelajar / Mahasiswa</t>
  </si>
  <si>
    <t>Pegawai BUMN / BUMD</t>
  </si>
  <si>
    <t>NU / Nahdliyin</t>
  </si>
  <si>
    <t>Muhammadiyah / di bawah naunganya</t>
  </si>
  <si>
    <t>Nasionalis / Abangan</t>
  </si>
  <si>
    <t>Elektabilitas Pilpres 2019</t>
  </si>
  <si>
    <t>Jokowi-Ma'ruf Amin</t>
  </si>
  <si>
    <t>Jenis bingkisan yang disukai</t>
  </si>
  <si>
    <t>Media kampanye yang cocok untuk Pileg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</si>
</sst>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"/>
    <numFmt numFmtId="166" formatCode="####.0"/>
    <numFmt numFmtId="167" formatCode="0.0"/>
  </numFmts>
  <fonts count="11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"/>
      <name val="Arial Bold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</cellStyleXfs>
  <cellXfs count="89">
    <xf numFmtId="0" fontId="0" fillId="0" borderId="0" xfId="0"/>
    <xf numFmtId="0" fontId="3" fillId="0" borderId="0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0" xfId="3" applyFont="1" applyBorder="1" applyAlignment="1">
      <alignment vertical="center"/>
    </xf>
    <xf numFmtId="165" fontId="6" fillId="0" borderId="1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0" xfId="4" applyAlignment="1"/>
    <xf numFmtId="167" fontId="5" fillId="0" borderId="1" xfId="4" applyNumberFormat="1" applyFont="1" applyBorder="1" applyAlignment="1">
      <alignment horizontal="center" vertical="center"/>
    </xf>
    <xf numFmtId="0" fontId="6" fillId="0" borderId="1" xfId="4" applyFont="1" applyBorder="1" applyAlignment="1">
      <alignment horizontal="left" vertical="top"/>
    </xf>
    <xf numFmtId="0" fontId="3" fillId="0" borderId="0" xfId="4" applyFont="1" applyBorder="1" applyAlignment="1">
      <alignment vertical="center"/>
    </xf>
    <xf numFmtId="0" fontId="5" fillId="0" borderId="1" xfId="4" applyFont="1" applyBorder="1" applyAlignment="1"/>
    <xf numFmtId="165" fontId="6" fillId="0" borderId="1" xfId="4" applyNumberFormat="1" applyFont="1" applyBorder="1" applyAlignment="1">
      <alignment horizontal="center" vertical="center"/>
    </xf>
    <xf numFmtId="0" fontId="3" fillId="0" borderId="0" xfId="5" applyFont="1" applyBorder="1" applyAlignment="1">
      <alignment vertical="center"/>
    </xf>
    <xf numFmtId="0" fontId="5" fillId="0" borderId="1" xfId="5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5" applyFont="1" applyBorder="1" applyAlignment="1">
      <alignment horizontal="left" vertical="center"/>
    </xf>
    <xf numFmtId="0" fontId="10" fillId="0" borderId="0" xfId="5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167" fontId="6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1" xfId="4" applyFont="1" applyBorder="1" applyAlignment="1">
      <alignment vertical="center"/>
    </xf>
    <xf numFmtId="167" fontId="3" fillId="0" borderId="0" xfId="5" applyNumberFormat="1" applyFont="1" applyBorder="1" applyAlignment="1">
      <alignment vertical="center"/>
    </xf>
    <xf numFmtId="167" fontId="5" fillId="0" borderId="1" xfId="5" applyNumberFormat="1" applyFont="1" applyBorder="1" applyAlignment="1">
      <alignment horizontal="center" vertical="center"/>
    </xf>
    <xf numFmtId="167" fontId="6" fillId="0" borderId="1" xfId="5" applyNumberFormat="1" applyFont="1" applyBorder="1" applyAlignment="1">
      <alignment horizontal="center" vertical="center"/>
    </xf>
    <xf numFmtId="167" fontId="0" fillId="0" borderId="0" xfId="0" applyNumberFormat="1"/>
    <xf numFmtId="167" fontId="5" fillId="0" borderId="1" xfId="4" applyNumberFormat="1" applyFont="1" applyBorder="1" applyAlignment="1">
      <alignment horizontal="center"/>
    </xf>
    <xf numFmtId="167" fontId="4" fillId="0" borderId="1" xfId="6" applyNumberFormat="1" applyFont="1" applyBorder="1" applyAlignment="1">
      <alignment horizontal="center" vertical="center"/>
    </xf>
    <xf numFmtId="0" fontId="10" fillId="0" borderId="0" xfId="4" applyFont="1" applyBorder="1" applyAlignment="1">
      <alignment vertical="center"/>
    </xf>
    <xf numFmtId="0" fontId="8" fillId="0" borderId="6" xfId="0" applyFont="1" applyBorder="1" applyAlignment="1"/>
    <xf numFmtId="0" fontId="5" fillId="0" borderId="6" xfId="7" applyFont="1" applyBorder="1" applyAlignment="1">
      <alignment vertical="center"/>
    </xf>
    <xf numFmtId="0" fontId="5" fillId="0" borderId="6" xfId="7" applyFont="1" applyFill="1" applyBorder="1" applyAlignment="1">
      <alignment vertical="top"/>
    </xf>
    <xf numFmtId="167" fontId="6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3" fillId="2" borderId="0" xfId="3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167" fontId="8" fillId="0" borderId="4" xfId="0" applyNumberFormat="1" applyFont="1" applyBorder="1" applyAlignment="1">
      <alignment horizontal="center" vertical="center" wrapText="1"/>
    </xf>
    <xf numFmtId="167" fontId="8" fillId="0" borderId="5" xfId="0" applyNumberFormat="1" applyFont="1" applyBorder="1" applyAlignment="1">
      <alignment horizontal="center" vertical="center" wrapText="1"/>
    </xf>
    <xf numFmtId="0" fontId="6" fillId="0" borderId="2" xfId="5" applyFont="1" applyBorder="1" applyAlignment="1">
      <alignment horizontal="center" vertical="center"/>
    </xf>
    <xf numFmtId="0" fontId="6" fillId="0" borderId="3" xfId="5" applyFont="1" applyBorder="1" applyAlignment="1">
      <alignment horizontal="center" vertical="center"/>
    </xf>
    <xf numFmtId="167" fontId="8" fillId="0" borderId="2" xfId="0" applyNumberFormat="1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167" fontId="8" fillId="0" borderId="4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3" fillId="0" borderId="0" xfId="1" applyNumberFormat="1" applyFont="1" applyBorder="1" applyAlignment="1">
      <alignment horizontal="center" vertical="center"/>
    </xf>
    <xf numFmtId="167" fontId="5" fillId="0" borderId="1" xfId="1" applyNumberFormat="1" applyFont="1" applyBorder="1" applyAlignment="1">
      <alignment horizontal="center" vertical="center"/>
    </xf>
    <xf numFmtId="167" fontId="4" fillId="0" borderId="1" xfId="1" applyNumberFormat="1" applyFont="1" applyBorder="1" applyAlignment="1">
      <alignment horizontal="center" vertical="center"/>
    </xf>
    <xf numFmtId="167" fontId="2" fillId="0" borderId="0" xfId="1" applyNumberFormat="1" applyAlignment="1">
      <alignment horizontal="center" vertical="center"/>
    </xf>
    <xf numFmtId="167" fontId="4" fillId="0" borderId="0" xfId="1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5" applyAlignment="1">
      <alignment vertical="center"/>
    </xf>
    <xf numFmtId="0" fontId="6" fillId="0" borderId="1" xfId="5" applyFont="1" applyBorder="1" applyAlignment="1">
      <alignment horizontal="center" vertical="center"/>
    </xf>
    <xf numFmtId="167" fontId="7" fillId="0" borderId="0" xfId="5" applyNumberFormat="1" applyAlignment="1">
      <alignment vertical="center"/>
    </xf>
    <xf numFmtId="0" fontId="8" fillId="0" borderId="0" xfId="0" applyFont="1" applyAlignment="1">
      <alignment vertical="center"/>
    </xf>
    <xf numFmtId="167" fontId="0" fillId="0" borderId="0" xfId="0" applyNumberFormat="1" applyAlignment="1">
      <alignment vertical="center"/>
    </xf>
    <xf numFmtId="0" fontId="6" fillId="0" borderId="1" xfId="4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vertical="center"/>
    </xf>
    <xf numFmtId="167" fontId="3" fillId="0" borderId="0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167" fontId="5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167" fontId="6" fillId="0" borderId="1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66" fontId="6" fillId="0" borderId="1" xfId="2" applyNumberFormat="1" applyFont="1" applyBorder="1" applyAlignment="1">
      <alignment horizontal="center" vertical="center"/>
    </xf>
    <xf numFmtId="0" fontId="7" fillId="0" borderId="0" xfId="2" applyAlignment="1">
      <alignment vertical="center"/>
    </xf>
    <xf numFmtId="0" fontId="6" fillId="0" borderId="1" xfId="4" applyFont="1" applyBorder="1" applyAlignment="1">
      <alignment horizontal="left" vertical="center" wrapText="1"/>
    </xf>
    <xf numFmtId="167" fontId="0" fillId="0" borderId="1" xfId="0" applyNumberFormat="1" applyBorder="1" applyAlignment="1">
      <alignment horizontal="center" vertical="center"/>
    </xf>
    <xf numFmtId="0" fontId="6" fillId="0" borderId="1" xfId="4" applyFont="1" applyBorder="1" applyAlignment="1">
      <alignment horizontal="center" vertical="center" wrapText="1"/>
    </xf>
    <xf numFmtId="0" fontId="6" fillId="0" borderId="1" xfId="4" applyFont="1" applyBorder="1" applyAlignment="1">
      <alignment vertical="center"/>
    </xf>
    <xf numFmtId="0" fontId="2" fillId="0" borderId="0" xfId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167" fontId="3" fillId="0" borderId="0" xfId="4" applyNumberFormat="1" applyFont="1" applyBorder="1" applyAlignment="1">
      <alignment vertical="center"/>
    </xf>
    <xf numFmtId="167" fontId="7" fillId="0" borderId="0" xfId="4" applyNumberFormat="1" applyAlignment="1"/>
    <xf numFmtId="0" fontId="6" fillId="0" borderId="1" xfId="4" applyFont="1" applyBorder="1" applyAlignment="1">
      <alignment horizontal="left" vertical="top" wrapText="1"/>
    </xf>
    <xf numFmtId="0" fontId="5" fillId="0" borderId="1" xfId="4" applyFont="1" applyBorder="1" applyAlignment="1">
      <alignment horizontal="center" vertical="center" wrapText="1"/>
    </xf>
  </cellXfs>
  <cellStyles count="8">
    <cellStyle name="Normal" xfId="0" builtinId="0"/>
    <cellStyle name="Normal_Kampanye" xfId="7"/>
    <cellStyle name="Normal_Politik dan Pemilu" xfId="5"/>
    <cellStyle name="Normal_Sheet1" xfId="1"/>
    <cellStyle name="Normal_Sheet2" xfId="3"/>
    <cellStyle name="Normal_Sheet4" xfId="4"/>
    <cellStyle name="Normal_Sheet4_1" xfId="6"/>
    <cellStyle name="Normal_Sosial Keagamaan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4"/>
  <sheetViews>
    <sheetView workbookViewId="0">
      <selection activeCell="G46" sqref="G46"/>
    </sheetView>
  </sheetViews>
  <sheetFormatPr defaultRowHeight="17.100000000000001" customHeight="1" x14ac:dyDescent="0.25"/>
  <cols>
    <col min="1" max="1" width="9.140625" style="61"/>
    <col min="2" max="2" width="30.28515625" style="61" bestFit="1" customWidth="1"/>
    <col min="3" max="3" width="10.5703125" style="60" customWidth="1"/>
    <col min="4" max="16384" width="9.140625" style="61"/>
  </cols>
  <sheetData>
    <row r="2" spans="2:4" ht="17.100000000000001" customHeight="1" x14ac:dyDescent="0.25">
      <c r="B2" s="1" t="s">
        <v>0</v>
      </c>
      <c r="C2" s="55"/>
      <c r="D2" s="82"/>
    </row>
    <row r="3" spans="2:4" ht="17.100000000000001" customHeight="1" x14ac:dyDescent="0.25">
      <c r="B3" s="2" t="s">
        <v>39</v>
      </c>
      <c r="C3" s="56" t="s">
        <v>1</v>
      </c>
      <c r="D3" s="82"/>
    </row>
    <row r="4" spans="2:4" ht="17.100000000000001" customHeight="1" x14ac:dyDescent="0.25">
      <c r="B4" s="83" t="s">
        <v>2</v>
      </c>
      <c r="C4" s="57">
        <v>18.453865336658353</v>
      </c>
      <c r="D4" s="82"/>
    </row>
    <row r="5" spans="2:4" ht="17.100000000000001" customHeight="1" x14ac:dyDescent="0.25">
      <c r="B5" s="83" t="s">
        <v>3</v>
      </c>
      <c r="C5" s="57">
        <v>38.403990024937656</v>
      </c>
      <c r="D5" s="82"/>
    </row>
    <row r="6" spans="2:4" ht="17.100000000000001" customHeight="1" x14ac:dyDescent="0.25">
      <c r="B6" s="83" t="s">
        <v>199</v>
      </c>
      <c r="C6" s="57">
        <v>34.663341645885289</v>
      </c>
      <c r="D6" s="82"/>
    </row>
    <row r="7" spans="2:4" ht="17.100000000000001" customHeight="1" x14ac:dyDescent="0.25">
      <c r="B7" s="83" t="s">
        <v>4</v>
      </c>
      <c r="C7" s="57">
        <v>8.4788029925187036</v>
      </c>
      <c r="D7" s="82"/>
    </row>
    <row r="8" spans="2:4" ht="17.100000000000001" customHeight="1" x14ac:dyDescent="0.25">
      <c r="B8" s="83" t="s">
        <v>5</v>
      </c>
      <c r="C8" s="57">
        <v>100</v>
      </c>
      <c r="D8" s="82"/>
    </row>
    <row r="9" spans="2:4" ht="17.100000000000001" customHeight="1" x14ac:dyDescent="0.25">
      <c r="B9" s="82"/>
      <c r="C9" s="58"/>
      <c r="D9" s="82"/>
    </row>
    <row r="10" spans="2:4" ht="17.100000000000001" customHeight="1" x14ac:dyDescent="0.25">
      <c r="B10" s="1" t="s">
        <v>6</v>
      </c>
      <c r="C10" s="55"/>
      <c r="D10" s="82"/>
    </row>
    <row r="11" spans="2:4" ht="17.100000000000001" customHeight="1" x14ac:dyDescent="0.25">
      <c r="B11" s="2" t="s">
        <v>39</v>
      </c>
      <c r="C11" s="56" t="s">
        <v>1</v>
      </c>
      <c r="D11" s="82"/>
    </row>
    <row r="12" spans="2:4" ht="17.100000000000001" customHeight="1" x14ac:dyDescent="0.25">
      <c r="B12" s="83" t="s">
        <v>7</v>
      </c>
      <c r="C12" s="57">
        <v>51.870324189526187</v>
      </c>
      <c r="D12" s="82"/>
    </row>
    <row r="13" spans="2:4" ht="17.100000000000001" customHeight="1" x14ac:dyDescent="0.25">
      <c r="B13" s="83" t="s">
        <v>8</v>
      </c>
      <c r="C13" s="57">
        <v>48.129675810473813</v>
      </c>
      <c r="D13" s="82"/>
    </row>
    <row r="14" spans="2:4" ht="17.100000000000001" customHeight="1" x14ac:dyDescent="0.25">
      <c r="B14" s="83" t="s">
        <v>5</v>
      </c>
      <c r="C14" s="57">
        <v>100</v>
      </c>
      <c r="D14" s="82"/>
    </row>
    <row r="15" spans="2:4" ht="17.100000000000001" customHeight="1" x14ac:dyDescent="0.25">
      <c r="B15" s="82"/>
      <c r="C15" s="58"/>
      <c r="D15" s="82"/>
    </row>
    <row r="16" spans="2:4" ht="17.100000000000001" customHeight="1" x14ac:dyDescent="0.25">
      <c r="B16" s="1" t="s">
        <v>9</v>
      </c>
      <c r="C16" s="55"/>
      <c r="D16" s="82"/>
    </row>
    <row r="17" spans="2:4" ht="17.100000000000001" customHeight="1" x14ac:dyDescent="0.25">
      <c r="B17" s="2" t="s">
        <v>39</v>
      </c>
      <c r="C17" s="56" t="s">
        <v>1</v>
      </c>
      <c r="D17" s="82"/>
    </row>
    <row r="18" spans="2:4" ht="17.100000000000001" customHeight="1" x14ac:dyDescent="0.25">
      <c r="B18" s="83" t="s">
        <v>10</v>
      </c>
      <c r="C18" s="57">
        <v>38.403990024937656</v>
      </c>
      <c r="D18" s="82"/>
    </row>
    <row r="19" spans="2:4" ht="17.100000000000001" customHeight="1" x14ac:dyDescent="0.25">
      <c r="B19" s="83" t="s">
        <v>11</v>
      </c>
      <c r="C19" s="57">
        <v>36.907730673316706</v>
      </c>
      <c r="D19" s="82"/>
    </row>
    <row r="20" spans="2:4" ht="17.100000000000001" customHeight="1" x14ac:dyDescent="0.25">
      <c r="B20" s="83" t="s">
        <v>12</v>
      </c>
      <c r="C20" s="57">
        <v>9.9750623441396513</v>
      </c>
      <c r="D20" s="82"/>
    </row>
    <row r="21" spans="2:4" ht="17.100000000000001" customHeight="1" x14ac:dyDescent="0.25">
      <c r="B21" s="83" t="s">
        <v>13</v>
      </c>
      <c r="C21" s="57">
        <v>1.9950124688279303</v>
      </c>
      <c r="D21" s="82"/>
    </row>
    <row r="22" spans="2:4" ht="17.100000000000001" customHeight="1" x14ac:dyDescent="0.25">
      <c r="B22" s="83" t="s">
        <v>14</v>
      </c>
      <c r="C22" s="57">
        <v>1.2468827930174564</v>
      </c>
      <c r="D22" s="82"/>
    </row>
    <row r="23" spans="2:4" ht="17.100000000000001" customHeight="1" x14ac:dyDescent="0.25">
      <c r="B23" s="83" t="s">
        <v>22</v>
      </c>
      <c r="C23" s="57">
        <v>11.471321695760599</v>
      </c>
      <c r="D23" s="82"/>
    </row>
    <row r="24" spans="2:4" ht="17.100000000000001" customHeight="1" x14ac:dyDescent="0.25">
      <c r="B24" s="83" t="s">
        <v>5</v>
      </c>
      <c r="C24" s="57">
        <v>99.999999999999986</v>
      </c>
      <c r="D24" s="82"/>
    </row>
    <row r="25" spans="2:4" ht="17.100000000000001" customHeight="1" x14ac:dyDescent="0.25">
      <c r="B25" s="84"/>
      <c r="C25" s="59"/>
      <c r="D25" s="82"/>
    </row>
    <row r="26" spans="2:4" ht="17.100000000000001" customHeight="1" x14ac:dyDescent="0.25">
      <c r="B26" s="1" t="s">
        <v>15</v>
      </c>
      <c r="C26" s="55"/>
      <c r="D26" s="82"/>
    </row>
    <row r="27" spans="2:4" ht="17.100000000000001" customHeight="1" x14ac:dyDescent="0.25">
      <c r="B27" s="2" t="s">
        <v>39</v>
      </c>
      <c r="C27" s="56" t="s">
        <v>1</v>
      </c>
      <c r="D27" s="82"/>
    </row>
    <row r="28" spans="2:4" ht="17.100000000000001" customHeight="1" x14ac:dyDescent="0.25">
      <c r="B28" s="83" t="s">
        <v>10</v>
      </c>
      <c r="C28" s="57">
        <v>29.177057356608479</v>
      </c>
      <c r="D28" s="82"/>
    </row>
    <row r="29" spans="2:4" ht="17.100000000000001" customHeight="1" x14ac:dyDescent="0.25">
      <c r="B29" s="83" t="s">
        <v>11</v>
      </c>
      <c r="C29" s="57">
        <v>34.912718204488776</v>
      </c>
      <c r="D29" s="82"/>
    </row>
    <row r="30" spans="2:4" ht="17.100000000000001" customHeight="1" x14ac:dyDescent="0.25">
      <c r="B30" s="83" t="s">
        <v>12</v>
      </c>
      <c r="C30" s="57">
        <v>12.718204488778055</v>
      </c>
      <c r="D30" s="82"/>
    </row>
    <row r="31" spans="2:4" ht="17.100000000000001" customHeight="1" x14ac:dyDescent="0.25">
      <c r="B31" s="83" t="s">
        <v>13</v>
      </c>
      <c r="C31" s="57">
        <v>4.2394014962593518</v>
      </c>
      <c r="D31" s="82"/>
    </row>
    <row r="32" spans="2:4" ht="17.100000000000001" customHeight="1" x14ac:dyDescent="0.25">
      <c r="B32" s="83" t="s">
        <v>16</v>
      </c>
      <c r="C32" s="57">
        <v>2.4937655860349128</v>
      </c>
      <c r="D32" s="82"/>
    </row>
    <row r="33" spans="2:4" ht="17.100000000000001" customHeight="1" x14ac:dyDescent="0.25">
      <c r="B33" s="83" t="s">
        <v>22</v>
      </c>
      <c r="C33" s="57">
        <v>16.458852867830423</v>
      </c>
      <c r="D33" s="82"/>
    </row>
    <row r="34" spans="2:4" ht="17.100000000000001" customHeight="1" x14ac:dyDescent="0.25">
      <c r="B34" s="83" t="s">
        <v>5</v>
      </c>
      <c r="C34" s="57">
        <v>100</v>
      </c>
      <c r="D34" s="82"/>
    </row>
    <row r="35" spans="2:4" ht="17.100000000000001" customHeight="1" x14ac:dyDescent="0.25">
      <c r="B35" s="82"/>
      <c r="C35" s="58"/>
      <c r="D35" s="82"/>
    </row>
    <row r="36" spans="2:4" ht="17.100000000000001" customHeight="1" x14ac:dyDescent="0.25">
      <c r="B36" s="1" t="s">
        <v>17</v>
      </c>
      <c r="C36" s="55"/>
      <c r="D36" s="82"/>
    </row>
    <row r="37" spans="2:4" ht="17.100000000000001" customHeight="1" x14ac:dyDescent="0.25">
      <c r="B37" s="2" t="s">
        <v>39</v>
      </c>
      <c r="C37" s="56" t="s">
        <v>1</v>
      </c>
      <c r="D37" s="82"/>
    </row>
    <row r="38" spans="2:4" ht="17.100000000000001" customHeight="1" x14ac:dyDescent="0.25">
      <c r="B38" s="83" t="s">
        <v>200</v>
      </c>
      <c r="C38" s="57">
        <v>27.182044887780549</v>
      </c>
      <c r="D38" s="82"/>
    </row>
    <row r="39" spans="2:4" ht="17.100000000000001" customHeight="1" x14ac:dyDescent="0.25">
      <c r="B39" s="83" t="s">
        <v>18</v>
      </c>
      <c r="C39" s="57">
        <v>13.965087281795512</v>
      </c>
      <c r="D39" s="82"/>
    </row>
    <row r="40" spans="2:4" ht="17.100000000000001" customHeight="1" x14ac:dyDescent="0.25">
      <c r="B40" s="83" t="s">
        <v>19</v>
      </c>
      <c r="C40" s="57">
        <v>12.967581047381547</v>
      </c>
      <c r="D40" s="82"/>
    </row>
    <row r="41" spans="2:4" ht="17.100000000000001" customHeight="1" x14ac:dyDescent="0.25">
      <c r="B41" s="83" t="s">
        <v>20</v>
      </c>
      <c r="C41" s="57">
        <v>10.224438902743142</v>
      </c>
      <c r="D41" s="82"/>
    </row>
    <row r="42" spans="2:4" ht="17.100000000000001" customHeight="1" x14ac:dyDescent="0.25">
      <c r="B42" s="83" t="s">
        <v>201</v>
      </c>
      <c r="C42" s="57">
        <v>9.2269326683291766</v>
      </c>
      <c r="D42" s="82"/>
    </row>
    <row r="43" spans="2:4" ht="17.100000000000001" customHeight="1" x14ac:dyDescent="0.25">
      <c r="B43" s="83" t="s">
        <v>202</v>
      </c>
      <c r="C43" s="57">
        <v>8.2294264339152114</v>
      </c>
      <c r="D43" s="82"/>
    </row>
    <row r="44" spans="2:4" ht="17.100000000000001" customHeight="1" x14ac:dyDescent="0.25">
      <c r="B44" s="83" t="s">
        <v>34</v>
      </c>
      <c r="C44" s="57">
        <v>3.491271820448878</v>
      </c>
      <c r="D44" s="82"/>
    </row>
    <row r="45" spans="2:4" ht="17.100000000000001" customHeight="1" x14ac:dyDescent="0.25">
      <c r="B45" s="83" t="s">
        <v>203</v>
      </c>
      <c r="C45" s="57">
        <v>3.491271820448878</v>
      </c>
      <c r="D45" s="82"/>
    </row>
    <row r="46" spans="2:4" ht="17.100000000000001" customHeight="1" x14ac:dyDescent="0.25">
      <c r="B46" s="83" t="s">
        <v>35</v>
      </c>
      <c r="C46" s="57">
        <v>3.491271820448878</v>
      </c>
      <c r="D46" s="82"/>
    </row>
    <row r="47" spans="2:4" ht="17.100000000000001" customHeight="1" x14ac:dyDescent="0.25">
      <c r="B47" s="83" t="s">
        <v>204</v>
      </c>
      <c r="C47" s="57">
        <v>1.2468827930174564</v>
      </c>
      <c r="D47" s="82"/>
    </row>
    <row r="48" spans="2:4" ht="17.100000000000001" customHeight="1" x14ac:dyDescent="0.25">
      <c r="B48" s="83" t="s">
        <v>36</v>
      </c>
      <c r="C48" s="57">
        <v>0.74812967581047385</v>
      </c>
      <c r="D48" s="82"/>
    </row>
    <row r="49" spans="2:4" ht="17.100000000000001" customHeight="1" x14ac:dyDescent="0.25">
      <c r="B49" s="83" t="s">
        <v>37</v>
      </c>
      <c r="C49" s="57">
        <v>0.74812967581047385</v>
      </c>
      <c r="D49" s="82"/>
    </row>
    <row r="50" spans="2:4" ht="17.100000000000001" customHeight="1" x14ac:dyDescent="0.25">
      <c r="B50" s="83" t="s">
        <v>205</v>
      </c>
      <c r="C50" s="57">
        <v>0.74812967581047385</v>
      </c>
      <c r="D50" s="82"/>
    </row>
    <row r="51" spans="2:4" ht="17.100000000000001" customHeight="1" x14ac:dyDescent="0.25">
      <c r="B51" s="83" t="s">
        <v>38</v>
      </c>
      <c r="C51" s="57">
        <v>1.9950124688279303</v>
      </c>
      <c r="D51" s="82"/>
    </row>
    <row r="52" spans="2:4" ht="17.100000000000001" customHeight="1" x14ac:dyDescent="0.25">
      <c r="B52" s="83" t="s">
        <v>22</v>
      </c>
      <c r="C52" s="57">
        <v>2.2443890274314215</v>
      </c>
      <c r="D52" s="82"/>
    </row>
    <row r="53" spans="2:4" ht="17.100000000000001" customHeight="1" x14ac:dyDescent="0.25">
      <c r="B53" s="83" t="s">
        <v>5</v>
      </c>
      <c r="C53" s="57">
        <v>100</v>
      </c>
      <c r="D53" s="82"/>
    </row>
    <row r="54" spans="2:4" ht="17.100000000000001" customHeight="1" x14ac:dyDescent="0.25">
      <c r="B54" s="82"/>
      <c r="C54" s="58"/>
      <c r="D54" s="82"/>
    </row>
    <row r="55" spans="2:4" ht="17.100000000000001" customHeight="1" x14ac:dyDescent="0.25">
      <c r="B55" s="1" t="s">
        <v>23</v>
      </c>
      <c r="C55" s="55"/>
      <c r="D55" s="82"/>
    </row>
    <row r="56" spans="2:4" ht="17.100000000000001" customHeight="1" x14ac:dyDescent="0.25">
      <c r="B56" s="2" t="s">
        <v>39</v>
      </c>
      <c r="C56" s="56" t="s">
        <v>1</v>
      </c>
      <c r="D56" s="82"/>
    </row>
    <row r="57" spans="2:4" ht="17.100000000000001" customHeight="1" x14ac:dyDescent="0.25">
      <c r="B57" s="83" t="s">
        <v>24</v>
      </c>
      <c r="C57" s="57">
        <v>6.2344139650872821</v>
      </c>
      <c r="D57" s="82"/>
    </row>
    <row r="58" spans="2:4" ht="17.100000000000001" customHeight="1" x14ac:dyDescent="0.25">
      <c r="B58" s="83" t="s">
        <v>25</v>
      </c>
      <c r="C58" s="57">
        <v>28.927680798004989</v>
      </c>
      <c r="D58" s="82"/>
    </row>
    <row r="59" spans="2:4" ht="17.100000000000001" customHeight="1" x14ac:dyDescent="0.25">
      <c r="B59" s="83" t="s">
        <v>26</v>
      </c>
      <c r="C59" s="57">
        <v>14.962593516209477</v>
      </c>
      <c r="D59" s="82"/>
    </row>
    <row r="60" spans="2:4" ht="17.100000000000001" customHeight="1" x14ac:dyDescent="0.25">
      <c r="B60" s="83" t="s">
        <v>27</v>
      </c>
      <c r="C60" s="57">
        <v>39.152119700748131</v>
      </c>
      <c r="D60" s="82"/>
    </row>
    <row r="61" spans="2:4" ht="17.100000000000001" customHeight="1" x14ac:dyDescent="0.25">
      <c r="B61" s="83" t="s">
        <v>28</v>
      </c>
      <c r="C61" s="57">
        <v>8.4788029925187036</v>
      </c>
      <c r="D61" s="82"/>
    </row>
    <row r="62" spans="2:4" ht="17.100000000000001" customHeight="1" x14ac:dyDescent="0.25">
      <c r="B62" s="83" t="s">
        <v>22</v>
      </c>
      <c r="C62" s="57">
        <v>2.2443890274314215</v>
      </c>
      <c r="D62" s="82"/>
    </row>
    <row r="63" spans="2:4" ht="17.100000000000001" customHeight="1" x14ac:dyDescent="0.25">
      <c r="B63" s="83" t="s">
        <v>5</v>
      </c>
      <c r="C63" s="57">
        <v>100</v>
      </c>
      <c r="D63" s="82"/>
    </row>
    <row r="64" spans="2:4" ht="17.100000000000001" customHeight="1" x14ac:dyDescent="0.25">
      <c r="B64" s="82"/>
      <c r="C64" s="58"/>
      <c r="D64" s="82"/>
    </row>
    <row r="65" spans="2:4" ht="17.100000000000001" customHeight="1" x14ac:dyDescent="0.25">
      <c r="B65" s="1" t="s">
        <v>29</v>
      </c>
      <c r="C65" s="55"/>
      <c r="D65" s="82"/>
    </row>
    <row r="66" spans="2:4" ht="17.100000000000001" customHeight="1" x14ac:dyDescent="0.25">
      <c r="B66" s="2" t="s">
        <v>39</v>
      </c>
      <c r="C66" s="56" t="s">
        <v>1</v>
      </c>
      <c r="D66" s="82"/>
    </row>
    <row r="67" spans="2:4" ht="17.100000000000001" customHeight="1" x14ac:dyDescent="0.25">
      <c r="B67" s="83" t="s">
        <v>30</v>
      </c>
      <c r="C67" s="57">
        <v>98.004987531172077</v>
      </c>
      <c r="D67" s="82"/>
    </row>
    <row r="68" spans="2:4" ht="17.100000000000001" customHeight="1" x14ac:dyDescent="0.25">
      <c r="B68" s="83" t="s">
        <v>31</v>
      </c>
      <c r="C68" s="57">
        <v>0.74812967581047385</v>
      </c>
      <c r="D68" s="82"/>
    </row>
    <row r="69" spans="2:4" ht="17.100000000000001" customHeight="1" x14ac:dyDescent="0.25">
      <c r="B69" s="83" t="s">
        <v>32</v>
      </c>
      <c r="C69" s="57">
        <v>0.24937655860349128</v>
      </c>
      <c r="D69" s="82"/>
    </row>
    <row r="70" spans="2:4" ht="17.100000000000001" customHeight="1" x14ac:dyDescent="0.25">
      <c r="B70" s="83" t="s">
        <v>33</v>
      </c>
      <c r="C70" s="57">
        <v>0.24937655860349128</v>
      </c>
      <c r="D70" s="82"/>
    </row>
    <row r="71" spans="2:4" ht="17.100000000000001" customHeight="1" x14ac:dyDescent="0.25">
      <c r="B71" s="83" t="s">
        <v>22</v>
      </c>
      <c r="C71" s="57">
        <v>0.74812967581047385</v>
      </c>
      <c r="D71" s="82"/>
    </row>
    <row r="72" spans="2:4" ht="17.100000000000001" customHeight="1" x14ac:dyDescent="0.25">
      <c r="B72" s="83" t="s">
        <v>5</v>
      </c>
      <c r="C72" s="57">
        <v>100</v>
      </c>
      <c r="D72" s="82"/>
    </row>
    <row r="73" spans="2:4" ht="17.100000000000001" customHeight="1" x14ac:dyDescent="0.25">
      <c r="B73" s="82"/>
    </row>
    <row r="74" spans="2:4" ht="17.100000000000001" customHeight="1" x14ac:dyDescent="0.25">
      <c r="B74" s="82"/>
    </row>
  </sheetData>
  <sortState ref="C38:D50">
    <sortCondition descending="1" ref="C38:C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105"/>
  <sheetViews>
    <sheetView tabSelected="1" topLeftCell="A85" workbookViewId="0">
      <selection activeCell="G67" sqref="G67"/>
    </sheetView>
  </sheetViews>
  <sheetFormatPr defaultRowHeight="15" x14ac:dyDescent="0.25"/>
  <cols>
    <col min="1" max="1" width="9.140625" style="61"/>
    <col min="2" max="2" width="36.140625" style="61" customWidth="1"/>
    <col min="3" max="3" width="12.5703125" style="4" customWidth="1"/>
    <col min="4" max="5" width="12.5703125" style="60" customWidth="1"/>
    <col min="6" max="6" width="12.85546875" style="61" customWidth="1"/>
    <col min="7" max="7" width="12.7109375" style="61" customWidth="1"/>
    <col min="8" max="16384" width="9.140625" style="61"/>
  </cols>
  <sheetData>
    <row r="1" spans="2:5" ht="15.75" customHeight="1" x14ac:dyDescent="0.25">
      <c r="B1" s="3" t="s">
        <v>40</v>
      </c>
      <c r="C1" s="5"/>
      <c r="D1" s="70"/>
      <c r="E1" s="70"/>
    </row>
    <row r="2" spans="2:5" x14ac:dyDescent="0.25">
      <c r="B2" s="71" t="s">
        <v>39</v>
      </c>
      <c r="C2" s="72" t="s">
        <v>1</v>
      </c>
      <c r="D2" s="61"/>
      <c r="E2" s="61"/>
    </row>
    <row r="3" spans="2:5" x14ac:dyDescent="0.25">
      <c r="B3" s="73" t="s">
        <v>206</v>
      </c>
      <c r="C3" s="74">
        <v>91.521197007481291</v>
      </c>
      <c r="D3" s="61"/>
      <c r="E3" s="61"/>
    </row>
    <row r="4" spans="2:5" x14ac:dyDescent="0.25">
      <c r="B4" s="73" t="s">
        <v>207</v>
      </c>
      <c r="C4" s="74">
        <v>4.9875311720698257</v>
      </c>
      <c r="D4" s="61"/>
      <c r="E4" s="61"/>
    </row>
    <row r="5" spans="2:5" x14ac:dyDescent="0.25">
      <c r="B5" s="73" t="s">
        <v>41</v>
      </c>
      <c r="C5" s="74">
        <v>1.745635910224439</v>
      </c>
      <c r="D5" s="61"/>
      <c r="E5" s="61"/>
    </row>
    <row r="6" spans="2:5" x14ac:dyDescent="0.25">
      <c r="B6" s="73" t="s">
        <v>42</v>
      </c>
      <c r="C6" s="74">
        <v>0.24937655860349128</v>
      </c>
      <c r="D6" s="61"/>
      <c r="E6" s="61"/>
    </row>
    <row r="7" spans="2:5" x14ac:dyDescent="0.25">
      <c r="B7" s="73" t="s">
        <v>208</v>
      </c>
      <c r="C7" s="74">
        <v>0.24937655860349128</v>
      </c>
      <c r="D7" s="61"/>
      <c r="E7" s="61"/>
    </row>
    <row r="8" spans="2:5" x14ac:dyDescent="0.25">
      <c r="B8" s="73" t="s">
        <v>38</v>
      </c>
      <c r="C8" s="74">
        <v>0.49875311720698257</v>
      </c>
      <c r="D8" s="61"/>
      <c r="E8" s="61"/>
    </row>
    <row r="9" spans="2:5" x14ac:dyDescent="0.25">
      <c r="B9" s="73" t="s">
        <v>22</v>
      </c>
      <c r="C9" s="74">
        <v>0.74812967581047385</v>
      </c>
      <c r="D9" s="61"/>
      <c r="E9" s="61"/>
    </row>
    <row r="10" spans="2:5" x14ac:dyDescent="0.25">
      <c r="B10" s="73" t="s">
        <v>5</v>
      </c>
      <c r="C10" s="74">
        <v>100</v>
      </c>
      <c r="D10" s="61"/>
      <c r="E10" s="61"/>
    </row>
    <row r="13" spans="2:5" x14ac:dyDescent="0.25">
      <c r="B13" s="41" t="s">
        <v>52</v>
      </c>
      <c r="C13" s="5"/>
      <c r="D13" s="5"/>
      <c r="E13" s="5"/>
    </row>
    <row r="14" spans="2:5" x14ac:dyDescent="0.25">
      <c r="B14" s="71" t="s">
        <v>39</v>
      </c>
      <c r="C14" s="75" t="s">
        <v>1</v>
      </c>
      <c r="D14" s="61"/>
      <c r="E14" s="61"/>
    </row>
    <row r="15" spans="2:5" x14ac:dyDescent="0.25">
      <c r="B15" s="73" t="s">
        <v>43</v>
      </c>
      <c r="C15" s="7">
        <f>172/357*100</f>
        <v>48.179271708683473</v>
      </c>
      <c r="D15" s="61"/>
      <c r="E15" s="61"/>
    </row>
    <row r="16" spans="2:5" x14ac:dyDescent="0.25">
      <c r="B16" s="73" t="s">
        <v>44</v>
      </c>
      <c r="C16" s="7">
        <f>74/357*100</f>
        <v>20.728291316526612</v>
      </c>
      <c r="D16" s="61"/>
      <c r="E16" s="61"/>
    </row>
    <row r="17" spans="2:6 16384:16384" x14ac:dyDescent="0.25">
      <c r="B17" s="73" t="s">
        <v>45</v>
      </c>
      <c r="C17" s="7">
        <f>62/357*100</f>
        <v>17.366946778711483</v>
      </c>
      <c r="D17" s="61"/>
      <c r="E17" s="61"/>
    </row>
    <row r="18" spans="2:6 16384:16384" x14ac:dyDescent="0.25">
      <c r="B18" s="73" t="s">
        <v>46</v>
      </c>
      <c r="C18" s="7">
        <f>20/357*100</f>
        <v>5.6022408963585439</v>
      </c>
      <c r="D18" s="61"/>
      <c r="E18" s="61"/>
    </row>
    <row r="19" spans="2:6 16384:16384" x14ac:dyDescent="0.25">
      <c r="B19" s="73" t="s">
        <v>47</v>
      </c>
      <c r="C19" s="7">
        <f>8/357*100</f>
        <v>2.2408963585434174</v>
      </c>
      <c r="D19" s="61"/>
      <c r="E19" s="61"/>
    </row>
    <row r="20" spans="2:6 16384:16384" x14ac:dyDescent="0.25">
      <c r="B20" s="73" t="s">
        <v>48</v>
      </c>
      <c r="C20" s="7">
        <f>7/357*100</f>
        <v>1.9607843137254901</v>
      </c>
      <c r="D20" s="61"/>
      <c r="E20" s="61"/>
    </row>
    <row r="21" spans="2:6 16384:16384" x14ac:dyDescent="0.25">
      <c r="B21" s="73" t="s">
        <v>49</v>
      </c>
      <c r="C21" s="7">
        <f>5/357*100</f>
        <v>1.400560224089636</v>
      </c>
      <c r="D21" s="61"/>
      <c r="E21" s="61"/>
    </row>
    <row r="22" spans="2:6 16384:16384" x14ac:dyDescent="0.25">
      <c r="B22" s="73" t="s">
        <v>50</v>
      </c>
      <c r="C22" s="7">
        <f>5/357*100</f>
        <v>1.400560224089636</v>
      </c>
      <c r="D22" s="61"/>
      <c r="E22" s="61"/>
    </row>
    <row r="23" spans="2:6 16384:16384" x14ac:dyDescent="0.25">
      <c r="B23" s="73" t="s">
        <v>51</v>
      </c>
      <c r="C23" s="76">
        <f>4/357*100</f>
        <v>1.1204481792717087</v>
      </c>
      <c r="D23" s="61"/>
      <c r="E23" s="61"/>
    </row>
    <row r="24" spans="2:6 16384:16384" x14ac:dyDescent="0.25">
      <c r="B24" s="73" t="s">
        <v>5</v>
      </c>
      <c r="C24" s="7">
        <f>SUM(C15:C23)</f>
        <v>99.999999999999972</v>
      </c>
      <c r="D24" s="61"/>
      <c r="E24" s="61"/>
      <c r="XFD24" s="61">
        <f>SUM(A24:XFC24)</f>
        <v>99.999999999999972</v>
      </c>
    </row>
    <row r="27" spans="2:6 16384:16384" ht="15.75" customHeight="1" x14ac:dyDescent="0.25">
      <c r="B27" s="6" t="s">
        <v>68</v>
      </c>
      <c r="C27" s="5"/>
      <c r="D27" s="5"/>
      <c r="E27" s="5"/>
      <c r="F27" s="77"/>
    </row>
    <row r="28" spans="2:6 16384:16384" x14ac:dyDescent="0.25">
      <c r="B28" s="71" t="s">
        <v>39</v>
      </c>
      <c r="C28" s="75" t="s">
        <v>1</v>
      </c>
      <c r="D28" s="77"/>
      <c r="E28" s="77"/>
    </row>
    <row r="29" spans="2:6 16384:16384" x14ac:dyDescent="0.25">
      <c r="B29" s="73" t="s">
        <v>53</v>
      </c>
      <c r="C29" s="7">
        <v>33.16708229426434</v>
      </c>
      <c r="D29" s="77"/>
      <c r="E29" s="77"/>
    </row>
    <row r="30" spans="2:6 16384:16384" x14ac:dyDescent="0.25">
      <c r="B30" s="73" t="s">
        <v>54</v>
      </c>
      <c r="C30" s="7">
        <v>11.221945137157107</v>
      </c>
      <c r="D30" s="77"/>
      <c r="E30" s="77"/>
    </row>
    <row r="31" spans="2:6 16384:16384" x14ac:dyDescent="0.25">
      <c r="B31" s="73" t="s">
        <v>55</v>
      </c>
      <c r="C31" s="7">
        <v>9.4763092269326688</v>
      </c>
      <c r="D31" s="77"/>
      <c r="E31" s="77"/>
    </row>
    <row r="32" spans="2:6 16384:16384" x14ac:dyDescent="0.25">
      <c r="B32" s="73" t="s">
        <v>56</v>
      </c>
      <c r="C32" s="7">
        <v>7.7306733167082298</v>
      </c>
      <c r="D32" s="77"/>
      <c r="E32" s="77"/>
    </row>
    <row r="33" spans="2:5" x14ac:dyDescent="0.25">
      <c r="B33" s="73" t="s">
        <v>57</v>
      </c>
      <c r="C33" s="7">
        <v>7.2319201995012472</v>
      </c>
      <c r="D33" s="77"/>
      <c r="E33" s="77"/>
    </row>
    <row r="34" spans="2:5" x14ac:dyDescent="0.25">
      <c r="B34" s="73" t="s">
        <v>58</v>
      </c>
      <c r="C34" s="7">
        <v>3.7406483790523692</v>
      </c>
      <c r="D34" s="77"/>
      <c r="E34" s="77"/>
    </row>
    <row r="35" spans="2:5" x14ac:dyDescent="0.25">
      <c r="B35" s="73" t="s">
        <v>59</v>
      </c>
      <c r="C35" s="7">
        <v>1.4962593516209477</v>
      </c>
      <c r="D35" s="77"/>
      <c r="E35" s="77"/>
    </row>
    <row r="36" spans="2:5" x14ac:dyDescent="0.25">
      <c r="B36" s="73" t="s">
        <v>60</v>
      </c>
      <c r="C36" s="7">
        <v>1.2468827930174564</v>
      </c>
      <c r="D36" s="77"/>
      <c r="E36" s="77"/>
    </row>
    <row r="37" spans="2:5" x14ac:dyDescent="0.25">
      <c r="B37" s="73" t="s">
        <v>61</v>
      </c>
      <c r="C37" s="7">
        <v>0.74812967581047385</v>
      </c>
      <c r="D37" s="77"/>
      <c r="E37" s="77"/>
    </row>
    <row r="38" spans="2:5" x14ac:dyDescent="0.25">
      <c r="B38" s="73" t="s">
        <v>62</v>
      </c>
      <c r="C38" s="7">
        <v>0.49875311720698257</v>
      </c>
      <c r="D38" s="77"/>
      <c r="E38" s="77"/>
    </row>
    <row r="39" spans="2:5" x14ac:dyDescent="0.25">
      <c r="B39" s="73" t="s">
        <v>63</v>
      </c>
      <c r="C39" s="7">
        <v>0.49875311720698257</v>
      </c>
      <c r="D39" s="77"/>
      <c r="E39" s="77"/>
    </row>
    <row r="40" spans="2:5" x14ac:dyDescent="0.25">
      <c r="B40" s="73" t="s">
        <v>64</v>
      </c>
      <c r="C40" s="7">
        <v>0.24937655860349128</v>
      </c>
      <c r="D40" s="77"/>
      <c r="E40" s="77"/>
    </row>
    <row r="41" spans="2:5" x14ac:dyDescent="0.25">
      <c r="B41" s="73" t="s">
        <v>65</v>
      </c>
      <c r="C41" s="7">
        <v>0.24937655860349128</v>
      </c>
      <c r="D41" s="77"/>
      <c r="E41" s="77"/>
    </row>
    <row r="42" spans="2:5" x14ac:dyDescent="0.25">
      <c r="B42" s="73" t="s">
        <v>66</v>
      </c>
      <c r="C42" s="7">
        <v>0.24937655860349128</v>
      </c>
      <c r="D42" s="77"/>
      <c r="E42" s="77"/>
    </row>
    <row r="43" spans="2:5" x14ac:dyDescent="0.25">
      <c r="B43" s="73" t="s">
        <v>67</v>
      </c>
      <c r="C43" s="7">
        <v>0.24937655860349128</v>
      </c>
      <c r="D43" s="77"/>
      <c r="E43" s="77"/>
    </row>
    <row r="44" spans="2:5" x14ac:dyDescent="0.25">
      <c r="B44" s="73" t="s">
        <v>38</v>
      </c>
      <c r="C44" s="7">
        <v>3.491271820448878</v>
      </c>
      <c r="D44" s="77"/>
      <c r="E44" s="77"/>
    </row>
    <row r="45" spans="2:5" x14ac:dyDescent="0.25">
      <c r="B45" s="73" t="s">
        <v>22</v>
      </c>
      <c r="C45" s="7">
        <f>74/401*100</f>
        <v>18.453865336658353</v>
      </c>
      <c r="D45" s="77"/>
      <c r="E45" s="77"/>
    </row>
    <row r="46" spans="2:5" x14ac:dyDescent="0.25">
      <c r="B46" s="73" t="s">
        <v>5</v>
      </c>
      <c r="C46" s="7">
        <f>SUM(C29:C45)</f>
        <v>100</v>
      </c>
      <c r="D46" s="77"/>
      <c r="E46" s="77"/>
    </row>
    <row r="49" spans="2:5" x14ac:dyDescent="0.25">
      <c r="B49" s="65" t="s">
        <v>69</v>
      </c>
    </row>
    <row r="50" spans="2:5" x14ac:dyDescent="0.25">
      <c r="B50" s="8" t="s">
        <v>39</v>
      </c>
      <c r="C50" s="39" t="s">
        <v>1</v>
      </c>
      <c r="D50" s="61"/>
      <c r="E50" s="61"/>
    </row>
    <row r="51" spans="2:5" x14ac:dyDescent="0.25">
      <c r="B51" s="78" t="s">
        <v>53</v>
      </c>
      <c r="C51" s="79">
        <f>120/367*100</f>
        <v>32.697547683923709</v>
      </c>
      <c r="D51" s="61"/>
      <c r="E51" s="61"/>
    </row>
    <row r="52" spans="2:5" x14ac:dyDescent="0.25">
      <c r="B52" s="78" t="s">
        <v>54</v>
      </c>
      <c r="C52" s="79">
        <f>44/367*100</f>
        <v>11.989100817438691</v>
      </c>
      <c r="D52" s="61"/>
      <c r="E52" s="61"/>
    </row>
    <row r="53" spans="2:5" x14ac:dyDescent="0.25">
      <c r="B53" s="78" t="s">
        <v>55</v>
      </c>
      <c r="C53" s="79">
        <f>34/367*100</f>
        <v>9.2643051771117158</v>
      </c>
      <c r="D53" s="61"/>
      <c r="E53" s="61"/>
    </row>
    <row r="54" spans="2:5" x14ac:dyDescent="0.25">
      <c r="B54" s="78" t="s">
        <v>56</v>
      </c>
      <c r="C54" s="79">
        <f>31/367*100</f>
        <v>8.4468664850136239</v>
      </c>
      <c r="D54" s="61"/>
      <c r="E54" s="61"/>
    </row>
    <row r="55" spans="2:5" x14ac:dyDescent="0.25">
      <c r="B55" s="78" t="s">
        <v>57</v>
      </c>
      <c r="C55" s="79">
        <f>26/367*100</f>
        <v>7.0844686648501369</v>
      </c>
      <c r="D55" s="61"/>
      <c r="E55" s="61"/>
    </row>
    <row r="56" spans="2:5" x14ac:dyDescent="0.25">
      <c r="B56" s="78" t="s">
        <v>58</v>
      </c>
      <c r="C56" s="79">
        <f>15/367*100</f>
        <v>4.0871934604904636</v>
      </c>
      <c r="D56" s="61"/>
      <c r="E56" s="61"/>
    </row>
    <row r="57" spans="2:5" x14ac:dyDescent="0.25">
      <c r="B57" s="78" t="s">
        <v>59</v>
      </c>
      <c r="C57" s="79">
        <f>6/367*100</f>
        <v>1.6348773841961852</v>
      </c>
      <c r="D57" s="61"/>
      <c r="E57" s="61"/>
    </row>
    <row r="58" spans="2:5" x14ac:dyDescent="0.25">
      <c r="B58" s="78" t="s">
        <v>60</v>
      </c>
      <c r="C58" s="79">
        <f>5/367*100</f>
        <v>1.3623978201634876</v>
      </c>
      <c r="D58" s="61"/>
      <c r="E58" s="61"/>
    </row>
    <row r="59" spans="2:5" x14ac:dyDescent="0.25">
      <c r="B59" s="78" t="s">
        <v>61</v>
      </c>
      <c r="C59" s="79">
        <f>3/367*100</f>
        <v>0.81743869209809261</v>
      </c>
      <c r="D59" s="61"/>
      <c r="E59" s="61"/>
    </row>
    <row r="60" spans="2:5" x14ac:dyDescent="0.25">
      <c r="B60" s="78" t="s">
        <v>62</v>
      </c>
      <c r="C60" s="79">
        <f>2/367*100</f>
        <v>0.54495912806539504</v>
      </c>
      <c r="D60" s="61"/>
      <c r="E60" s="61"/>
    </row>
    <row r="61" spans="2:5" x14ac:dyDescent="0.25">
      <c r="B61" s="78" t="s">
        <v>63</v>
      </c>
      <c r="C61" s="79">
        <f>1/367*100</f>
        <v>0.27247956403269752</v>
      </c>
      <c r="D61" s="61"/>
      <c r="E61" s="61"/>
    </row>
    <row r="62" spans="2:5" x14ac:dyDescent="0.25">
      <c r="B62" s="78" t="s">
        <v>64</v>
      </c>
      <c r="C62" s="79">
        <f>1/367*100</f>
        <v>0.27247956403269752</v>
      </c>
      <c r="D62" s="61"/>
      <c r="E62" s="61"/>
    </row>
    <row r="63" spans="2:5" x14ac:dyDescent="0.25">
      <c r="B63" s="78" t="s">
        <v>65</v>
      </c>
      <c r="C63" s="79">
        <f>1/367*100</f>
        <v>0.27247956403269752</v>
      </c>
      <c r="D63" s="61"/>
      <c r="E63" s="61"/>
    </row>
    <row r="64" spans="2:5" x14ac:dyDescent="0.25">
      <c r="B64" s="78" t="s">
        <v>66</v>
      </c>
      <c r="C64" s="79">
        <f>1/367*100</f>
        <v>0.27247956403269752</v>
      </c>
      <c r="D64" s="61"/>
      <c r="E64" s="61"/>
    </row>
    <row r="65" spans="2:5" x14ac:dyDescent="0.25">
      <c r="B65" s="78" t="s">
        <v>38</v>
      </c>
      <c r="C65" s="79">
        <f>13/367*100</f>
        <v>3.5422343324250685</v>
      </c>
      <c r="D65" s="61"/>
      <c r="E65" s="61"/>
    </row>
    <row r="66" spans="2:5" x14ac:dyDescent="0.25">
      <c r="B66" s="78" t="s">
        <v>22</v>
      </c>
      <c r="C66" s="79">
        <f>64/367*100</f>
        <v>17.438692098092641</v>
      </c>
      <c r="D66" s="61"/>
      <c r="E66" s="61"/>
    </row>
    <row r="67" spans="2:5" x14ac:dyDescent="0.25">
      <c r="B67" s="80" t="s">
        <v>5</v>
      </c>
      <c r="C67" s="79">
        <f>SUM(C51:C66)</f>
        <v>100</v>
      </c>
      <c r="D67" s="61"/>
      <c r="E67" s="61"/>
    </row>
    <row r="69" spans="2:5" x14ac:dyDescent="0.25">
      <c r="B69" s="65" t="s">
        <v>72</v>
      </c>
    </row>
    <row r="70" spans="2:5" x14ac:dyDescent="0.25">
      <c r="B70" s="45" t="s">
        <v>39</v>
      </c>
      <c r="C70" s="88" t="s">
        <v>71</v>
      </c>
      <c r="D70" s="88" t="s">
        <v>70</v>
      </c>
      <c r="E70" s="88" t="s">
        <v>136</v>
      </c>
    </row>
    <row r="71" spans="2:5" x14ac:dyDescent="0.25">
      <c r="B71" s="45"/>
      <c r="C71" s="88"/>
      <c r="D71" s="88"/>
      <c r="E71" s="88"/>
    </row>
    <row r="72" spans="2:5" x14ac:dyDescent="0.25">
      <c r="B72" s="67" t="s">
        <v>206</v>
      </c>
      <c r="C72" s="79">
        <v>32.425068119891009</v>
      </c>
      <c r="D72" s="79">
        <v>47.138964577656679</v>
      </c>
      <c r="E72" s="79">
        <v>20.435967302452312</v>
      </c>
    </row>
    <row r="73" spans="2:5" x14ac:dyDescent="0.25">
      <c r="B73" s="67" t="s">
        <v>42</v>
      </c>
      <c r="C73" s="79">
        <v>50</v>
      </c>
      <c r="D73" s="79">
        <v>10</v>
      </c>
      <c r="E73" s="79">
        <v>40</v>
      </c>
    </row>
    <row r="74" spans="2:5" x14ac:dyDescent="0.25">
      <c r="B74" s="67" t="s">
        <v>207</v>
      </c>
      <c r="C74" s="79">
        <v>28.571428571428569</v>
      </c>
      <c r="D74" s="79">
        <v>14.285714285714285</v>
      </c>
      <c r="E74" s="79">
        <v>57.142857142857146</v>
      </c>
    </row>
    <row r="75" spans="2:5" x14ac:dyDescent="0.25">
      <c r="B75" s="67" t="s">
        <v>41</v>
      </c>
      <c r="C75" s="79">
        <v>0</v>
      </c>
      <c r="D75" s="79">
        <v>100</v>
      </c>
      <c r="E75" s="79">
        <v>0</v>
      </c>
    </row>
    <row r="76" spans="2:5" x14ac:dyDescent="0.25">
      <c r="B76" s="67" t="s">
        <v>208</v>
      </c>
      <c r="C76" s="79">
        <v>0</v>
      </c>
      <c r="D76" s="79">
        <v>100</v>
      </c>
      <c r="E76" s="79">
        <v>0</v>
      </c>
    </row>
    <row r="79" spans="2:5" x14ac:dyDescent="0.25">
      <c r="B79" s="65" t="s">
        <v>85</v>
      </c>
    </row>
    <row r="80" spans="2:5" x14ac:dyDescent="0.25">
      <c r="B80" s="24" t="s">
        <v>83</v>
      </c>
      <c r="C80" s="44" t="s">
        <v>1</v>
      </c>
      <c r="D80" s="61"/>
      <c r="E80" s="61"/>
    </row>
    <row r="81" spans="2:5" x14ac:dyDescent="0.25">
      <c r="B81" s="67" t="s">
        <v>73</v>
      </c>
      <c r="C81" s="79">
        <v>64.981476303648819</v>
      </c>
      <c r="D81" s="61"/>
      <c r="E81" s="61"/>
    </row>
    <row r="82" spans="2:5" x14ac:dyDescent="0.25">
      <c r="B82" s="67" t="s">
        <v>80</v>
      </c>
      <c r="C82" s="79">
        <v>9.483783028100099</v>
      </c>
      <c r="D82" s="61"/>
      <c r="E82" s="61"/>
    </row>
    <row r="83" spans="2:5" x14ac:dyDescent="0.25">
      <c r="B83" s="67" t="s">
        <v>77</v>
      </c>
      <c r="C83" s="79">
        <v>7.3762756885222993</v>
      </c>
      <c r="D83" s="61"/>
      <c r="E83" s="61"/>
    </row>
    <row r="84" spans="2:5" x14ac:dyDescent="0.25">
      <c r="B84" s="67" t="s">
        <v>74</v>
      </c>
      <c r="C84" s="79">
        <v>5.6200195722074655</v>
      </c>
      <c r="D84" s="61"/>
      <c r="E84" s="61"/>
    </row>
    <row r="85" spans="2:5" x14ac:dyDescent="0.25">
      <c r="B85" s="67" t="s">
        <v>75</v>
      </c>
      <c r="C85" s="79">
        <v>3.8637634558926326</v>
      </c>
      <c r="D85" s="61"/>
      <c r="E85" s="61"/>
    </row>
    <row r="86" spans="2:5" x14ac:dyDescent="0.25">
      <c r="B86" s="67" t="s">
        <v>76</v>
      </c>
      <c r="C86" s="79">
        <v>3.1612610093666991</v>
      </c>
      <c r="D86" s="61"/>
      <c r="E86" s="61"/>
    </row>
    <row r="87" spans="2:5" x14ac:dyDescent="0.25">
      <c r="B87" s="67" t="s">
        <v>198</v>
      </c>
      <c r="C87" s="79">
        <v>2.7173913043478262</v>
      </c>
      <c r="D87" s="61"/>
      <c r="E87" s="61"/>
    </row>
    <row r="88" spans="2:5" x14ac:dyDescent="0.25">
      <c r="B88" s="67" t="s">
        <v>78</v>
      </c>
      <c r="C88" s="79">
        <v>1.4050048930518664</v>
      </c>
      <c r="D88" s="61"/>
      <c r="E88" s="61"/>
    </row>
    <row r="89" spans="2:5" x14ac:dyDescent="0.25">
      <c r="B89" s="67" t="s">
        <v>84</v>
      </c>
      <c r="C89" s="79">
        <v>0.70250244652593319</v>
      </c>
      <c r="D89" s="61"/>
      <c r="E89" s="61"/>
    </row>
    <row r="90" spans="2:5" x14ac:dyDescent="0.25">
      <c r="B90" s="67" t="s">
        <v>197</v>
      </c>
      <c r="C90" s="79">
        <v>0.35125122326296659</v>
      </c>
      <c r="D90" s="61"/>
      <c r="E90" s="61"/>
    </row>
    <row r="91" spans="2:5" x14ac:dyDescent="0.25">
      <c r="B91" s="67" t="s">
        <v>79</v>
      </c>
      <c r="C91" s="79">
        <v>0.35125122326296659</v>
      </c>
      <c r="D91" s="61"/>
      <c r="E91" s="61"/>
    </row>
    <row r="92" spans="2:5" x14ac:dyDescent="0.25">
      <c r="B92" s="81" t="s">
        <v>5</v>
      </c>
      <c r="C92" s="79">
        <f>SUM(C81:C91)</f>
        <v>100.01398014818956</v>
      </c>
      <c r="D92" s="61"/>
      <c r="E92" s="61"/>
    </row>
    <row r="93" spans="2:5" x14ac:dyDescent="0.25">
      <c r="D93" s="61"/>
      <c r="E93" s="61"/>
    </row>
    <row r="95" spans="2:5" x14ac:dyDescent="0.25">
      <c r="C95" s="61"/>
      <c r="D95" s="61"/>
      <c r="E95" s="61"/>
    </row>
    <row r="96" spans="2:5" x14ac:dyDescent="0.25">
      <c r="C96" s="61"/>
      <c r="D96" s="61"/>
      <c r="E96" s="61"/>
    </row>
    <row r="97" spans="3:13" x14ac:dyDescent="0.25">
      <c r="C97" s="61"/>
      <c r="D97" s="61"/>
      <c r="E97" s="61"/>
    </row>
    <row r="98" spans="3:13" x14ac:dyDescent="0.25">
      <c r="C98" s="61"/>
      <c r="D98" s="61"/>
      <c r="E98" s="61"/>
    </row>
    <row r="99" spans="3:13" x14ac:dyDescent="0.25">
      <c r="C99" s="61"/>
      <c r="D99" s="61"/>
      <c r="E99" s="61"/>
    </row>
    <row r="100" spans="3:13" x14ac:dyDescent="0.25">
      <c r="C100" s="61"/>
      <c r="D100" s="61"/>
      <c r="E100" s="61"/>
    </row>
    <row r="101" spans="3:13" x14ac:dyDescent="0.25">
      <c r="C101" s="61"/>
      <c r="D101" s="61"/>
      <c r="E101" s="61"/>
    </row>
    <row r="102" spans="3:13" x14ac:dyDescent="0.25">
      <c r="C102" s="61"/>
      <c r="D102" s="61"/>
      <c r="E102" s="61"/>
    </row>
    <row r="103" spans="3:13" x14ac:dyDescent="0.25">
      <c r="C103" s="61"/>
      <c r="D103" s="61"/>
      <c r="E103" s="61"/>
    </row>
    <row r="105" spans="3:13" x14ac:dyDescent="0.25">
      <c r="L105" s="4"/>
      <c r="M105" s="60"/>
    </row>
  </sheetData>
  <sortState ref="B83:C93">
    <sortCondition descending="1" ref="C83:C93"/>
  </sortState>
  <mergeCells count="4">
    <mergeCell ref="E70:E71"/>
    <mergeCell ref="C70:C71"/>
    <mergeCell ref="D70:D71"/>
    <mergeCell ref="B70:B7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6"/>
  <sheetViews>
    <sheetView topLeftCell="A49" zoomScaleNormal="100" workbookViewId="0">
      <selection activeCell="H49" sqref="H49"/>
    </sheetView>
  </sheetViews>
  <sheetFormatPr defaultRowHeight="17.100000000000001" customHeight="1" x14ac:dyDescent="0.25"/>
  <cols>
    <col min="1" max="1" width="9.140625" style="61"/>
    <col min="2" max="2" width="7.28515625" style="61" customWidth="1"/>
    <col min="3" max="3" width="32.140625" style="61" customWidth="1"/>
    <col min="4" max="4" width="10.5703125" style="61" customWidth="1"/>
    <col min="5" max="5" width="10.5703125" style="66" customWidth="1"/>
    <col min="6" max="6" width="10.5703125" style="61" customWidth="1"/>
    <col min="7" max="7" width="13.7109375" style="61" customWidth="1"/>
    <col min="8" max="8" width="12.85546875" style="61" customWidth="1"/>
    <col min="9" max="9" width="13.140625" style="61" customWidth="1"/>
    <col min="10" max="10" width="12.85546875" style="61" customWidth="1"/>
    <col min="11" max="11" width="13.5703125" style="61" customWidth="1"/>
    <col min="12" max="16384" width="9.140625" style="61"/>
  </cols>
  <sheetData>
    <row r="3" spans="2:6" ht="17.100000000000001" customHeight="1" x14ac:dyDescent="0.25">
      <c r="B3" s="19" t="s">
        <v>112</v>
      </c>
      <c r="D3" s="15"/>
      <c r="E3" s="25"/>
      <c r="F3" s="62"/>
    </row>
    <row r="4" spans="2:6" ht="17.100000000000001" customHeight="1" x14ac:dyDescent="0.25">
      <c r="B4" s="44" t="s">
        <v>110</v>
      </c>
      <c r="C4" s="16" t="s">
        <v>111</v>
      </c>
      <c r="D4" s="26" t="s">
        <v>1</v>
      </c>
      <c r="E4" s="62"/>
    </row>
    <row r="5" spans="2:6" ht="17.100000000000001" customHeight="1" x14ac:dyDescent="0.25">
      <c r="B5" s="17">
        <v>1</v>
      </c>
      <c r="C5" s="18" t="s">
        <v>86</v>
      </c>
      <c r="D5" s="27">
        <f>80/384*100</f>
        <v>20.833333333333336</v>
      </c>
      <c r="E5" s="62"/>
    </row>
    <row r="6" spans="2:6" ht="17.100000000000001" customHeight="1" x14ac:dyDescent="0.25">
      <c r="B6" s="17">
        <v>2</v>
      </c>
      <c r="C6" s="18" t="s">
        <v>87</v>
      </c>
      <c r="D6" s="27">
        <f>42/384*100</f>
        <v>10.9375</v>
      </c>
      <c r="E6" s="62"/>
    </row>
    <row r="7" spans="2:6" ht="17.100000000000001" customHeight="1" x14ac:dyDescent="0.25">
      <c r="B7" s="17">
        <v>3</v>
      </c>
      <c r="C7" s="18" t="s">
        <v>88</v>
      </c>
      <c r="D7" s="27">
        <f>41/384*100</f>
        <v>10.677083333333332</v>
      </c>
      <c r="E7" s="62"/>
    </row>
    <row r="8" spans="2:6" ht="17.100000000000001" customHeight="1" x14ac:dyDescent="0.25">
      <c r="B8" s="17">
        <v>4</v>
      </c>
      <c r="C8" s="18" t="s">
        <v>89</v>
      </c>
      <c r="D8" s="27">
        <f>35/384*100</f>
        <v>9.1145833333333321</v>
      </c>
      <c r="E8" s="62"/>
    </row>
    <row r="9" spans="2:6" ht="17.100000000000001" customHeight="1" x14ac:dyDescent="0.25">
      <c r="B9" s="17">
        <v>5</v>
      </c>
      <c r="C9" s="18" t="s">
        <v>90</v>
      </c>
      <c r="D9" s="27">
        <f>28/384*100</f>
        <v>7.291666666666667</v>
      </c>
      <c r="E9" s="62"/>
    </row>
    <row r="10" spans="2:6" ht="17.100000000000001" customHeight="1" x14ac:dyDescent="0.25">
      <c r="B10" s="17">
        <v>6</v>
      </c>
      <c r="C10" s="18" t="s">
        <v>91</v>
      </c>
      <c r="D10" s="27">
        <f>27/384*100</f>
        <v>7.03125</v>
      </c>
      <c r="E10" s="62"/>
    </row>
    <row r="11" spans="2:6" ht="17.100000000000001" customHeight="1" x14ac:dyDescent="0.25">
      <c r="B11" s="17">
        <v>7</v>
      </c>
      <c r="C11" s="18" t="s">
        <v>92</v>
      </c>
      <c r="D11" s="27">
        <f>21/384*100</f>
        <v>5.46875</v>
      </c>
      <c r="E11" s="62"/>
    </row>
    <row r="12" spans="2:6" ht="17.100000000000001" customHeight="1" x14ac:dyDescent="0.25">
      <c r="B12" s="17">
        <v>8</v>
      </c>
      <c r="C12" s="18" t="s">
        <v>93</v>
      </c>
      <c r="D12" s="27">
        <f>19/384*100</f>
        <v>4.9479166666666661</v>
      </c>
      <c r="E12" s="62"/>
    </row>
    <row r="13" spans="2:6" ht="17.100000000000001" customHeight="1" x14ac:dyDescent="0.25">
      <c r="B13" s="17">
        <v>9</v>
      </c>
      <c r="C13" s="18" t="s">
        <v>94</v>
      </c>
      <c r="D13" s="27">
        <f>16/384*100</f>
        <v>4.1666666666666661</v>
      </c>
      <c r="E13" s="62"/>
    </row>
    <row r="14" spans="2:6" ht="17.100000000000001" customHeight="1" x14ac:dyDescent="0.25">
      <c r="B14" s="17">
        <v>10</v>
      </c>
      <c r="C14" s="18" t="s">
        <v>95</v>
      </c>
      <c r="D14" s="27">
        <f>15/384*100</f>
        <v>3.90625</v>
      </c>
      <c r="E14" s="62"/>
    </row>
    <row r="15" spans="2:6" ht="17.100000000000001" customHeight="1" x14ac:dyDescent="0.25">
      <c r="B15" s="17">
        <v>11</v>
      </c>
      <c r="C15" s="18" t="s">
        <v>96</v>
      </c>
      <c r="D15" s="27">
        <f>10/384*100</f>
        <v>2.604166666666667</v>
      </c>
      <c r="E15" s="62"/>
    </row>
    <row r="16" spans="2:6" ht="17.100000000000001" customHeight="1" x14ac:dyDescent="0.25">
      <c r="B16" s="17">
        <v>12</v>
      </c>
      <c r="C16" s="18" t="s">
        <v>97</v>
      </c>
      <c r="D16" s="27">
        <f>8/384*100</f>
        <v>2.083333333333333</v>
      </c>
      <c r="E16" s="62"/>
    </row>
    <row r="17" spans="2:6" ht="17.100000000000001" customHeight="1" x14ac:dyDescent="0.25">
      <c r="B17" s="17">
        <v>13</v>
      </c>
      <c r="C17" s="18" t="s">
        <v>98</v>
      </c>
      <c r="D17" s="27">
        <f>8/384*100</f>
        <v>2.083333333333333</v>
      </c>
      <c r="E17" s="62"/>
    </row>
    <row r="18" spans="2:6" ht="17.100000000000001" customHeight="1" x14ac:dyDescent="0.25">
      <c r="B18" s="17">
        <v>14</v>
      </c>
      <c r="C18" s="18" t="s">
        <v>99</v>
      </c>
      <c r="D18" s="27">
        <f>6/384*100</f>
        <v>1.5625</v>
      </c>
      <c r="E18" s="62"/>
    </row>
    <row r="19" spans="2:6" ht="17.100000000000001" customHeight="1" x14ac:dyDescent="0.25">
      <c r="B19" s="17">
        <v>15</v>
      </c>
      <c r="C19" s="18" t="s">
        <v>100</v>
      </c>
      <c r="D19" s="27">
        <f>6/384*100</f>
        <v>1.5625</v>
      </c>
      <c r="E19" s="62"/>
    </row>
    <row r="20" spans="2:6" ht="17.100000000000001" customHeight="1" x14ac:dyDescent="0.25">
      <c r="B20" s="17">
        <v>16</v>
      </c>
      <c r="C20" s="18" t="s">
        <v>101</v>
      </c>
      <c r="D20" s="27">
        <f>6/384*100</f>
        <v>1.5625</v>
      </c>
      <c r="E20" s="62"/>
    </row>
    <row r="21" spans="2:6" ht="17.100000000000001" customHeight="1" x14ac:dyDescent="0.25">
      <c r="B21" s="17">
        <v>17</v>
      </c>
      <c r="C21" s="18" t="s">
        <v>102</v>
      </c>
      <c r="D21" s="27">
        <f>4/384*100</f>
        <v>1.0416666666666665</v>
      </c>
      <c r="E21" s="62"/>
    </row>
    <row r="22" spans="2:6" ht="17.100000000000001" customHeight="1" x14ac:dyDescent="0.25">
      <c r="B22" s="17">
        <v>18</v>
      </c>
      <c r="C22" s="18" t="s">
        <v>103</v>
      </c>
      <c r="D22" s="27">
        <f>3/384*100</f>
        <v>0.78125</v>
      </c>
      <c r="E22" s="62"/>
    </row>
    <row r="23" spans="2:6" ht="17.100000000000001" customHeight="1" x14ac:dyDescent="0.25">
      <c r="B23" s="17">
        <v>19</v>
      </c>
      <c r="C23" s="18" t="s">
        <v>104</v>
      </c>
      <c r="D23" s="27">
        <f>2/384*100</f>
        <v>0.52083333333333326</v>
      </c>
      <c r="E23" s="62"/>
    </row>
    <row r="24" spans="2:6" ht="17.100000000000001" customHeight="1" x14ac:dyDescent="0.25">
      <c r="B24" s="17">
        <v>20</v>
      </c>
      <c r="C24" s="18" t="s">
        <v>105</v>
      </c>
      <c r="D24" s="27">
        <f>2/384*100</f>
        <v>0.52083333333333326</v>
      </c>
      <c r="E24" s="62"/>
    </row>
    <row r="25" spans="2:6" ht="17.100000000000001" customHeight="1" x14ac:dyDescent="0.25">
      <c r="B25" s="17">
        <v>21</v>
      </c>
      <c r="C25" s="18" t="s">
        <v>106</v>
      </c>
      <c r="D25" s="27">
        <f>2/384*100</f>
        <v>0.52083333333333326</v>
      </c>
      <c r="E25" s="62"/>
    </row>
    <row r="26" spans="2:6" ht="17.100000000000001" customHeight="1" x14ac:dyDescent="0.25">
      <c r="B26" s="17">
        <v>22</v>
      </c>
      <c r="C26" s="18" t="s">
        <v>107</v>
      </c>
      <c r="D26" s="27">
        <f>1/384*100</f>
        <v>0.26041666666666663</v>
      </c>
      <c r="E26" s="62"/>
    </row>
    <row r="27" spans="2:6" ht="17.100000000000001" customHeight="1" x14ac:dyDescent="0.25">
      <c r="B27" s="17">
        <v>23</v>
      </c>
      <c r="C27" s="18" t="s">
        <v>108</v>
      </c>
      <c r="D27" s="27">
        <f>1/384*100</f>
        <v>0.26041666666666663</v>
      </c>
      <c r="E27" s="62"/>
    </row>
    <row r="28" spans="2:6" ht="17.100000000000001" customHeight="1" x14ac:dyDescent="0.25">
      <c r="B28" s="17">
        <v>24</v>
      </c>
      <c r="C28" s="18" t="s">
        <v>109</v>
      </c>
      <c r="D28" s="27">
        <f>1/384*100</f>
        <v>0.26041666666666663</v>
      </c>
      <c r="E28" s="62"/>
    </row>
    <row r="29" spans="2:6" ht="17.100000000000001" customHeight="1" x14ac:dyDescent="0.25">
      <c r="B29" s="63" t="s">
        <v>5</v>
      </c>
      <c r="C29" s="63"/>
      <c r="D29" s="27">
        <f>SUM(D5:D28)</f>
        <v>100</v>
      </c>
      <c r="E29" s="62"/>
    </row>
    <row r="30" spans="2:6" ht="17.100000000000001" customHeight="1" x14ac:dyDescent="0.25">
      <c r="C30" s="62"/>
      <c r="D30" s="62"/>
      <c r="E30" s="64"/>
      <c r="F30" s="62"/>
    </row>
    <row r="31" spans="2:6" ht="17.100000000000001" customHeight="1" x14ac:dyDescent="0.25">
      <c r="B31" s="65" t="s">
        <v>113</v>
      </c>
      <c r="C31" s="15"/>
      <c r="D31" s="15"/>
      <c r="E31" s="25"/>
      <c r="F31" s="62"/>
    </row>
    <row r="32" spans="2:6" ht="17.100000000000001" customHeight="1" x14ac:dyDescent="0.25">
      <c r="B32" s="44" t="s">
        <v>110</v>
      </c>
      <c r="C32" s="16" t="s">
        <v>83</v>
      </c>
      <c r="D32" s="26" t="s">
        <v>1</v>
      </c>
      <c r="E32" s="62"/>
    </row>
    <row r="33" spans="2:6" ht="17.100000000000001" customHeight="1" x14ac:dyDescent="0.25">
      <c r="B33" s="17">
        <v>1</v>
      </c>
      <c r="C33" s="18" t="s">
        <v>73</v>
      </c>
      <c r="D33" s="27">
        <f>227/401*100</f>
        <v>56.608478802992522</v>
      </c>
      <c r="E33" s="62"/>
    </row>
    <row r="34" spans="2:6" ht="17.100000000000001" customHeight="1" x14ac:dyDescent="0.25">
      <c r="B34" s="17">
        <v>2</v>
      </c>
      <c r="C34" s="18" t="s">
        <v>74</v>
      </c>
      <c r="D34" s="27">
        <f>56/401*100</f>
        <v>13.96508728179551</v>
      </c>
      <c r="E34" s="62"/>
    </row>
    <row r="35" spans="2:6" ht="17.100000000000001" customHeight="1" x14ac:dyDescent="0.25">
      <c r="B35" s="17">
        <v>3</v>
      </c>
      <c r="C35" s="18" t="s">
        <v>75</v>
      </c>
      <c r="D35" s="27">
        <f>40/401*100</f>
        <v>9.9750623441396513</v>
      </c>
      <c r="E35" s="62"/>
    </row>
    <row r="36" spans="2:6" ht="17.100000000000001" customHeight="1" x14ac:dyDescent="0.25">
      <c r="B36" s="17">
        <v>4</v>
      </c>
      <c r="C36" s="18" t="s">
        <v>76</v>
      </c>
      <c r="D36" s="27">
        <f>27/401*100</f>
        <v>6.7331670822942637</v>
      </c>
      <c r="E36" s="62"/>
    </row>
    <row r="37" spans="2:6" ht="17.100000000000001" customHeight="1" x14ac:dyDescent="0.25">
      <c r="B37" s="17">
        <v>5</v>
      </c>
      <c r="C37" s="18" t="s">
        <v>77</v>
      </c>
      <c r="D37" s="27">
        <f>24/401*100</f>
        <v>5.9850374064837908</v>
      </c>
      <c r="E37" s="62"/>
    </row>
    <row r="38" spans="2:6" ht="17.100000000000001" customHeight="1" x14ac:dyDescent="0.25">
      <c r="B38" s="17">
        <v>6</v>
      </c>
      <c r="C38" s="18" t="s">
        <v>78</v>
      </c>
      <c r="D38" s="27">
        <f>9/401*100</f>
        <v>2.2443890274314215</v>
      </c>
      <c r="E38" s="62"/>
    </row>
    <row r="39" spans="2:6" ht="17.100000000000001" customHeight="1" x14ac:dyDescent="0.25">
      <c r="B39" s="17">
        <v>7</v>
      </c>
      <c r="C39" s="18" t="s">
        <v>79</v>
      </c>
      <c r="D39" s="27">
        <f>7/401*100</f>
        <v>1.7456359102244388</v>
      </c>
      <c r="E39" s="62"/>
    </row>
    <row r="40" spans="2:6" ht="17.100000000000001" customHeight="1" x14ac:dyDescent="0.25">
      <c r="B40" s="17">
        <v>8</v>
      </c>
      <c r="C40" s="18" t="s">
        <v>80</v>
      </c>
      <c r="D40" s="27">
        <f>4/401*100</f>
        <v>0.99750623441396502</v>
      </c>
      <c r="E40" s="62"/>
    </row>
    <row r="41" spans="2:6" ht="17.100000000000001" customHeight="1" x14ac:dyDescent="0.25">
      <c r="B41" s="17">
        <v>9</v>
      </c>
      <c r="C41" s="18" t="s">
        <v>81</v>
      </c>
      <c r="D41" s="27">
        <f>3/401*100</f>
        <v>0.74812967581047385</v>
      </c>
      <c r="E41" s="62"/>
    </row>
    <row r="42" spans="2:6" ht="17.100000000000001" customHeight="1" x14ac:dyDescent="0.25">
      <c r="B42" s="17">
        <v>10</v>
      </c>
      <c r="C42" s="18" t="s">
        <v>82</v>
      </c>
      <c r="D42" s="27">
        <f>2/401*100</f>
        <v>0.49875311720698251</v>
      </c>
      <c r="E42" s="62"/>
    </row>
    <row r="43" spans="2:6" ht="17.100000000000001" customHeight="1" x14ac:dyDescent="0.25">
      <c r="B43" s="17">
        <v>11</v>
      </c>
      <c r="C43" s="18" t="s">
        <v>84</v>
      </c>
      <c r="D43" s="27">
        <f>2/401*100</f>
        <v>0.49875311720698251</v>
      </c>
      <c r="E43" s="62"/>
    </row>
    <row r="44" spans="2:6" ht="17.100000000000001" customHeight="1" x14ac:dyDescent="0.25">
      <c r="B44" s="48" t="s">
        <v>5</v>
      </c>
      <c r="C44" s="49"/>
      <c r="D44" s="27">
        <f>SUM(D33:D43)</f>
        <v>100</v>
      </c>
      <c r="E44" s="62"/>
    </row>
    <row r="45" spans="2:6" ht="17.100000000000001" customHeight="1" x14ac:dyDescent="0.25">
      <c r="F45" s="62"/>
    </row>
    <row r="47" spans="2:6" ht="17.100000000000001" customHeight="1" x14ac:dyDescent="0.25">
      <c r="B47" s="65" t="s">
        <v>125</v>
      </c>
      <c r="C47" s="65"/>
    </row>
    <row r="48" spans="2:6" ht="17.100000000000001" customHeight="1" x14ac:dyDescent="0.25">
      <c r="B48" s="54" t="s">
        <v>110</v>
      </c>
      <c r="C48" s="52" t="s">
        <v>83</v>
      </c>
      <c r="D48" s="46" t="s">
        <v>118</v>
      </c>
      <c r="E48" s="50" t="s">
        <v>119</v>
      </c>
      <c r="F48" s="51"/>
    </row>
    <row r="49" spans="2:6" ht="17.100000000000001" customHeight="1" x14ac:dyDescent="0.25">
      <c r="B49" s="54"/>
      <c r="C49" s="53"/>
      <c r="D49" s="47"/>
      <c r="E49" s="40" t="s">
        <v>116</v>
      </c>
      <c r="F49" s="39" t="s">
        <v>117</v>
      </c>
    </row>
    <row r="50" spans="2:6" ht="17.100000000000001" customHeight="1" x14ac:dyDescent="0.25">
      <c r="B50" s="17">
        <v>1</v>
      </c>
      <c r="C50" s="20" t="s">
        <v>121</v>
      </c>
      <c r="D50" s="35">
        <v>9.4763092269326688</v>
      </c>
      <c r="E50" s="36">
        <v>15.211970074812967</v>
      </c>
      <c r="F50" s="36">
        <v>4.7381546134663344</v>
      </c>
    </row>
    <row r="51" spans="2:6" ht="17.100000000000001" customHeight="1" x14ac:dyDescent="0.25">
      <c r="B51" s="17">
        <v>2</v>
      </c>
      <c r="C51" s="20" t="s">
        <v>73</v>
      </c>
      <c r="D51" s="35">
        <v>50.374064837905237</v>
      </c>
      <c r="E51" s="36">
        <v>62.094763092269325</v>
      </c>
      <c r="F51" s="37">
        <v>0.99750623441396513</v>
      </c>
    </row>
    <row r="52" spans="2:6" ht="17.100000000000001" customHeight="1" x14ac:dyDescent="0.25">
      <c r="B52" s="17">
        <v>3</v>
      </c>
      <c r="C52" s="20" t="s">
        <v>78</v>
      </c>
      <c r="D52" s="35">
        <v>6.2344139650872821</v>
      </c>
      <c r="E52" s="36">
        <v>7.2319201995012472</v>
      </c>
      <c r="F52" s="36">
        <v>8.9775561097256862</v>
      </c>
    </row>
    <row r="53" spans="2:6" ht="17.100000000000001" customHeight="1" x14ac:dyDescent="0.25">
      <c r="B53" s="17">
        <v>4</v>
      </c>
      <c r="C53" s="20" t="s">
        <v>75</v>
      </c>
      <c r="D53" s="35">
        <v>17.456359102244388</v>
      </c>
      <c r="E53" s="36">
        <v>28.428927680798004</v>
      </c>
      <c r="F53" s="36">
        <v>5.2369077306733169</v>
      </c>
    </row>
    <row r="54" spans="2:6" ht="17.100000000000001" customHeight="1" x14ac:dyDescent="0.25">
      <c r="B54" s="17">
        <v>5</v>
      </c>
      <c r="C54" s="20" t="s">
        <v>120</v>
      </c>
      <c r="D54" s="35">
        <v>19.201995012468828</v>
      </c>
      <c r="E54" s="36">
        <v>28.179551122194514</v>
      </c>
      <c r="F54" s="36">
        <v>6.9825436408977559</v>
      </c>
    </row>
    <row r="55" spans="2:6" ht="17.100000000000001" customHeight="1" x14ac:dyDescent="0.25">
      <c r="B55" s="17">
        <v>6</v>
      </c>
      <c r="C55" s="20" t="s">
        <v>122</v>
      </c>
      <c r="D55" s="35">
        <v>10.972568578553616</v>
      </c>
      <c r="E55" s="36">
        <v>20.947630922693268</v>
      </c>
      <c r="F55" s="36">
        <v>2.7431421446384041</v>
      </c>
    </row>
    <row r="56" spans="2:6" ht="17.100000000000001" customHeight="1" x14ac:dyDescent="0.25">
      <c r="B56" s="17">
        <v>7</v>
      </c>
      <c r="C56" s="20" t="s">
        <v>123</v>
      </c>
      <c r="D56" s="35">
        <v>13.466334164588529</v>
      </c>
      <c r="E56" s="36">
        <v>20.199501246882793</v>
      </c>
      <c r="F56" s="36">
        <v>3.2418952618453867</v>
      </c>
    </row>
    <row r="57" spans="2:6" ht="17.100000000000001" customHeight="1" x14ac:dyDescent="0.25">
      <c r="B57" s="17">
        <v>8</v>
      </c>
      <c r="C57" s="20" t="s">
        <v>81</v>
      </c>
      <c r="D57" s="35">
        <v>6.2344139650872821</v>
      </c>
      <c r="E57" s="36">
        <v>8.4788029925187036</v>
      </c>
      <c r="F57" s="36">
        <v>5.4862842892768082</v>
      </c>
    </row>
    <row r="58" spans="2:6" ht="17.100000000000001" customHeight="1" x14ac:dyDescent="0.25">
      <c r="B58" s="17">
        <v>9</v>
      </c>
      <c r="C58" s="20" t="s">
        <v>80</v>
      </c>
      <c r="D58" s="35">
        <v>32.169576059850371</v>
      </c>
      <c r="E58" s="36">
        <v>40.149625935162092</v>
      </c>
      <c r="F58" s="37">
        <v>0.99750623441396513</v>
      </c>
    </row>
    <row r="59" spans="2:6" ht="17.100000000000001" customHeight="1" x14ac:dyDescent="0.25">
      <c r="B59" s="17">
        <v>10</v>
      </c>
      <c r="C59" s="20" t="s">
        <v>124</v>
      </c>
      <c r="D59" s="35">
        <v>6.4837905236907734</v>
      </c>
      <c r="E59" s="36">
        <v>7.2319201995012472</v>
      </c>
      <c r="F59" s="36">
        <v>4.2394014962593518</v>
      </c>
    </row>
    <row r="60" spans="2:6" ht="17.100000000000001" customHeight="1" x14ac:dyDescent="0.25">
      <c r="B60" s="17">
        <v>11</v>
      </c>
      <c r="C60" s="20" t="s">
        <v>114</v>
      </c>
      <c r="D60" s="35">
        <v>2.7431421446384041</v>
      </c>
      <c r="E60" s="36">
        <v>3.491271820448878</v>
      </c>
      <c r="F60" s="36">
        <v>6.2344139650872821</v>
      </c>
    </row>
    <row r="61" spans="2:6" ht="17.100000000000001" customHeight="1" x14ac:dyDescent="0.25">
      <c r="B61" s="17">
        <v>12</v>
      </c>
      <c r="C61" s="20" t="s">
        <v>115</v>
      </c>
      <c r="D61" s="35">
        <v>2.7431421446384041</v>
      </c>
      <c r="E61" s="36">
        <v>2.4937655860349128</v>
      </c>
      <c r="F61" s="36">
        <v>6.7331670822942646</v>
      </c>
    </row>
    <row r="64" spans="2:6" ht="17.100000000000001" customHeight="1" x14ac:dyDescent="0.25">
      <c r="C64" s="65" t="s">
        <v>126</v>
      </c>
    </row>
    <row r="65" spans="3:5" ht="17.100000000000001" customHeight="1" x14ac:dyDescent="0.25">
      <c r="C65" s="24" t="s">
        <v>39</v>
      </c>
      <c r="D65" s="10" t="s">
        <v>1</v>
      </c>
      <c r="E65" s="61"/>
    </row>
    <row r="66" spans="3:5" ht="17.100000000000001" customHeight="1" x14ac:dyDescent="0.25">
      <c r="C66" s="67" t="s">
        <v>127</v>
      </c>
      <c r="D66" s="21">
        <f>277/398*100</f>
        <v>69.597989949748737</v>
      </c>
      <c r="E66" s="61"/>
    </row>
    <row r="67" spans="3:5" ht="17.100000000000001" customHeight="1" x14ac:dyDescent="0.25">
      <c r="C67" s="67" t="s">
        <v>128</v>
      </c>
      <c r="D67" s="21">
        <f>121/398*100</f>
        <v>30.402010050251256</v>
      </c>
      <c r="E67" s="61"/>
    </row>
    <row r="68" spans="3:5" ht="17.100000000000001" customHeight="1" x14ac:dyDescent="0.25">
      <c r="D68" s="68"/>
      <c r="E68" s="60"/>
    </row>
    <row r="70" spans="3:5" ht="17.100000000000001" customHeight="1" x14ac:dyDescent="0.25">
      <c r="C70" s="65" t="s">
        <v>134</v>
      </c>
    </row>
    <row r="71" spans="3:5" ht="17.100000000000001" customHeight="1" x14ac:dyDescent="0.25">
      <c r="C71" s="42" t="s">
        <v>132</v>
      </c>
      <c r="D71" s="39" t="s">
        <v>1</v>
      </c>
      <c r="E71" s="61"/>
    </row>
    <row r="72" spans="3:5" ht="17.100000000000001" customHeight="1" x14ac:dyDescent="0.25">
      <c r="C72" s="22" t="s">
        <v>129</v>
      </c>
      <c r="D72" s="30">
        <v>89.276807980049881</v>
      </c>
      <c r="E72" s="61"/>
    </row>
    <row r="73" spans="3:5" ht="17.100000000000001" customHeight="1" x14ac:dyDescent="0.25">
      <c r="C73" s="22" t="s">
        <v>133</v>
      </c>
      <c r="D73" s="30">
        <v>88.778054862842893</v>
      </c>
      <c r="E73" s="61"/>
    </row>
    <row r="74" spans="3:5" ht="17.100000000000001" customHeight="1" x14ac:dyDescent="0.25">
      <c r="C74" s="22" t="s">
        <v>130</v>
      </c>
      <c r="D74" s="30">
        <v>80.299251870324184</v>
      </c>
      <c r="E74" s="61"/>
    </row>
    <row r="75" spans="3:5" ht="17.100000000000001" customHeight="1" x14ac:dyDescent="0.25">
      <c r="C75" s="22" t="s">
        <v>131</v>
      </c>
      <c r="D75" s="30">
        <v>78.304239401496261</v>
      </c>
      <c r="E75" s="61"/>
    </row>
    <row r="78" spans="3:5" ht="17.100000000000001" customHeight="1" x14ac:dyDescent="0.25">
      <c r="C78" s="23" t="s">
        <v>209</v>
      </c>
    </row>
    <row r="79" spans="3:5" ht="17.100000000000001" customHeight="1" x14ac:dyDescent="0.25">
      <c r="C79" s="43" t="s">
        <v>135</v>
      </c>
      <c r="D79" s="42" t="s">
        <v>1</v>
      </c>
      <c r="E79" s="61"/>
    </row>
    <row r="80" spans="3:5" ht="17.100000000000001" customHeight="1" x14ac:dyDescent="0.25">
      <c r="C80" s="67" t="s">
        <v>210</v>
      </c>
      <c r="D80" s="21">
        <v>33.299999999999997</v>
      </c>
      <c r="E80" s="69"/>
    </row>
    <row r="81" spans="3:5" ht="17.100000000000001" customHeight="1" x14ac:dyDescent="0.25">
      <c r="C81" s="67" t="s">
        <v>70</v>
      </c>
      <c r="D81" s="21">
        <v>44.8</v>
      </c>
      <c r="E81" s="69"/>
    </row>
    <row r="82" spans="3:5" ht="17.100000000000001" customHeight="1" x14ac:dyDescent="0.25">
      <c r="C82" s="67" t="s">
        <v>136</v>
      </c>
      <c r="D82" s="21">
        <v>21.9</v>
      </c>
      <c r="E82" s="69"/>
    </row>
    <row r="83" spans="3:5" ht="17.100000000000001" customHeight="1" x14ac:dyDescent="0.25">
      <c r="C83" s="67" t="s">
        <v>5</v>
      </c>
      <c r="D83" s="21">
        <f>SUM(D80:D82)</f>
        <v>100</v>
      </c>
      <c r="E83" s="69"/>
    </row>
    <row r="86" spans="3:5" ht="17.100000000000001" customHeight="1" x14ac:dyDescent="0.25">
      <c r="C86" s="65" t="s">
        <v>162</v>
      </c>
    </row>
    <row r="87" spans="3:5" ht="17.100000000000001" customHeight="1" x14ac:dyDescent="0.25">
      <c r="C87" s="24" t="s">
        <v>39</v>
      </c>
      <c r="D87" s="10" t="s">
        <v>1</v>
      </c>
      <c r="E87" s="61"/>
    </row>
    <row r="88" spans="3:5" ht="17.100000000000001" customHeight="1" x14ac:dyDescent="0.25">
      <c r="C88" s="67" t="s">
        <v>137</v>
      </c>
      <c r="D88" s="21">
        <f>59/139*100</f>
        <v>42.446043165467628</v>
      </c>
      <c r="E88" s="61"/>
    </row>
    <row r="89" spans="3:5" ht="17.100000000000001" customHeight="1" x14ac:dyDescent="0.25">
      <c r="C89" s="67" t="s">
        <v>138</v>
      </c>
      <c r="D89" s="21">
        <f>34/139*100</f>
        <v>24.46043165467626</v>
      </c>
      <c r="E89" s="61"/>
    </row>
    <row r="90" spans="3:5" ht="17.100000000000001" customHeight="1" x14ac:dyDescent="0.25">
      <c r="C90" s="67" t="s">
        <v>139</v>
      </c>
      <c r="D90" s="21">
        <f>20/139*100</f>
        <v>14.388489208633093</v>
      </c>
      <c r="E90" s="61"/>
    </row>
    <row r="91" spans="3:5" ht="17.100000000000001" customHeight="1" x14ac:dyDescent="0.25">
      <c r="C91" s="67" t="s">
        <v>140</v>
      </c>
      <c r="D91" s="21">
        <f>9/139*100</f>
        <v>6.4748201438848918</v>
      </c>
      <c r="E91" s="61"/>
    </row>
    <row r="92" spans="3:5" ht="17.100000000000001" customHeight="1" x14ac:dyDescent="0.25">
      <c r="C92" s="67" t="s">
        <v>141</v>
      </c>
      <c r="D92" s="21">
        <f>6/139*100</f>
        <v>4.3165467625899279</v>
      </c>
      <c r="E92" s="61"/>
    </row>
    <row r="93" spans="3:5" ht="17.100000000000001" customHeight="1" x14ac:dyDescent="0.25">
      <c r="C93" s="67" t="s">
        <v>142</v>
      </c>
      <c r="D93" s="21">
        <f>3/139*100</f>
        <v>2.1582733812949639</v>
      </c>
      <c r="E93" s="61"/>
    </row>
    <row r="94" spans="3:5" ht="17.100000000000001" customHeight="1" x14ac:dyDescent="0.25">
      <c r="C94" s="67" t="s">
        <v>143</v>
      </c>
      <c r="D94" s="21">
        <f>3/139*100</f>
        <v>2.1582733812949639</v>
      </c>
      <c r="E94" s="61"/>
    </row>
    <row r="95" spans="3:5" ht="17.100000000000001" customHeight="1" x14ac:dyDescent="0.25">
      <c r="C95" s="67" t="s">
        <v>144</v>
      </c>
      <c r="D95" s="21">
        <f>2/139*100</f>
        <v>1.4388489208633095</v>
      </c>
      <c r="E95" s="61"/>
    </row>
    <row r="96" spans="3:5" ht="17.100000000000001" customHeight="1" x14ac:dyDescent="0.25">
      <c r="C96" s="67" t="s">
        <v>38</v>
      </c>
      <c r="D96" s="21">
        <f>3/139*100</f>
        <v>2.1582733812949639</v>
      </c>
      <c r="E96" s="61"/>
    </row>
    <row r="97" spans="3:5" ht="17.100000000000001" customHeight="1" x14ac:dyDescent="0.25">
      <c r="D97" s="60">
        <f>SUM(D88:D96)</f>
        <v>99.999999999999986</v>
      </c>
    </row>
    <row r="99" spans="3:5" ht="17.100000000000001" customHeight="1" x14ac:dyDescent="0.25">
      <c r="C99" s="65" t="s">
        <v>163</v>
      </c>
    </row>
    <row r="100" spans="3:5" ht="17.100000000000001" customHeight="1" x14ac:dyDescent="0.25">
      <c r="C100" s="24" t="s">
        <v>39</v>
      </c>
      <c r="D100" s="10" t="s">
        <v>1</v>
      </c>
      <c r="E100" s="61"/>
    </row>
    <row r="101" spans="3:5" ht="17.100000000000001" customHeight="1" x14ac:dyDescent="0.25">
      <c r="C101" s="67" t="s">
        <v>145</v>
      </c>
      <c r="D101" s="21">
        <v>50.681629260182874</v>
      </c>
      <c r="E101" s="61"/>
    </row>
    <row r="102" spans="3:5" ht="17.100000000000001" customHeight="1" x14ac:dyDescent="0.25">
      <c r="C102" s="67" t="s">
        <v>146</v>
      </c>
      <c r="D102" s="21">
        <v>9.4679966749792204</v>
      </c>
      <c r="E102" s="61"/>
    </row>
    <row r="103" spans="3:5" ht="17.100000000000001" customHeight="1" x14ac:dyDescent="0.25">
      <c r="C103" s="67" t="s">
        <v>147</v>
      </c>
      <c r="D103" s="21">
        <v>7.2402327514546965</v>
      </c>
      <c r="E103" s="61"/>
    </row>
    <row r="104" spans="3:5" ht="17.100000000000001" customHeight="1" x14ac:dyDescent="0.25">
      <c r="C104" s="67" t="s">
        <v>148</v>
      </c>
      <c r="D104" s="21">
        <v>5.5694098088113053</v>
      </c>
      <c r="E104" s="61"/>
    </row>
    <row r="105" spans="3:5" ht="17.100000000000001" customHeight="1" x14ac:dyDescent="0.25">
      <c r="C105" s="67" t="s">
        <v>149</v>
      </c>
      <c r="D105" s="21">
        <v>3.8985868661679142</v>
      </c>
      <c r="E105" s="61"/>
    </row>
    <row r="106" spans="3:5" ht="17.100000000000001" customHeight="1" x14ac:dyDescent="0.25">
      <c r="C106" s="67" t="s">
        <v>150</v>
      </c>
      <c r="D106" s="21">
        <v>2.7847049044056527</v>
      </c>
      <c r="E106" s="61"/>
    </row>
    <row r="107" spans="3:5" ht="17.100000000000001" customHeight="1" x14ac:dyDescent="0.25">
      <c r="C107" s="67" t="s">
        <v>151</v>
      </c>
      <c r="D107" s="21">
        <v>2.2277639235245221</v>
      </c>
      <c r="E107" s="61"/>
    </row>
    <row r="108" spans="3:5" ht="17.100000000000001" customHeight="1" x14ac:dyDescent="0.25">
      <c r="C108" s="67" t="s">
        <v>141</v>
      </c>
      <c r="D108" s="21">
        <v>1.6708229426433918</v>
      </c>
      <c r="E108" s="61"/>
    </row>
    <row r="109" spans="3:5" ht="17.100000000000001" customHeight="1" x14ac:dyDescent="0.25">
      <c r="C109" s="67" t="s">
        <v>152</v>
      </c>
      <c r="D109" s="21">
        <v>1.1111111111111112</v>
      </c>
      <c r="E109" s="61"/>
    </row>
    <row r="110" spans="3:5" ht="17.100000000000001" customHeight="1" x14ac:dyDescent="0.25">
      <c r="C110" s="67" t="s">
        <v>21</v>
      </c>
      <c r="D110" s="21">
        <v>15.594347464671657</v>
      </c>
      <c r="E110" s="61"/>
    </row>
    <row r="111" spans="3:5" ht="17.100000000000001" customHeight="1" x14ac:dyDescent="0.25">
      <c r="C111" s="67" t="s">
        <v>5</v>
      </c>
      <c r="D111" s="21">
        <v>100</v>
      </c>
      <c r="E111" s="61"/>
    </row>
    <row r="112" spans="3:5" ht="17.100000000000001" customHeight="1" x14ac:dyDescent="0.25">
      <c r="E112" s="61"/>
    </row>
    <row r="113" spans="3:5" ht="17.100000000000001" customHeight="1" x14ac:dyDescent="0.25">
      <c r="E113" s="61"/>
    </row>
    <row r="114" spans="3:5" ht="17.100000000000001" customHeight="1" x14ac:dyDescent="0.25">
      <c r="C114" s="65" t="s">
        <v>164</v>
      </c>
    </row>
    <row r="115" spans="3:5" ht="17.100000000000001" customHeight="1" x14ac:dyDescent="0.25">
      <c r="C115" s="24" t="s">
        <v>39</v>
      </c>
      <c r="D115" s="38" t="s">
        <v>1</v>
      </c>
      <c r="E115" s="61"/>
    </row>
    <row r="116" spans="3:5" ht="17.100000000000001" customHeight="1" x14ac:dyDescent="0.25">
      <c r="C116" s="67" t="s">
        <v>153</v>
      </c>
      <c r="D116" s="14">
        <f>153/344*100</f>
        <v>44.47674418604651</v>
      </c>
      <c r="E116" s="61"/>
    </row>
    <row r="117" spans="3:5" ht="17.100000000000001" customHeight="1" x14ac:dyDescent="0.25">
      <c r="C117" s="67" t="s">
        <v>154</v>
      </c>
      <c r="D117" s="14">
        <f>64/344*100</f>
        <v>18.604651162790699</v>
      </c>
      <c r="E117" s="61"/>
    </row>
    <row r="118" spans="3:5" ht="17.100000000000001" customHeight="1" x14ac:dyDescent="0.25">
      <c r="C118" s="67" t="s">
        <v>155</v>
      </c>
      <c r="D118" s="14">
        <f>60/344*100</f>
        <v>17.441860465116278</v>
      </c>
      <c r="E118" s="61"/>
    </row>
    <row r="119" spans="3:5" ht="17.100000000000001" customHeight="1" x14ac:dyDescent="0.25">
      <c r="C119" s="67" t="s">
        <v>156</v>
      </c>
      <c r="D119" s="14">
        <f>45/344*100</f>
        <v>13.08139534883721</v>
      </c>
      <c r="E119" s="61"/>
    </row>
    <row r="120" spans="3:5" ht="17.100000000000001" customHeight="1" x14ac:dyDescent="0.25">
      <c r="C120" s="67" t="s">
        <v>157</v>
      </c>
      <c r="D120" s="14">
        <f>8/344*100</f>
        <v>2.3255813953488373</v>
      </c>
      <c r="E120" s="61"/>
    </row>
    <row r="121" spans="3:5" ht="17.100000000000001" customHeight="1" x14ac:dyDescent="0.25">
      <c r="C121" s="67" t="s">
        <v>158</v>
      </c>
      <c r="D121" s="14">
        <f>4/344*100</f>
        <v>1.1627906976744187</v>
      </c>
      <c r="E121" s="61"/>
    </row>
    <row r="122" spans="3:5" ht="17.100000000000001" customHeight="1" x14ac:dyDescent="0.25">
      <c r="C122" s="67" t="s">
        <v>159</v>
      </c>
      <c r="D122" s="14">
        <f>4/344*100</f>
        <v>1.1627906976744187</v>
      </c>
      <c r="E122" s="61"/>
    </row>
    <row r="123" spans="3:5" ht="17.100000000000001" customHeight="1" x14ac:dyDescent="0.25">
      <c r="C123" s="67" t="s">
        <v>160</v>
      </c>
      <c r="D123" s="14">
        <f>3/344*100</f>
        <v>0.87209302325581395</v>
      </c>
      <c r="E123" s="61"/>
    </row>
    <row r="124" spans="3:5" ht="17.100000000000001" customHeight="1" x14ac:dyDescent="0.25">
      <c r="C124" s="67" t="s">
        <v>161</v>
      </c>
      <c r="D124" s="14">
        <f>2/344*100</f>
        <v>0.58139534883720934</v>
      </c>
      <c r="E124" s="61"/>
    </row>
    <row r="125" spans="3:5" ht="17.100000000000001" customHeight="1" x14ac:dyDescent="0.25">
      <c r="C125" s="67" t="s">
        <v>21</v>
      </c>
      <c r="D125" s="14">
        <f>1/344*100</f>
        <v>0.29069767441860467</v>
      </c>
      <c r="E125" s="61"/>
    </row>
    <row r="126" spans="3:5" ht="17.100000000000001" customHeight="1" x14ac:dyDescent="0.25">
      <c r="D126" s="60">
        <f>SUM(D116:D125)</f>
        <v>100</v>
      </c>
    </row>
  </sheetData>
  <mergeCells count="6">
    <mergeCell ref="D48:D49"/>
    <mergeCell ref="B29:C29"/>
    <mergeCell ref="B44:C44"/>
    <mergeCell ref="E48:F48"/>
    <mergeCell ref="C48:C49"/>
    <mergeCell ref="B48:B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6"/>
  <sheetViews>
    <sheetView topLeftCell="A55" workbookViewId="0">
      <selection activeCell="E13" sqref="E13"/>
    </sheetView>
  </sheetViews>
  <sheetFormatPr defaultRowHeight="15" x14ac:dyDescent="0.25"/>
  <cols>
    <col min="2" max="2" width="41.42578125" customWidth="1"/>
    <col min="3" max="3" width="10.28515625" style="28" customWidth="1"/>
    <col min="4" max="4" width="13.7109375" customWidth="1"/>
    <col min="5" max="5" width="10" bestFit="1" customWidth="1"/>
    <col min="7" max="7" width="10" bestFit="1" customWidth="1"/>
    <col min="9" max="9" width="10" bestFit="1" customWidth="1"/>
    <col min="11" max="11" width="10" bestFit="1" customWidth="1"/>
    <col min="13" max="13" width="10" bestFit="1" customWidth="1"/>
    <col min="15" max="15" width="10" bestFit="1" customWidth="1"/>
    <col min="17" max="17" width="10" bestFit="1" customWidth="1"/>
    <col min="19" max="19" width="10" bestFit="1" customWidth="1"/>
    <col min="21" max="21" width="10" bestFit="1" customWidth="1"/>
    <col min="23" max="23" width="10" bestFit="1" customWidth="1"/>
    <col min="25" max="25" width="10" bestFit="1" customWidth="1"/>
    <col min="27" max="27" width="10" bestFit="1" customWidth="1"/>
    <col min="29" max="29" width="10" bestFit="1" customWidth="1"/>
    <col min="31" max="31" width="10" bestFit="1" customWidth="1"/>
    <col min="33" max="33" width="10" bestFit="1" customWidth="1"/>
    <col min="35" max="35" width="10" bestFit="1" customWidth="1"/>
    <col min="37" max="37" width="10" bestFit="1" customWidth="1"/>
    <col min="39" max="39" width="10" bestFit="1" customWidth="1"/>
  </cols>
  <sheetData>
    <row r="2" spans="2:4" x14ac:dyDescent="0.25">
      <c r="B2" s="31" t="s">
        <v>192</v>
      </c>
      <c r="C2" s="85"/>
      <c r="D2" s="12"/>
    </row>
    <row r="3" spans="2:4" x14ac:dyDescent="0.25">
      <c r="B3" s="13" t="s">
        <v>39</v>
      </c>
      <c r="C3" s="29" t="s">
        <v>1</v>
      </c>
    </row>
    <row r="4" spans="2:4" x14ac:dyDescent="0.25">
      <c r="B4" s="11" t="s">
        <v>165</v>
      </c>
      <c r="C4" s="21">
        <f>237/395*100</f>
        <v>60</v>
      </c>
    </row>
    <row r="5" spans="2:4" x14ac:dyDescent="0.25">
      <c r="B5" s="11" t="s">
        <v>166</v>
      </c>
      <c r="C5" s="21">
        <f>76/395*100</f>
        <v>19.240506329113924</v>
      </c>
    </row>
    <row r="6" spans="2:4" x14ac:dyDescent="0.25">
      <c r="B6" s="11" t="s">
        <v>167</v>
      </c>
      <c r="C6" s="21">
        <f>34/395*100</f>
        <v>8.6075949367088604</v>
      </c>
    </row>
    <row r="7" spans="2:4" x14ac:dyDescent="0.25">
      <c r="B7" s="11" t="s">
        <v>168</v>
      </c>
      <c r="C7" s="21">
        <f>23/395*100</f>
        <v>5.8227848101265822</v>
      </c>
    </row>
    <row r="8" spans="2:4" x14ac:dyDescent="0.25">
      <c r="B8" s="11" t="s">
        <v>169</v>
      </c>
      <c r="C8" s="21">
        <f>12/395*100</f>
        <v>3.0379746835443036</v>
      </c>
    </row>
    <row r="9" spans="2:4" x14ac:dyDescent="0.25">
      <c r="B9" s="11" t="s">
        <v>170</v>
      </c>
      <c r="C9" s="21">
        <f>9/395*100</f>
        <v>2.278481012658228</v>
      </c>
    </row>
    <row r="10" spans="2:4" x14ac:dyDescent="0.25">
      <c r="B10" s="11" t="s">
        <v>21</v>
      </c>
      <c r="C10" s="21">
        <f>4/395*100</f>
        <v>1.0126582278481013</v>
      </c>
    </row>
    <row r="11" spans="2:4" x14ac:dyDescent="0.25">
      <c r="B11" s="11" t="s">
        <v>5</v>
      </c>
      <c r="C11" s="21">
        <f>395/395*100</f>
        <v>100</v>
      </c>
    </row>
    <row r="12" spans="2:4" x14ac:dyDescent="0.25">
      <c r="B12" s="9"/>
      <c r="C12" s="86"/>
      <c r="D12" s="9"/>
    </row>
    <row r="13" spans="2:4" x14ac:dyDescent="0.25">
      <c r="B13" s="12" t="s">
        <v>212</v>
      </c>
      <c r="C13" s="85"/>
      <c r="D13" s="12"/>
    </row>
    <row r="14" spans="2:4" x14ac:dyDescent="0.25">
      <c r="B14" s="24" t="s">
        <v>39</v>
      </c>
      <c r="C14" s="10" t="s">
        <v>1</v>
      </c>
    </row>
    <row r="15" spans="2:4" x14ac:dyDescent="0.25">
      <c r="B15" s="67" t="s">
        <v>171</v>
      </c>
      <c r="C15" s="21">
        <v>52.119700748129674</v>
      </c>
    </row>
    <row r="16" spans="2:4" x14ac:dyDescent="0.25">
      <c r="B16" s="67" t="s">
        <v>172</v>
      </c>
      <c r="C16" s="21">
        <v>19.700748129675809</v>
      </c>
    </row>
    <row r="17" spans="2:3" x14ac:dyDescent="0.25">
      <c r="B17" s="67" t="s">
        <v>173</v>
      </c>
      <c r="C17" s="21">
        <v>13.96508728179551</v>
      </c>
    </row>
    <row r="18" spans="2:3" x14ac:dyDescent="0.25">
      <c r="B18" s="67" t="s">
        <v>174</v>
      </c>
      <c r="C18" s="21">
        <v>7.7306733167082298</v>
      </c>
    </row>
    <row r="19" spans="2:3" x14ac:dyDescent="0.25">
      <c r="B19" s="67" t="s">
        <v>175</v>
      </c>
      <c r="C19" s="21">
        <v>0.74812967581047385</v>
      </c>
    </row>
    <row r="20" spans="2:3" x14ac:dyDescent="0.25">
      <c r="B20" s="67" t="s">
        <v>176</v>
      </c>
      <c r="C20" s="21">
        <v>0.74812967581047385</v>
      </c>
    </row>
    <row r="21" spans="2:3" x14ac:dyDescent="0.25">
      <c r="B21" s="67" t="s">
        <v>21</v>
      </c>
      <c r="C21" s="21">
        <v>2.9925187032418954</v>
      </c>
    </row>
    <row r="22" spans="2:3" x14ac:dyDescent="0.25">
      <c r="B22" s="67" t="s">
        <v>22</v>
      </c>
      <c r="C22" s="21">
        <v>1.99501246882793</v>
      </c>
    </row>
    <row r="23" spans="2:3" x14ac:dyDescent="0.25">
      <c r="B23" s="67" t="s">
        <v>5</v>
      </c>
      <c r="C23" s="21">
        <v>100</v>
      </c>
    </row>
    <row r="24" spans="2:3" x14ac:dyDescent="0.25">
      <c r="B24" s="9"/>
      <c r="C24" s="86"/>
    </row>
    <row r="25" spans="2:3" x14ac:dyDescent="0.25">
      <c r="B25" s="12" t="s">
        <v>211</v>
      </c>
      <c r="C25" s="85"/>
    </row>
    <row r="26" spans="2:3" x14ac:dyDescent="0.25">
      <c r="B26" s="13" t="s">
        <v>39</v>
      </c>
      <c r="C26" s="29" t="s">
        <v>1</v>
      </c>
    </row>
    <row r="27" spans="2:3" x14ac:dyDescent="0.25">
      <c r="B27" s="11" t="s">
        <v>174</v>
      </c>
      <c r="C27" s="21">
        <v>62.094763092269325</v>
      </c>
    </row>
    <row r="28" spans="2:3" x14ac:dyDescent="0.25">
      <c r="B28" s="11" t="s">
        <v>177</v>
      </c>
      <c r="C28" s="21">
        <v>12.718204488778055</v>
      </c>
    </row>
    <row r="29" spans="2:3" x14ac:dyDescent="0.25">
      <c r="B29" s="11" t="s">
        <v>178</v>
      </c>
      <c r="C29" s="21">
        <v>8.4788029925187036</v>
      </c>
    </row>
    <row r="30" spans="2:3" x14ac:dyDescent="0.25">
      <c r="B30" s="11" t="s">
        <v>179</v>
      </c>
      <c r="C30" s="21">
        <v>5.9850374064837908</v>
      </c>
    </row>
    <row r="31" spans="2:3" x14ac:dyDescent="0.25">
      <c r="B31" s="11" t="s">
        <v>175</v>
      </c>
      <c r="C31" s="21">
        <v>1.4962593516209477</v>
      </c>
    </row>
    <row r="32" spans="2:3" x14ac:dyDescent="0.25">
      <c r="B32" s="11" t="s">
        <v>21</v>
      </c>
      <c r="C32" s="21">
        <v>4.7381546134663344</v>
      </c>
    </row>
    <row r="33" spans="2:3" x14ac:dyDescent="0.25">
      <c r="B33" s="11" t="s">
        <v>22</v>
      </c>
      <c r="C33" s="21">
        <v>4.4887780548628431</v>
      </c>
    </row>
    <row r="34" spans="2:3" x14ac:dyDescent="0.25">
      <c r="B34" s="11" t="s">
        <v>5</v>
      </c>
      <c r="C34" s="21">
        <v>100</v>
      </c>
    </row>
    <row r="35" spans="2:3" x14ac:dyDescent="0.25">
      <c r="B35" s="9"/>
      <c r="C35" s="86"/>
    </row>
    <row r="36" spans="2:3" x14ac:dyDescent="0.25">
      <c r="B36" s="32" t="s">
        <v>193</v>
      </c>
      <c r="C36" s="85"/>
    </row>
    <row r="37" spans="2:3" x14ac:dyDescent="0.25">
      <c r="B37" s="13" t="s">
        <v>39</v>
      </c>
      <c r="C37" s="29" t="s">
        <v>1</v>
      </c>
    </row>
    <row r="38" spans="2:3" x14ac:dyDescent="0.25">
      <c r="B38" s="11" t="s">
        <v>190</v>
      </c>
      <c r="C38" s="21">
        <v>50.872817955112218</v>
      </c>
    </row>
    <row r="39" spans="2:3" x14ac:dyDescent="0.25">
      <c r="B39" s="11" t="s">
        <v>191</v>
      </c>
      <c r="C39" s="21">
        <v>45.635910224438902</v>
      </c>
    </row>
    <row r="40" spans="2:3" x14ac:dyDescent="0.25">
      <c r="B40" s="11" t="s">
        <v>22</v>
      </c>
      <c r="C40" s="21">
        <v>3.4912718204488775</v>
      </c>
    </row>
    <row r="41" spans="2:3" x14ac:dyDescent="0.25">
      <c r="B41" s="11" t="s">
        <v>5</v>
      </c>
      <c r="C41" s="21">
        <v>100</v>
      </c>
    </row>
    <row r="42" spans="2:3" x14ac:dyDescent="0.25">
      <c r="B42" s="9"/>
      <c r="C42" s="86"/>
    </row>
    <row r="43" spans="2:3" x14ac:dyDescent="0.25">
      <c r="B43" s="33" t="s">
        <v>194</v>
      </c>
      <c r="C43" s="85"/>
    </row>
    <row r="44" spans="2:3" x14ac:dyDescent="0.25">
      <c r="B44" s="13" t="s">
        <v>39</v>
      </c>
      <c r="C44" s="29" t="s">
        <v>1</v>
      </c>
    </row>
    <row r="45" spans="2:3" ht="24" x14ac:dyDescent="0.25">
      <c r="B45" s="87" t="s">
        <v>180</v>
      </c>
      <c r="C45" s="21">
        <v>34.413965087281795</v>
      </c>
    </row>
    <row r="46" spans="2:3" ht="24" x14ac:dyDescent="0.25">
      <c r="B46" s="87" t="s">
        <v>181</v>
      </c>
      <c r="C46" s="21">
        <v>29.67581047381546</v>
      </c>
    </row>
    <row r="47" spans="2:3" ht="24" x14ac:dyDescent="0.25">
      <c r="B47" s="87" t="s">
        <v>182</v>
      </c>
      <c r="C47" s="21">
        <v>17.705735660847878</v>
      </c>
    </row>
    <row r="48" spans="2:3" x14ac:dyDescent="0.25">
      <c r="B48" s="87" t="s">
        <v>183</v>
      </c>
      <c r="C48" s="21">
        <v>12.219451371571072</v>
      </c>
    </row>
    <row r="49" spans="2:4" x14ac:dyDescent="0.25">
      <c r="B49" s="11" t="s">
        <v>22</v>
      </c>
      <c r="C49" s="21">
        <v>5.9850374064837908</v>
      </c>
    </row>
    <row r="50" spans="2:4" x14ac:dyDescent="0.25">
      <c r="B50" s="11" t="s">
        <v>5</v>
      </c>
      <c r="C50" s="21">
        <v>99.750623441396513</v>
      </c>
    </row>
    <row r="51" spans="2:4" x14ac:dyDescent="0.25">
      <c r="B51" s="9"/>
      <c r="C51" s="86"/>
      <c r="D51" s="9"/>
    </row>
    <row r="53" spans="2:4" x14ac:dyDescent="0.25">
      <c r="B53" s="34" t="s">
        <v>195</v>
      </c>
      <c r="C53" s="85"/>
      <c r="D53" s="12"/>
    </row>
    <row r="54" spans="2:4" x14ac:dyDescent="0.25">
      <c r="B54" s="13" t="s">
        <v>39</v>
      </c>
      <c r="C54" s="29" t="s">
        <v>1</v>
      </c>
    </row>
    <row r="55" spans="2:4" x14ac:dyDescent="0.25">
      <c r="B55" s="11" t="s">
        <v>184</v>
      </c>
      <c r="C55" s="21">
        <v>15.46134663341646</v>
      </c>
    </row>
    <row r="56" spans="2:4" x14ac:dyDescent="0.25">
      <c r="B56" s="11" t="s">
        <v>185</v>
      </c>
      <c r="C56" s="21">
        <v>47.880299251870326</v>
      </c>
    </row>
    <row r="57" spans="2:4" x14ac:dyDescent="0.25">
      <c r="B57" s="11" t="s">
        <v>186</v>
      </c>
      <c r="C57" s="21">
        <v>17.955112219451372</v>
      </c>
    </row>
    <row r="58" spans="2:4" x14ac:dyDescent="0.25">
      <c r="B58" s="11" t="s">
        <v>187</v>
      </c>
      <c r="C58" s="21">
        <v>3.4912718204488775</v>
      </c>
    </row>
    <row r="59" spans="2:4" x14ac:dyDescent="0.25">
      <c r="B59" s="11" t="s">
        <v>22</v>
      </c>
      <c r="C59" s="21">
        <v>15.211970074812967</v>
      </c>
    </row>
    <row r="60" spans="2:4" x14ac:dyDescent="0.25">
      <c r="B60" s="11" t="s">
        <v>5</v>
      </c>
      <c r="C60" s="21">
        <v>100</v>
      </c>
    </row>
    <row r="61" spans="2:4" x14ac:dyDescent="0.25">
      <c r="B61" s="9"/>
      <c r="C61" s="86"/>
    </row>
    <row r="62" spans="2:4" x14ac:dyDescent="0.25">
      <c r="B62" s="34" t="s">
        <v>196</v>
      </c>
      <c r="C62" s="85"/>
    </row>
    <row r="63" spans="2:4" x14ac:dyDescent="0.25">
      <c r="B63" s="13" t="s">
        <v>39</v>
      </c>
      <c r="C63" s="29" t="s">
        <v>1</v>
      </c>
    </row>
    <row r="64" spans="2:4" x14ac:dyDescent="0.25">
      <c r="B64" s="11" t="s">
        <v>188</v>
      </c>
      <c r="C64" s="21">
        <v>88.778054862842893</v>
      </c>
    </row>
    <row r="65" spans="2:3" x14ac:dyDescent="0.25">
      <c r="B65" s="11" t="s">
        <v>189</v>
      </c>
      <c r="C65" s="21">
        <v>11.2</v>
      </c>
    </row>
    <row r="66" spans="2:3" x14ac:dyDescent="0.25">
      <c r="B66" s="11" t="s">
        <v>5</v>
      </c>
      <c r="C66" s="21">
        <f>SUM(C64:C65)</f>
        <v>99.978054862842896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Gambaran Umum Responden</vt:lpstr>
      <vt:lpstr>Sosial Keagamaan</vt:lpstr>
      <vt:lpstr>Politik dan Pemilu</vt:lpstr>
      <vt:lpstr>Kampanye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14</dc:creator>
  <cp:lastModifiedBy>Asus</cp:lastModifiedBy>
  <dcterms:created xsi:type="dcterms:W3CDTF">2019-02-03T13:36:38Z</dcterms:created>
  <dcterms:modified xsi:type="dcterms:W3CDTF">2019-02-07T14:36:51Z</dcterms:modified>
</cp:coreProperties>
</file>