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b213c698def482/Desktop/FAM (org)/"/>
    </mc:Choice>
  </mc:AlternateContent>
  <xr:revisionPtr revIDLastSave="4" documentId="8_{5B24465C-FA02-4525-A86C-3E00B394EA81}" xr6:coauthVersionLast="46" xr6:coauthVersionMax="47" xr10:uidLastSave="{8D9402FA-96C5-47CA-9893-9F74E160E320}"/>
  <bookViews>
    <workbookView minimized="1" xWindow="680" yWindow="2790" windowWidth="14400" windowHeight="7810" firstSheet="8" activeTab="8" xr2:uid="{00000000-000D-0000-FFFF-FFFF00000000}"/>
  </bookViews>
  <sheets>
    <sheet name="Assumptions and Dashboard" sheetId="17" r:id="rId1"/>
    <sheet name="Sales and Collections" sheetId="1" r:id="rId2"/>
    <sheet name="COGS" sheetId="3" r:id="rId3"/>
    <sheet name="Inventory and Purchases" sheetId="4" r:id="rId4"/>
    <sheet name="Headcount Overview" sheetId="46" r:id="rId5"/>
    <sheet name="Headcount Cost" sheetId="47" r:id="rId6"/>
    <sheet name="Operating Expenses" sheetId="5" r:id="rId7"/>
    <sheet name="Cash" sheetId="8" r:id="rId8"/>
    <sheet name="Capital" sheetId="7" r:id="rId9"/>
    <sheet name="Balance Sheet" sheetId="9" r:id="rId10"/>
    <sheet name="Income Statement" sheetId="6" r:id="rId11"/>
    <sheet name="Cash Flows" sheetId="10" r:id="rId12"/>
    <sheet name="Free Cash Flows" sheetId="11" r:id="rId13"/>
    <sheet name="Sensitivity" sheetId="12" r:id="rId14"/>
    <sheet name="Contribution Margin" sheetId="13" r:id="rId15"/>
    <sheet name="Financial Ratios" sheetId="14" r:id="rId16"/>
    <sheet name="Valuation" sheetId="15" r:id="rId17"/>
    <sheet name="Comparables" sheetId="50" r:id="rId18"/>
    <sheet name="Capitalization" sheetId="16" r:id="rId19"/>
  </sheets>
  <definedNames>
    <definedName name="AccDep1Q">Capital!$B$23</definedName>
    <definedName name="AccDep2Q">Capital!$C$23</definedName>
    <definedName name="AccDep3Q">Capital!$D$23</definedName>
    <definedName name="AccDep4Q">Capital!$E$23</definedName>
    <definedName name="AddAP1Q">'Inventory and Purchases'!$B$21</definedName>
    <definedName name="AddAP2Q">'Inventory and Purchases'!$C$21</definedName>
    <definedName name="AddAP3Q">'Inventory and Purchases'!$D$21</definedName>
    <definedName name="AddAP4Q">'Inventory and Purchases'!$E$21</definedName>
    <definedName name="AddAPX4">'Inventory and Purchases'!$G$21</definedName>
    <definedName name="AddAR1Q">'Sales and Collections'!$B$22</definedName>
    <definedName name="AddAR2Q">'Sales and Collections'!$C$22</definedName>
    <definedName name="AddAR3Q">'Sales and Collections'!$D$22</definedName>
    <definedName name="AddAR4Q">'Sales and Collections'!$E$22</definedName>
    <definedName name="AddARX4">'Sales and Collections'!$G$22</definedName>
    <definedName name="AssetTurn1Q">'Financial Ratios'!$B$18</definedName>
    <definedName name="AssetTurn2Q">'Financial Ratios'!$C$18</definedName>
    <definedName name="AssetTurn3Q">'Financial Ratios'!$D$18</definedName>
    <definedName name="AssetTurn4Q">'Financial Ratios'!$E$18</definedName>
    <definedName name="AssetTurnX4">'Financial Ratios'!$G$18</definedName>
    <definedName name="ATEBIT1Q">'Free Cash Flows'!$B$7</definedName>
    <definedName name="ATEBIT2Q">'Free Cash Flows'!$C$7</definedName>
    <definedName name="ATEBIT3Q">'Free Cash Flows'!$D$7</definedName>
    <definedName name="ATEBIT4Q">'Free Cash Flows'!$E$7</definedName>
    <definedName name="ATEBITX4">'Free Cash Flows'!$G$7</definedName>
    <definedName name="BaseSal1Q">'Headcount Cost'!$B$15</definedName>
    <definedName name="BaseSal2Q">'Headcount Cost'!$C$15</definedName>
    <definedName name="BaseSal3Q">'Headcount Cost'!$D$15</definedName>
    <definedName name="BaseSal4Q">'Headcount Cost'!$E$15</definedName>
    <definedName name="BaseSalX4">'Headcount Cost'!$G$15</definedName>
    <definedName name="BED1Q">'Contribution Margin'!$B$45</definedName>
    <definedName name="BED2Q">'Contribution Margin'!$C$45</definedName>
    <definedName name="BED3Q">'Contribution Margin'!$D$45</definedName>
    <definedName name="BED4Q">'Contribution Margin'!$E$45</definedName>
    <definedName name="BegAP1Q">'Inventory and Purchases'!$B$20</definedName>
    <definedName name="BegAP2Q">'Inventory and Purchases'!$C$20</definedName>
    <definedName name="BegAP3Q">'Inventory and Purchases'!$D$20</definedName>
    <definedName name="BegAP4Q">'Inventory and Purchases'!$E$20</definedName>
    <definedName name="BegAPX4">'Inventory and Purchases'!$G$20</definedName>
    <definedName name="BegAR1Q">'Sales and Collections'!$B$21</definedName>
    <definedName name="BegAR2Q">'Sales and Collections'!$C$21</definedName>
    <definedName name="BegAR3Q">'Sales and Collections'!$D$21</definedName>
    <definedName name="BegAR4Q">'Sales and Collections'!$E$21</definedName>
    <definedName name="BegARX4">'Sales and Collections'!$G$21</definedName>
    <definedName name="BegCash1Q">Cash!$B$4</definedName>
    <definedName name="BegCash2Q">Cash!$C$4</definedName>
    <definedName name="BegCash3Q">Cash!$D$4</definedName>
    <definedName name="BegCash4Q">Cash!$E$4</definedName>
    <definedName name="BegCashX4">Cash!$G$4</definedName>
    <definedName name="BegInv1Q">'Inventory and Purchases'!$B$12</definedName>
    <definedName name="BegInv2Q">'Inventory and Purchases'!$C$12</definedName>
    <definedName name="BegInv3Q">'Inventory and Purchases'!$D$12</definedName>
    <definedName name="BegInv4Q">'Inventory and Purchases'!$E$12</definedName>
    <definedName name="BegInvX4">'Inventory and Purchases'!$G$12</definedName>
    <definedName name="BegLoanVal1Q">'Cash Flows'!$B$44</definedName>
    <definedName name="BegLoanVal2Q">'Cash Flows'!$C$44</definedName>
    <definedName name="BegLoanVal3Q">'Cash Flows'!$D$44</definedName>
    <definedName name="BegLoanVal4Q">'Cash Flows'!$E$44</definedName>
    <definedName name="BegNWC1Q">'Balance Sheet'!$B$32</definedName>
    <definedName name="BegNWC2Q">'Balance Sheet'!$C$32</definedName>
    <definedName name="BegNWC3Q">'Balance Sheet'!$D$32</definedName>
    <definedName name="BegNWC4Q">'Balance Sheet'!$E$32</definedName>
    <definedName name="BegNWCX4">'Balance Sheet'!$G$32</definedName>
    <definedName name="BeneFactor">'Assumptions and Dashboard'!$G$57</definedName>
    <definedName name="BeneRate">'Assumptions and Dashboard'!$G$56</definedName>
    <definedName name="BEU1Q">'Contribution Margin'!$B$40</definedName>
    <definedName name="BEU2Q">'Contribution Margin'!$C$40</definedName>
    <definedName name="BEU3Q">'Contribution Margin'!$D$40</definedName>
    <definedName name="BEU4Q">'Contribution Margin'!$E$40</definedName>
    <definedName name="BSCheck1Q">'Balance Sheet'!$B$25</definedName>
    <definedName name="BSCheck2Q">'Balance Sheet'!$C$25</definedName>
    <definedName name="BSCheck3Q">'Balance Sheet'!$D$25</definedName>
    <definedName name="BSCheck4Q">'Balance Sheet'!$E$25</definedName>
    <definedName name="BSCheckSum">'Assumptions and Dashboard'!$H$116</definedName>
    <definedName name="BSCheckX4">'Balance Sheet'!$G$25</definedName>
    <definedName name="BSStatus">'Assumptions and Dashboard'!$H$115</definedName>
    <definedName name="CA_X4">'Balance Sheet'!$G$28</definedName>
    <definedName name="CA1Q">'Balance Sheet'!$B$28</definedName>
    <definedName name="CA2Q">'Balance Sheet'!$C$28</definedName>
    <definedName name="CA3Q">'Balance Sheet'!$D$28</definedName>
    <definedName name="CA4Q">'Balance Sheet'!$E$28</definedName>
    <definedName name="CAPEXDis1Q">Capital!$B$14</definedName>
    <definedName name="CAPEXDis2Q">Capital!$C$14</definedName>
    <definedName name="CAPEXDis3Q">Capital!$D$14</definedName>
    <definedName name="CAPEXDis4Q">Capital!$E$14</definedName>
    <definedName name="CAPEXDisX4">Capital!$G$14</definedName>
    <definedName name="CAPEXPct1Q">'Assumptions and Dashboard'!$B$79</definedName>
    <definedName name="CAPEXPct2Q">'Assumptions and Dashboard'!$C$79</definedName>
    <definedName name="CAPEXPct3Q">'Assumptions and Dashboard'!$D$79</definedName>
    <definedName name="CAPEXPct4Q">'Assumptions and Dashboard'!$E$79</definedName>
    <definedName name="CAPEXPur1Q">'Assumptions and Dashboard'!$B$76</definedName>
    <definedName name="CAPEXPur2Q">'Assumptions and Dashboard'!$C$76</definedName>
    <definedName name="CAPEXPur3Q">'Assumptions and Dashboard'!$D$76</definedName>
    <definedName name="CAPEXPur4Q">'Assumptions and Dashboard'!$E$76</definedName>
    <definedName name="CAPEXPurX4">Capital!$G$8</definedName>
    <definedName name="CashBOP1Q">'Cash Flows'!$B$26</definedName>
    <definedName name="CashBOP2Q">'Cash Flows'!$C$26</definedName>
    <definedName name="CashBOP3Q">'Cash Flows'!$D$26</definedName>
    <definedName name="CashBOP4Q">'Cash Flows'!$E$26</definedName>
    <definedName name="CashBOPX4">'Cash Flows'!$G$26</definedName>
    <definedName name="CashEOP1Q">'Cash Flows'!$B$27</definedName>
    <definedName name="CashEOP2Q">'Cash Flows'!$C$27</definedName>
    <definedName name="CashEOP3Q">'Cash Flows'!$D$27</definedName>
    <definedName name="CashEOP4Q">'Cash Flows'!$E$27</definedName>
    <definedName name="CashEOPX4">'Cash Flows'!$G$27</definedName>
    <definedName name="CashFinAc1Q">'Cash Flows'!$B$22</definedName>
    <definedName name="CashFinAc2Q">'Cash Flows'!$C$22</definedName>
    <definedName name="CashFinAc3Q">'Cash Flows'!$D$22</definedName>
    <definedName name="CashFinAc4Q">'Cash Flows'!$E$22</definedName>
    <definedName name="CashFinAcX4">'Cash Flows'!$G$22</definedName>
    <definedName name="CashInvAc1Q">'Cash Flows'!$B$17</definedName>
    <definedName name="CashInvAc2Q">'Cash Flows'!$C$17</definedName>
    <definedName name="CashInvAc3Q">'Cash Flows'!$D$17</definedName>
    <definedName name="CashInvAc4Q">'Cash Flows'!$E$17</definedName>
    <definedName name="CashInvAcX4">'Cash Flows'!$G$17</definedName>
    <definedName name="CashNeed1Q">Cash!$B$16</definedName>
    <definedName name="CashNeed2Q">Cash!$C$16</definedName>
    <definedName name="CashNeed3Q">Cash!$D$16</definedName>
    <definedName name="CashNeed4Q">Cash!$E$16</definedName>
    <definedName name="CashOpAc1Q">'Cash Flows'!$B$12</definedName>
    <definedName name="CashOpAc2Q">'Cash Flows'!$C$12</definedName>
    <definedName name="CashOpAc3Q">'Cash Flows'!$D$12</definedName>
    <definedName name="CashOpAc4Q">'Cash Flows'!$E$12</definedName>
    <definedName name="CashOpAcX4">'Cash Flows'!$G$12</definedName>
    <definedName name="CashPct1Q">'Assumptions and Dashboard'!$B$9</definedName>
    <definedName name="CashPct2Q">'Assumptions and Dashboard'!$C$9</definedName>
    <definedName name="CashPct3Q">'Assumptions and Dashboard'!$D$9</definedName>
    <definedName name="CashPct4Q">'Assumptions and Dashboard'!$E$9</definedName>
    <definedName name="CashSls1Q">'Sales and Collections'!$B$10</definedName>
    <definedName name="CashSls2Q">'Sales and Collections'!$C$10</definedName>
    <definedName name="CashSls3Q">'Sales and Collections'!$D$10</definedName>
    <definedName name="CashSls4Q">'Sales and Collections'!$E$10</definedName>
    <definedName name="CashSlsX4">'Sales and Collections'!$G$10</definedName>
    <definedName name="Casing1Q">COGS!$B$6</definedName>
    <definedName name="Casing2Q">COGS!$C$6</definedName>
    <definedName name="Casing3Q">COGS!$D$6</definedName>
    <definedName name="Casing4Q">COGS!$E$6</definedName>
    <definedName name="CasingCPU1Q">'Assumptions and Dashboard'!$B$18</definedName>
    <definedName name="CasingCPU2Q">'Assumptions and Dashboard'!$C$18</definedName>
    <definedName name="CasingCPU3Q">'Assumptions and Dashboard'!$D$18</definedName>
    <definedName name="CasingCPU4Q">'Assumptions and Dashboard'!$E$18</definedName>
    <definedName name="CasingX4">COGS!$G$6</definedName>
    <definedName name="CBF1Q">Cash!$B$7</definedName>
    <definedName name="CBF2Q">Cash!$C$7</definedName>
    <definedName name="CBF3Q">Cash!$D$7</definedName>
    <definedName name="CBF4Q">Cash!$E$7</definedName>
    <definedName name="CDCAPEX1Q">Capital!$B$27</definedName>
    <definedName name="CDCAPEX2Q">Capital!$C$27</definedName>
    <definedName name="CDCAPEX3Q">Capital!$D$27</definedName>
    <definedName name="CDCAPEX4Q">Capital!$E$27</definedName>
    <definedName name="CFCheck1Q">'Cash Flows'!$B$29</definedName>
    <definedName name="CFCheck2Q">'Cash Flows'!$C$29</definedName>
    <definedName name="CFCheck3Q">'Cash Flows'!$D$29</definedName>
    <definedName name="CFCheck4Q">'Cash Flows'!$E$29</definedName>
    <definedName name="CFCheckSum">'Assumptions and Dashboard'!$H$119</definedName>
    <definedName name="CFCheckX4">'Cash Flows'!$G$29</definedName>
    <definedName name="CFStatus">'Assumptions and Dashboard'!$H$118</definedName>
    <definedName name="ChgAP1Q">'Cash Flows'!$B$42</definedName>
    <definedName name="ChgAP2Q">'Cash Flows'!$C$42</definedName>
    <definedName name="ChgAP3Q">'Cash Flows'!$D$42</definedName>
    <definedName name="ChgAP4Q">'Cash Flows'!$E$42</definedName>
    <definedName name="ChgAR1Q">'Cash Flows'!$B$34</definedName>
    <definedName name="ChgAR2Q">'Cash Flows'!$C$34</definedName>
    <definedName name="ChgAR3Q">'Cash Flows'!$D$34</definedName>
    <definedName name="ChgAR4Q">'Cash Flows'!$E$34</definedName>
    <definedName name="ChgCash1Q">'Cash Flows'!$B$25</definedName>
    <definedName name="ChgCash2Q">'Cash Flows'!$C$25</definedName>
    <definedName name="ChgCash3Q">'Cash Flows'!$D$25</definedName>
    <definedName name="ChgCash4Q">'Cash Flows'!$E$25</definedName>
    <definedName name="ChgCashX4">'Cash Flows'!$G$25</definedName>
    <definedName name="ChgInv1Q">'Cash Flows'!$B$38</definedName>
    <definedName name="ChgInv2Q">'Cash Flows'!$C$38</definedName>
    <definedName name="ChgInv3Q">'Cash Flows'!$D$38</definedName>
    <definedName name="ChgInv4Q">'Cash Flows'!$E$38</definedName>
    <definedName name="ChgLoan1Q">'Cash Flows'!#REF!</definedName>
    <definedName name="ChgLoan2Q">'Cash Flows'!#REF!</definedName>
    <definedName name="ChgLoan3Q">'Cash Flows'!#REF!</definedName>
    <definedName name="ChgLoan4Q">'Cash Flows'!#REF!</definedName>
    <definedName name="ChgLoanVal1Q">'Cash Flows'!$B$46</definedName>
    <definedName name="ChgLoanVal2Q">'Cash Flows'!$C$46</definedName>
    <definedName name="ChgLoanVal3Q">'Cash Flows'!$D$46</definedName>
    <definedName name="ChgLoanVal4Q">'Cash Flows'!$E$46</definedName>
    <definedName name="ChgLoanX4">'Cash Flows'!#REF!</definedName>
    <definedName name="ChgNWC1Q">'Balance Sheet'!$B$34</definedName>
    <definedName name="ChgNWC2Q">'Balance Sheet'!$C$34</definedName>
    <definedName name="ChgNWC3Q">'Balance Sheet'!$D$34</definedName>
    <definedName name="ChgNWC4Q">'Balance Sheet'!$E$34</definedName>
    <definedName name="ChgNWCX4">'Balance Sheet'!$G$34</definedName>
    <definedName name="CL_X4">'Balance Sheet'!$G$29</definedName>
    <definedName name="CL1Q">'Balance Sheet'!$B$29</definedName>
    <definedName name="CL2Q">'Balance Sheet'!$C$29</definedName>
    <definedName name="CL3Q">'Balance Sheet'!$D$29</definedName>
    <definedName name="CL4Q">'Balance Sheet'!$E$29</definedName>
    <definedName name="CM_X4">'Contribution Margin'!$G$20</definedName>
    <definedName name="CM1Q">'Contribution Margin'!$B$20</definedName>
    <definedName name="CM2Q">'Contribution Margin'!$C$20</definedName>
    <definedName name="CM3Q">'Contribution Margin'!$D$20</definedName>
    <definedName name="CM4Q">'Contribution Margin'!$E$20</definedName>
    <definedName name="CMPU1Q">'Contribution Margin'!$B$36</definedName>
    <definedName name="CMPU2Q">'Contribution Margin'!$C$36</definedName>
    <definedName name="CMPU3Q">'Contribution Margin'!$D$36</definedName>
    <definedName name="CMPU4Q">'Contribution Margin'!$E$36</definedName>
    <definedName name="Co1Assets">Comparables!$F$32</definedName>
    <definedName name="Co1NI">Comparables!$E$32</definedName>
    <definedName name="Co1PA">Comparables!$J$32</definedName>
    <definedName name="Co1PNI">Comparables!$I$32</definedName>
    <definedName name="Co1PS">Comparables!$H$32</definedName>
    <definedName name="Co1Sales">Comparables!$D$32</definedName>
    <definedName name="Co1Val">Comparables!$B$32</definedName>
    <definedName name="Co2Assets">Comparables!$F$33</definedName>
    <definedName name="Co2NI">Comparables!$E$33</definedName>
    <definedName name="Co2PA">Comparables!$J$33</definedName>
    <definedName name="Co2PNI">Comparables!$I$33</definedName>
    <definedName name="Co2PS">Comparables!$H$33</definedName>
    <definedName name="Co2Sales">Comparables!$D$33</definedName>
    <definedName name="Co2Val">Comparables!$B$33</definedName>
    <definedName name="Co3Assets">Comparables!$F$34</definedName>
    <definedName name="Co3NI">Comparables!$E$34</definedName>
    <definedName name="Co3PA">Comparables!$J$34</definedName>
    <definedName name="Co3PNI">Comparables!$I$34</definedName>
    <definedName name="Co3PS">Comparables!$H$34</definedName>
    <definedName name="Co3Sales">Comparables!$D$34</definedName>
    <definedName name="Co3Val">Comparables!$B$34</definedName>
    <definedName name="CoAssetsVal">Comparables!$F$42</definedName>
    <definedName name="COGS1Q">COGS!$B$8</definedName>
    <definedName name="COGS2Q">COGS!$C$8</definedName>
    <definedName name="COGS3Q">COGS!$D$8</definedName>
    <definedName name="COGS4Q">COGS!$E$8</definedName>
    <definedName name="COGSX4">COGS!$G$8</definedName>
    <definedName name="Collections1Q">'Sales and Collections'!$B$18</definedName>
    <definedName name="Collections2Q">'Sales and Collections'!$C$18</definedName>
    <definedName name="Collections3Q">'Sales and Collections'!$D$18</definedName>
    <definedName name="Collections4Q">'Sales and Collections'!$E$18</definedName>
    <definedName name="CollectionsX4">'Sales and Collections'!$G$18</definedName>
    <definedName name="Comp1FCF">Comparables!$F$8</definedName>
    <definedName name="Comp1NI">Comparables!$E$8</definedName>
    <definedName name="Comp1PFCF">Comparables!$J$8</definedName>
    <definedName name="Comp1PNI">Comparables!$I$8</definedName>
    <definedName name="Comp1PS">Comparables!$H$8</definedName>
    <definedName name="Comp1Sales">Comparables!$D$8</definedName>
    <definedName name="Comp1Val">Comparables!$B$8</definedName>
    <definedName name="Comp2FCF">Comparables!$F$9</definedName>
    <definedName name="Comp2NI">Comparables!$E$9</definedName>
    <definedName name="Comp2PFCF">Comparables!$J$9</definedName>
    <definedName name="Comp2PNI">Comparables!$I$9</definedName>
    <definedName name="Comp2PS">Comparables!$H$9</definedName>
    <definedName name="Comp2Sales">Comparables!$D$9</definedName>
    <definedName name="Comp2Val">Comparables!$B$9</definedName>
    <definedName name="Comp3FCF">Comparables!$F$10</definedName>
    <definedName name="Comp3NI">Comparables!$E$10</definedName>
    <definedName name="Comp3PFCF">Comparables!$J$10</definedName>
    <definedName name="Comp3PNI">Comparables!$I$10</definedName>
    <definedName name="Comp3PS">Comparables!$H$10</definedName>
    <definedName name="Comp3Sales">Comparables!$D$10</definedName>
    <definedName name="Comp3Val">Comparables!$B$10</definedName>
    <definedName name="CompFCFVal">Comparables!$F$21</definedName>
    <definedName name="CompNIVal">Comparables!$E$21</definedName>
    <definedName name="CompSalesVal">Comparables!$D$21</definedName>
    <definedName name="CoNIVal">Comparables!$E$42</definedName>
    <definedName name="CoSalesVal">Comparables!$D$42</definedName>
    <definedName name="CreditPctQ1">'Assumptions and Dashboard'!$B$10</definedName>
    <definedName name="CreditPctQ2">'Assumptions and Dashboard'!$C$10</definedName>
    <definedName name="CreditPctQ3">'Assumptions and Dashboard'!$D$10</definedName>
    <definedName name="CreditPctQ4">'Assumptions and Dashboard'!$E$10</definedName>
    <definedName name="CreditSls1Q">'Sales and Collections'!$B$11</definedName>
    <definedName name="CreditSls2Q">'Sales and Collections'!$C$11</definedName>
    <definedName name="CreditSls3Q">'Sales and Collections'!$D$11</definedName>
    <definedName name="CreditSls4Q">'Sales and Collections'!$E$11</definedName>
    <definedName name="CreditSlsX4">'Sales and Collections'!$G$11</definedName>
    <definedName name="CS_X4">'Balance Sheet'!$G$19</definedName>
    <definedName name="CS1Q">'Balance Sheet'!$B$19</definedName>
    <definedName name="CS2Q">'Balance Sheet'!$C$19</definedName>
    <definedName name="CS3Q">'Balance Sheet'!$D$19</definedName>
    <definedName name="CS4Q">'Balance Sheet'!$E$19</definedName>
    <definedName name="CumCAPEX1Q">Capital!$B$22</definedName>
    <definedName name="CumCAPEX2Q">Capital!$C$22</definedName>
    <definedName name="CumCAPEX3Q">Capital!$D$22</definedName>
    <definedName name="CumCAPEX4Q">Capital!$E$22</definedName>
    <definedName name="DaysInv1Q">'Assumptions and Dashboard'!$B$24</definedName>
    <definedName name="DaysInv2Q">'Assumptions and Dashboard'!$C$24</definedName>
    <definedName name="DaysInv3Q">'Assumptions and Dashboard'!$D$24</definedName>
    <definedName name="DaysInv4Q">'Assumptions and Dashboard'!$E$24</definedName>
    <definedName name="DaysPay1Q">'Assumptions and Dashboard'!$B$27</definedName>
    <definedName name="DaysPay2Q">'Assumptions and Dashboard'!$C$27</definedName>
    <definedName name="DaysPay3Q">'Assumptions and Dashboard'!$D$27</definedName>
    <definedName name="DaysPay4Q">'Assumptions and Dashboard'!$E$27</definedName>
    <definedName name="DaysQtr1Q">'Assumptions and Dashboard'!$B$13</definedName>
    <definedName name="DaysQtr2Q">'Assumptions and Dashboard'!$C$13</definedName>
    <definedName name="DaysQtr3Q">'Assumptions and Dashboard'!$D$13</definedName>
    <definedName name="DaysQtr4Q">'Assumptions and Dashboard'!$E$13</definedName>
    <definedName name="DCFRW">Valuation!$D$3</definedName>
    <definedName name="DCFVal">Valuation!$B$3</definedName>
    <definedName name="DCFWV">Valuation!$F$3</definedName>
    <definedName name="Dep1Q">Capital!$B$20</definedName>
    <definedName name="Dep2Q">Capital!$C$20</definedName>
    <definedName name="Dep3Q">Capital!$D$20</definedName>
    <definedName name="Dep4Q">Capital!$E$20</definedName>
    <definedName name="DepX4">Capital!$G$20</definedName>
    <definedName name="Disburse1Q">'Inventory and Purchases'!$B$17</definedName>
    <definedName name="Disburse2Q">'Inventory and Purchases'!$C$17</definedName>
    <definedName name="Disburse3Q">'Inventory and Purchases'!$D$17</definedName>
    <definedName name="Disburse4Q">'Inventory and Purchases'!$E$17</definedName>
    <definedName name="DisburseX4">'Inventory and Purchases'!$G$17</definedName>
    <definedName name="DOE1Q">'Operating Expenses'!$B$19</definedName>
    <definedName name="DOE2Q">'Operating Expenses'!$C$19</definedName>
    <definedName name="DOE3Q">'Operating Expenses'!$D$19</definedName>
    <definedName name="DOE4Q">'Operating Expenses'!$E$19</definedName>
    <definedName name="DOEX4">'Operating Expenses'!$G$19</definedName>
    <definedName name="DSO1Q">'Assumptions and Dashboard'!$B$12</definedName>
    <definedName name="DSO2Q">'Assumptions and Dashboard'!$C$12</definedName>
    <definedName name="DSO3Q">'Assumptions and Dashboard'!$D$12</definedName>
    <definedName name="DSO4Q">'Assumptions and Dashboard'!$E$12</definedName>
    <definedName name="EBIT1Q">'Free Cash Flows'!$B$3</definedName>
    <definedName name="EBIT2Q">'Free Cash Flows'!$C$3</definedName>
    <definedName name="EBIT3Q">'Free Cash Flows'!$D$3</definedName>
    <definedName name="EBIT4Q">'Free Cash Flows'!$E$3</definedName>
    <definedName name="EBITX4">'Free Cash Flows'!$G$3</definedName>
    <definedName name="EffTaxRt1Q">'Free Cash Flows'!$B$5</definedName>
    <definedName name="EffTaxRt2Q">'Free Cash Flows'!$C$5</definedName>
    <definedName name="EffTaxRt3Q">'Free Cash Flows'!$D$5</definedName>
    <definedName name="EffTaxRt4Q">'Free Cash Flows'!$E$5</definedName>
    <definedName name="EndAP1Q">'Inventory and Purchases'!$B$23</definedName>
    <definedName name="EndAP2Q">'Inventory and Purchases'!$C$23</definedName>
    <definedName name="EndAP3Q">'Inventory and Purchases'!$D$23</definedName>
    <definedName name="EndAP4Q">'Inventory and Purchases'!$E$23</definedName>
    <definedName name="EndAPX4">'Inventory and Purchases'!$G$23</definedName>
    <definedName name="EndAR1Q">'Sales and Collections'!$B$24</definedName>
    <definedName name="EndAR2Q">'Sales and Collections'!$C$24</definedName>
    <definedName name="EndAR3Q">'Sales and Collections'!$D$24</definedName>
    <definedName name="EndAR4Q">'Sales and Collections'!$E$24</definedName>
    <definedName name="EndARX4">'Sales and Collections'!$G$24</definedName>
    <definedName name="EndCash1Q">Cash!$B$26</definedName>
    <definedName name="EndCash2Q">Cash!$C$26</definedName>
    <definedName name="EndCash3Q">Cash!$D$26</definedName>
    <definedName name="EndCash4Q">Cash!$E$26</definedName>
    <definedName name="EndCashX4">Cash!$G$26</definedName>
    <definedName name="EndInv1Q">'Inventory and Purchases'!$B$5</definedName>
    <definedName name="EndInv2Q">'Inventory and Purchases'!$C$5</definedName>
    <definedName name="EndInv3Q">'Inventory and Purchases'!$D$5</definedName>
    <definedName name="EndInv4Q">'Inventory and Purchases'!$E$5</definedName>
    <definedName name="EndInvX3">'Inventory and Purchases'!#REF!</definedName>
    <definedName name="EndInvX4">'Inventory and Purchases'!$G$5</definedName>
    <definedName name="EndNWC1Q">'Balance Sheet'!$B$33</definedName>
    <definedName name="EndNWC2Q">'Balance Sheet'!$C$33</definedName>
    <definedName name="EndNWC3Q">'Balance Sheet'!$D$33</definedName>
    <definedName name="EndNWC4Q">'Balance Sheet'!$E$33</definedName>
    <definedName name="EndNWCX4">'Balance Sheet'!$G$33</definedName>
    <definedName name="EqptDep1Q">Capital!$B$17</definedName>
    <definedName name="EqptDep2Q">Capital!$C$17</definedName>
    <definedName name="EqptDep3Q">Capital!$D$17</definedName>
    <definedName name="EqptDep4Q">Capital!$E$17</definedName>
    <definedName name="EqptDepX4">Capital!$G$17</definedName>
    <definedName name="EqptDis1Q">Capital!$B$11</definedName>
    <definedName name="EqptDis2Q">Capital!$C$11</definedName>
    <definedName name="EqptDis3Q">Capital!$D$11</definedName>
    <definedName name="EqptDis4Q">Capital!$E$11</definedName>
    <definedName name="EqptDisX4">Capital!$G$11</definedName>
    <definedName name="EqptDM1Q">'Assumptions and Dashboard'!$B$88</definedName>
    <definedName name="EqptDM2Q">'Assumptions and Dashboard'!$C$88</definedName>
    <definedName name="EqptDM3Q">'Assumptions and Dashboard'!$D$88</definedName>
    <definedName name="EqptDM4Q">'Assumptions and Dashboard'!$E$88</definedName>
    <definedName name="EqptLife">'Assumptions and Dashboard'!$H$82</definedName>
    <definedName name="EqptPur1Q">'Assumptions and Dashboard'!$B$73</definedName>
    <definedName name="EqptPur2Q">'Assumptions and Dashboard'!$C$73</definedName>
    <definedName name="EqptPur3Q">'Assumptions and Dashboard'!$D$73</definedName>
    <definedName name="EqptPur4Q">'Assumptions and Dashboard'!$E$73</definedName>
    <definedName name="EqptPurX4">Capital!$G$5</definedName>
    <definedName name="EqtInv1Q">'Assumptions and Dashboard'!$B$96</definedName>
    <definedName name="EqtInv2Q">'Assumptions and Dashboard'!$C$96</definedName>
    <definedName name="EqtInv3Q">'Assumptions and Dashboard'!$D$96</definedName>
    <definedName name="EqtInv4Q">'Assumptions and Dashboard'!$E$96</definedName>
    <definedName name="EqtInvX3">'Assumptions and Dashboard'!#REF!</definedName>
    <definedName name="EqtInvX4">Cash!$G$20</definedName>
    <definedName name="FCF1Q">'Free Cash Flows'!$B$11</definedName>
    <definedName name="FCF2Q">'Free Cash Flows'!$C$11</definedName>
    <definedName name="FCF3Q">'Free Cash Flows'!$D$11</definedName>
    <definedName name="FCF4Q">'Free Cash Flows'!$E$11</definedName>
    <definedName name="FCFX4">'Free Cash Flows'!$G$11</definedName>
    <definedName name="FinCashChg1Q">Cash!$B$24</definedName>
    <definedName name="FinCashChg2Q">Cash!$C$24</definedName>
    <definedName name="FinCashChg3Q">Cash!$D$24</definedName>
    <definedName name="FinCashChg4Q">Cash!$E$24</definedName>
    <definedName name="FinCashChgX4">Cash!$G$24</definedName>
    <definedName name="FixAssets1Q">Capital!$B$24</definedName>
    <definedName name="FixAssets2Q">Capital!$C$24</definedName>
    <definedName name="FixAssets3Q">Capital!$D$24</definedName>
    <definedName name="FixAssets4Q">Capital!$E$24</definedName>
    <definedName name="FixCosts1Q">'Contribution Margin'!$B$15</definedName>
    <definedName name="FixCosts2Q">'Contribution Margin'!$C$15</definedName>
    <definedName name="FixCosts3Q">'Contribution Margin'!$D$15</definedName>
    <definedName name="FixCosts4Q">'Contribution Margin'!$E$15</definedName>
    <definedName name="FixCostsX4">'Contribution Margin'!$G$15</definedName>
    <definedName name="FixDep1Q">Capital!$B$19</definedName>
    <definedName name="FixDep2Q">Capital!$C$19</definedName>
    <definedName name="FixDep3Q">Capital!$D$19</definedName>
    <definedName name="FixDep4Q">Capital!$E$19</definedName>
    <definedName name="FixDepX4">Capital!$G$19</definedName>
    <definedName name="FixDis1Q">Capital!$B$13</definedName>
    <definedName name="FixDis2Q">Capital!$C$13</definedName>
    <definedName name="FixDis3Q">Capital!$D$13</definedName>
    <definedName name="FixDis4Q">Capital!$E$13</definedName>
    <definedName name="FixDisX4">Capital!$G$13</definedName>
    <definedName name="FixDM1Q">'Assumptions and Dashboard'!$B$90</definedName>
    <definedName name="FixDM2Q">'Assumptions and Dashboard'!$C$90</definedName>
    <definedName name="FixDM3Q">'Assumptions and Dashboard'!$D$90</definedName>
    <definedName name="FixDM4Q">'Assumptions and Dashboard'!$E$90</definedName>
    <definedName name="FixLife">'Assumptions and Dashboard'!$H$84</definedName>
    <definedName name="FixPur1Q">'Assumptions and Dashboard'!$B$75</definedName>
    <definedName name="FixPur2Q">'Assumptions and Dashboard'!$C$75</definedName>
    <definedName name="FixPur3Q">'Assumptions and Dashboard'!$D$75</definedName>
    <definedName name="FixPur4Q">'Assumptions and Dashboard'!$E$75</definedName>
    <definedName name="FixPurX4">Capital!$G$7</definedName>
    <definedName name="FreeCF1Q">'Assumptions and Dashboard'!$B$127</definedName>
    <definedName name="FreeCF2Q">'Assumptions and Dashboard'!$C$127</definedName>
    <definedName name="FreeCF3Q">'Assumptions and Dashboard'!$D$127</definedName>
    <definedName name="FreeCF4Q">'Assumptions and Dashboard'!$E$127</definedName>
    <definedName name="FreeCFX4">'Assumptions and Dashboard'!$G$127</definedName>
    <definedName name="FtRent1Q">'Assumptions and Dashboard'!$B$66</definedName>
    <definedName name="FtRent2Q">'Assumptions and Dashboard'!$C$66</definedName>
    <definedName name="FtRent3Q">'Assumptions and Dashboard'!$D$66</definedName>
    <definedName name="FtRent4Q">'Assumptions and Dashboard'!$E$66</definedName>
    <definedName name="FurnDep1Q">Capital!$B$18</definedName>
    <definedName name="FurnDep2Q">Capital!$C$18</definedName>
    <definedName name="FurnDep3Q">Capital!$D$18</definedName>
    <definedName name="FurnDep4Q">Capital!$E$18</definedName>
    <definedName name="FurnDepX4">Capital!$G$18</definedName>
    <definedName name="FurnDis1Q">Capital!$B$12</definedName>
    <definedName name="FurnDis2Q">Capital!$C$12</definedName>
    <definedName name="FurnDis3Q">Capital!$D$12</definedName>
    <definedName name="FurnDis4Q">Capital!$E$12</definedName>
    <definedName name="FurnDisX4">Capital!$G$12</definedName>
    <definedName name="FurnDM1Q">'Assumptions and Dashboard'!$B$89</definedName>
    <definedName name="FurnDM2Q">'Assumptions and Dashboard'!$C$89</definedName>
    <definedName name="FurnDM3Q">'Assumptions and Dashboard'!$D$89</definedName>
    <definedName name="FurnDM4Q">'Assumptions and Dashboard'!$E$89</definedName>
    <definedName name="FurnLife">'Assumptions and Dashboard'!$H$83</definedName>
    <definedName name="FurnPur1Q">'Assumptions and Dashboard'!$B$74</definedName>
    <definedName name="FurnPur2Q">'Assumptions and Dashboard'!$C$74</definedName>
    <definedName name="FurnPur3Q">'Assumptions and Dashboard'!$D$74</definedName>
    <definedName name="FurnPur4Q">'Assumptions and Dashboard'!$E$74</definedName>
    <definedName name="FurnPurX4">Capital!$G$6</definedName>
    <definedName name="g">'Assumptions and Dashboard'!$H$107</definedName>
    <definedName name="GrMar1Q">'Financial Ratios'!$B$4</definedName>
    <definedName name="GrMar2Q">'Financial Ratios'!$C$4</definedName>
    <definedName name="GrMar3Q">'Financial Ratios'!$D$4</definedName>
    <definedName name="GrMar4Q">'Financial Ratios'!$E$4</definedName>
    <definedName name="GrMarX4">'Financial Ratios'!$G$4</definedName>
    <definedName name="GrossP1Q">'Income Statement'!$B$5</definedName>
    <definedName name="GrossP2Q">'Income Statement'!$C$5</definedName>
    <definedName name="GrossP3Q">'Income Statement'!$D$5</definedName>
    <definedName name="GrossP4Q">'Income Statement'!$E$5</definedName>
    <definedName name="GrossPX4">'Income Statement'!$G$5</definedName>
    <definedName name="IncEmp1Q">'Financial Ratios'!$B$14</definedName>
    <definedName name="IncEmp2Q">'Financial Ratios'!$C$14</definedName>
    <definedName name="IncEmp3Q">'Financial Ratios'!$D$14</definedName>
    <definedName name="IncEmp4Q">'Financial Ratios'!$E$14</definedName>
    <definedName name="IncEmpX4">'Financial Ratios'!$G$14</definedName>
    <definedName name="IntAnnual">'Assumptions and Dashboard'!$H$100</definedName>
    <definedName name="IntExp1Q">Cash!$B$23</definedName>
    <definedName name="IntExp2Q">Cash!$C$23</definedName>
    <definedName name="IntExp3Q">Cash!$D$23</definedName>
    <definedName name="IntExp4Q">Cash!$E$23</definedName>
    <definedName name="IntExpX4">Cash!$G$23</definedName>
    <definedName name="IntPer1Q">'Assumptions and Dashboard'!$B$101</definedName>
    <definedName name="IntPer2Q">'Assumptions and Dashboard'!$C$101</definedName>
    <definedName name="IntPer3Q">'Assumptions and Dashboard'!$D$101</definedName>
    <definedName name="IntPer4Q">'Assumptions and Dashboard'!$E$101</definedName>
    <definedName name="InvNeed1Q">'Inventory and Purchases'!$B$7</definedName>
    <definedName name="InvNeed2Q">'Inventory and Purchases'!$C$7</definedName>
    <definedName name="InvNeed3Q">'Inventory and Purchases'!$D$7</definedName>
    <definedName name="InvNeed4Q">'Inventory and Purchases'!$E$7</definedName>
    <definedName name="InvNeedX4">'Inventory and Purchases'!$G$7</definedName>
    <definedName name="InvTurn1Q">'Financial Ratios'!$B$17</definedName>
    <definedName name="InvTurn2Q">'Financial Ratios'!$C$17</definedName>
    <definedName name="InvTurn3Q">'Financial Ratios'!$D$17</definedName>
    <definedName name="InvTurn4Q">'Financial Ratios'!$E$17</definedName>
    <definedName name="InvTurnX4">'Financial Ratios'!$G$17</definedName>
    <definedName name="Labor1Q">COGS!$B$7</definedName>
    <definedName name="Labor2Q">COGS!$C$7</definedName>
    <definedName name="Labor3Q">COGS!$D$7</definedName>
    <definedName name="Labor4Q">COGS!$E$7</definedName>
    <definedName name="LaborCPU1Q">'Assumptions and Dashboard'!$B$19</definedName>
    <definedName name="LaborCPU2Q">'Assumptions and Dashboard'!$C$19</definedName>
    <definedName name="LaborCPU3Q">'Assumptions and Dashboard'!$D$19</definedName>
    <definedName name="LaborCPU4Q">'Assumptions and Dashboard'!$E$19</definedName>
    <definedName name="LaborX4">COGS!$G$7</definedName>
    <definedName name="Loan1Q">'Assumptions and Dashboard'!$B$97</definedName>
    <definedName name="Loan2Q">'Assumptions and Dashboard'!$C$97</definedName>
    <definedName name="Loan3Q">'Assumptions and Dashboard'!$D$97</definedName>
    <definedName name="Loan4Q">'Assumptions and Dashboard'!$E$97</definedName>
    <definedName name="LoanVal1Q">'Assumptions and Dashboard'!$B$103</definedName>
    <definedName name="LoanVal2Q">'Assumptions and Dashboard'!$C$103</definedName>
    <definedName name="LoanVal3Q">'Assumptions and Dashboard'!$D$103</definedName>
    <definedName name="LoanVal4Q">'Assumptions and Dashboard'!$E$103</definedName>
    <definedName name="LoanX3">'Assumptions and Dashboard'!#REF!</definedName>
    <definedName name="LoanX4">Cash!$G$21</definedName>
    <definedName name="MACRW">Valuation!$D$5</definedName>
    <definedName name="MACVal">Valuation!$B$5</definedName>
    <definedName name="MACWV">Valuation!$F$5</definedName>
    <definedName name="MedCoAssets">Comparables!$F$35</definedName>
    <definedName name="MedCompFCF">Comparables!$F$11</definedName>
    <definedName name="MedCompNI">Comparables!$E$11</definedName>
    <definedName name="MedCompPFCF">Comparables!$J$11</definedName>
    <definedName name="MedCompPNI">Comparables!$I$11</definedName>
    <definedName name="MedCompPS">Comparables!$H$11</definedName>
    <definedName name="MedCompSales">Comparables!$D$11</definedName>
    <definedName name="MedCompVal">Comparables!$B$11</definedName>
    <definedName name="MedCoNI">Comparables!$E$35</definedName>
    <definedName name="MedCoPA">Comparables!$J$35</definedName>
    <definedName name="MedCoPNI">Comparables!$I$35</definedName>
    <definedName name="MedCoPS">Comparables!$H$35</definedName>
    <definedName name="MedCoSales">Comparables!$D$35</definedName>
    <definedName name="MedCoVal">Comparables!$B$35</definedName>
    <definedName name="MinCash1Q">'Assumptions and Dashboard'!$B$94</definedName>
    <definedName name="MinCash2Q">'Assumptions and Dashboard'!$C$94</definedName>
    <definedName name="MinCash3Q">'Assumptions and Dashboard'!$D$94</definedName>
    <definedName name="MinCash4Q">'Assumptions and Dashboard'!$E$94</definedName>
    <definedName name="MiscExp1Q">'Operating Expenses'!$B$6</definedName>
    <definedName name="MiscExp2Q">'Operating Expenses'!$C$6</definedName>
    <definedName name="MiscExp3Q">'Operating Expenses'!$D$6</definedName>
    <definedName name="MiscExp4Q">'Operating Expenses'!$E$6</definedName>
    <definedName name="MiscExpX4">'Operating Expenses'!$G$6</definedName>
    <definedName name="MiscPct1Q">'Assumptions and Dashboard'!$B$61</definedName>
    <definedName name="MiscPct2Q">'Assumptions and Dashboard'!$C$61</definedName>
    <definedName name="MiscPct3Q">'Assumptions and Dashboard'!$D$61</definedName>
    <definedName name="MiscPct4Q">'Assumptions and Dashboard'!$E$61</definedName>
    <definedName name="NetInc1Q">'Income Statement'!$B$18</definedName>
    <definedName name="NetInc2Q">'Income Statement'!$C$18</definedName>
    <definedName name="NetInc3Q">'Income Statement'!$D$18</definedName>
    <definedName name="NetInc4Q">'Income Statement'!$E$18</definedName>
    <definedName name="NetIncX4">'Income Statement'!$G$18</definedName>
    <definedName name="NI_X4">'Assumptions and Dashboard'!$G$125</definedName>
    <definedName name="NI1Q">'Assumptions and Dashboard'!$B$125</definedName>
    <definedName name="NI2Q">'Assumptions and Dashboard'!$C$125</definedName>
    <definedName name="NI3Q">'Assumptions and Dashboard'!$D$125</definedName>
    <definedName name="NI4Q">'Assumptions and Dashboard'!$E$125</definedName>
    <definedName name="NoAA1Q">'Assumptions and Dashboard'!$B$40</definedName>
    <definedName name="NoAA2Q">'Assumptions and Dashboard'!$C$40</definedName>
    <definedName name="NoAA3Q">'Assumptions and Dashboard'!$D$40</definedName>
    <definedName name="NoAA4Q">'Assumptions and Dashboard'!$E$40</definedName>
    <definedName name="NoCA1Q">'Assumptions and Dashboard'!$B$39</definedName>
    <definedName name="NoCA2Q">'Assumptions and Dashboard'!$C$39</definedName>
    <definedName name="NoCA3Q">'Assumptions and Dashboard'!$D$39</definedName>
    <definedName name="NoCA4Q">'Assumptions and Dashboard'!$E$39</definedName>
    <definedName name="NoCEO1Q">'Assumptions and Dashboard'!$B$32</definedName>
    <definedName name="NoCEO2Q">'Assumptions and Dashboard'!$C$32</definedName>
    <definedName name="NoCEO3Q">'Assumptions and Dashboard'!$D$32</definedName>
    <definedName name="NoCEO4Q">'Assumptions and Dashboard'!$E$32</definedName>
    <definedName name="NoCFO1Q">'Assumptions and Dashboard'!$B$33</definedName>
    <definedName name="NoCFO2Q">'Assumptions and Dashboard'!$C$33</definedName>
    <definedName name="NoCFO3Q">'Assumptions and Dashboard'!$D$33</definedName>
    <definedName name="NoCFO4Q">'Assumptions and Dashboard'!$E$33</definedName>
    <definedName name="NoEmp1Q">'Assumptions and Dashboard'!$B$41</definedName>
    <definedName name="NoEmp2Q">'Assumptions and Dashboard'!$C$41</definedName>
    <definedName name="NoEmp3Q">'Assumptions and Dashboard'!$D$41</definedName>
    <definedName name="NoEmp4Q">'Assumptions and Dashboard'!$E$41</definedName>
    <definedName name="NoHE1Q">'Assumptions and Dashboard'!$B$38</definedName>
    <definedName name="NoHE2Q">'Assumptions and Dashboard'!$C$38</definedName>
    <definedName name="NoHE3Q">'Assumptions and Dashboard'!$D$38</definedName>
    <definedName name="NoHE4Q">'Assumptions and Dashboard'!$E$38</definedName>
    <definedName name="NoSP1Q">'Assumptions and Dashboard'!$B$37</definedName>
    <definedName name="NoSP2Q">'Assumptions and Dashboard'!$C$37</definedName>
    <definedName name="NoSP3Q">'Assumptions and Dashboard'!$D$37</definedName>
    <definedName name="NoSP4Q">'Assumptions and Dashboard'!$E$37</definedName>
    <definedName name="NoVPBD1Q">'Assumptions and Dashboard'!$B$36</definedName>
    <definedName name="NoVPBD2Q">'Assumptions and Dashboard'!$C$36</definedName>
    <definedName name="NoVPBD3Q">'Assumptions and Dashboard'!$D$36</definedName>
    <definedName name="NoVPBD4Q">'Assumptions and Dashboard'!$E$36</definedName>
    <definedName name="NoVPE1Q">'Assumptions and Dashboard'!$B$34</definedName>
    <definedName name="NoVPE2Q">'Assumptions and Dashboard'!$C$34</definedName>
    <definedName name="NoVPE3Q">'Assumptions and Dashboard'!$D$34</definedName>
    <definedName name="NoVPE4Q">'Assumptions and Dashboard'!$E$34</definedName>
    <definedName name="NoVPSM1Q">'Assumptions and Dashboard'!$B$35</definedName>
    <definedName name="NoVPSM2Q">'Assumptions and Dashboard'!$C$35</definedName>
    <definedName name="NoVPSM3Q">'Assumptions and Dashboard'!$D$35</definedName>
    <definedName name="NoVPSM4Q">'Assumptions and Dashboard'!$E$35</definedName>
    <definedName name="NPMar1Q">'Financial Ratios'!$B$6</definedName>
    <definedName name="NPMar2Q">'Financial Ratios'!$C$6</definedName>
    <definedName name="NPMar3Q">'Financial Ratios'!$D$6</definedName>
    <definedName name="NPMar4Q">'Financial Ratios'!$E$6</definedName>
    <definedName name="NPMarX4">'Financial Ratios'!$G$6</definedName>
    <definedName name="NPV">'Free Cash Flows'!$B$18</definedName>
    <definedName name="NWC1Q">'Balance Sheet'!$B$30</definedName>
    <definedName name="NWC2Q">'Balance Sheet'!$C$30</definedName>
    <definedName name="NWC3Q">'Balance Sheet'!$D$30</definedName>
    <definedName name="NWC4Q">'Balance Sheet'!$E$30</definedName>
    <definedName name="NWCX4">'Balance Sheet'!$G$30</definedName>
    <definedName name="OpExp1Q">'Operating Expenses'!$B$10</definedName>
    <definedName name="OpExp2Q">'Operating Expenses'!$C$10</definedName>
    <definedName name="OpExp3Q">'Operating Expenses'!$D$10</definedName>
    <definedName name="OpExp4Q">'Operating Expenses'!$E$10</definedName>
    <definedName name="OpExpX4">'Operating Expenses'!$G$10</definedName>
    <definedName name="OpInc1Q">'Income Statement'!$B$12</definedName>
    <definedName name="OpInc2Q">'Income Statement'!$C$12</definedName>
    <definedName name="OpInc3Q">'Income Statement'!$D$12</definedName>
    <definedName name="OpInc4Q">'Income Statement'!$E$12</definedName>
    <definedName name="OpIncX4">'Income Statement'!$G$12</definedName>
    <definedName name="OpLev1Q">'Contribution Margin'!$B$30</definedName>
    <definedName name="OpLev2Q">'Contribution Margin'!$C$30</definedName>
    <definedName name="OpLev3Q">'Contribution Margin'!$D$30</definedName>
    <definedName name="OpLev4Q">'Contribution Margin'!$E$30</definedName>
    <definedName name="OpLevX4">'Contribution Margin'!$G$30</definedName>
    <definedName name="PACAPEX1Q">Capital!$B$28</definedName>
    <definedName name="PACAPEX2Q">Capital!$C$28</definedName>
    <definedName name="PACAPEX3Q">Capital!$D$28</definedName>
    <definedName name="PACAPEX4Q">Capital!$E$28</definedName>
    <definedName name="PayCapB1Q">'Balance Sheet'!$B$13</definedName>
    <definedName name="PayCapB2Q">'Balance Sheet'!$C$13</definedName>
    <definedName name="PayCapB3Q">'Balance Sheet'!$D$13</definedName>
    <definedName name="PayCapB4Q">'Balance Sheet'!$E$13</definedName>
    <definedName name="PayCapBX4">'Balance Sheet'!$G$13</definedName>
    <definedName name="Payment1Q">'Inventory and Purchases'!$B$16</definedName>
    <definedName name="Payment2Q">'Inventory and Purchases'!$C$16</definedName>
    <definedName name="Payment3Q">'Inventory and Purchases'!$D$16</definedName>
    <definedName name="Payment4Q">'Inventory and Purchases'!$E$16</definedName>
    <definedName name="PaymentX4">'Inventory and Purchases'!$G$16</definedName>
    <definedName name="PCCRW">Valuation!$D$4</definedName>
    <definedName name="PCCVal">Valuation!$B$4</definedName>
    <definedName name="PCCWV">Valuation!$F$4</definedName>
    <definedName name="Price1Q">'Assumptions and Dashboard'!$B$6</definedName>
    <definedName name="Price2Q">'Assumptions and Dashboard'!$C$6</definedName>
    <definedName name="Price3Q">'Assumptions and Dashboard'!$D$6</definedName>
    <definedName name="Price4Q">'Assumptions and Dashboard'!$E$6</definedName>
    <definedName name="PTMar1Q">'Financial Ratios'!$B$5</definedName>
    <definedName name="PTMar2Q">'Financial Ratios'!$C$5</definedName>
    <definedName name="PTMar3Q">'Financial Ratios'!$D$5</definedName>
    <definedName name="PTMar4Q">'Financial Ratios'!$E$5</definedName>
    <definedName name="PTMarX4">'Financial Ratios'!$G$5</definedName>
    <definedName name="Purch1Q">'Inventory and Purchases'!$B$13</definedName>
    <definedName name="Purch2Q">'Inventory and Purchases'!$C$13</definedName>
    <definedName name="Purch3Q">'Inventory and Purchases'!$D$13</definedName>
    <definedName name="Purch4Q">'Inventory and Purchases'!$E$13</definedName>
    <definedName name="PurchX4">'Inventory and Purchases'!$G$13</definedName>
    <definedName name="PV1Q">'Free Cash Flows'!$B$15</definedName>
    <definedName name="PV2Q">'Free Cash Flows'!$C$15</definedName>
    <definedName name="PV3Q">'Free Cash Flows'!$D$15</definedName>
    <definedName name="PV4Q">'Free Cash Flows'!$E$15</definedName>
    <definedName name="QtrsYr">'Assumptions and Dashboard'!$H$86</definedName>
    <definedName name="RDExp1Q">'Operating Expenses'!$B$7</definedName>
    <definedName name="RDExp2Q">'Operating Expenses'!$C$7</definedName>
    <definedName name="RDExp3Q">'Operating Expenses'!$D$7</definedName>
    <definedName name="RDExp4Q">'Operating Expenses'!$E$7</definedName>
    <definedName name="RDExpX4">'Operating Expenses'!$G$7</definedName>
    <definedName name="RDPct1Q">'Assumptions and Dashboard'!$B$63</definedName>
    <definedName name="RDPct2Q">'Assumptions and Dashboard'!$C$63</definedName>
    <definedName name="RDPct3Q">'Assumptions and Dashboard'!$D$63</definedName>
    <definedName name="RDPct4Q">'Assumptions and Dashboard'!$E$63</definedName>
    <definedName name="RE_X4">'Balance Sheet'!$G$20</definedName>
    <definedName name="RE1Q">'Balance Sheet'!$B$20</definedName>
    <definedName name="RE2Q">'Balance Sheet'!$C$20</definedName>
    <definedName name="RE3Q">'Balance Sheet'!$D$20</definedName>
    <definedName name="RE4Q">'Balance Sheet'!$E$20</definedName>
    <definedName name="RecTurn1Q">'Financial Ratios'!$B$16</definedName>
    <definedName name="RecTurn2Q">'Financial Ratios'!$C$16</definedName>
    <definedName name="RecTurn3Q">'Financial Ratios'!$D$16</definedName>
    <definedName name="RecTurn4Q">'Financial Ratios'!$E$16</definedName>
    <definedName name="RecTurnX4">'Financial Ratios'!$G$16</definedName>
    <definedName name="RentExp1Q">'Assumptions and Dashboard'!$B$67</definedName>
    <definedName name="RentExp2Q">'Assumptions and Dashboard'!$C$67</definedName>
    <definedName name="RentExp3Q">'Assumptions and Dashboard'!$D$67</definedName>
    <definedName name="RentExp4Q">'Assumptions and Dashboard'!$E$67</definedName>
    <definedName name="RentExpX4">'Operating Expenses'!$G$8</definedName>
    <definedName name="RentFt1Q">'Assumptions and Dashboard'!$B$65</definedName>
    <definedName name="RentFt2Q">'Assumptions and Dashboard'!$C$65</definedName>
    <definedName name="RentFt3Q">'Assumptions and Dashboard'!$D$65</definedName>
    <definedName name="RentFt4Q">'Assumptions and Dashboard'!$E$65</definedName>
    <definedName name="Repay1Q">'Assumptions and Dashboard'!$B$98</definedName>
    <definedName name="Repay2Q">'Assumptions and Dashboard'!$C$98</definedName>
    <definedName name="Repay3Q">'Assumptions and Dashboard'!$D$98</definedName>
    <definedName name="Repay4Q">'Assumptions and Dashboard'!$E$98</definedName>
    <definedName name="RepayX3">'Assumptions and Dashboard'!#REF!</definedName>
    <definedName name="RepayX4">Cash!$G$22</definedName>
    <definedName name="RevEmp1Q">'Financial Ratios'!$B$15</definedName>
    <definedName name="RevEmp2Q">'Financial Ratios'!$C$15</definedName>
    <definedName name="RevEmp3Q">'Financial Ratios'!$D$15</definedName>
    <definedName name="RevEmp4Q">'Financial Ratios'!$E$15</definedName>
    <definedName name="RevEmpX4">'Financial Ratios'!$G$15</definedName>
    <definedName name="Revs1Q">'Assumptions and Dashboard'!$B$123</definedName>
    <definedName name="Revs2Q">'Assumptions and Dashboard'!$C$123</definedName>
    <definedName name="Revs3Q">'Assumptions and Dashboard'!$D$123</definedName>
    <definedName name="Revs4Q">'Assumptions and Dashboard'!$E$123</definedName>
    <definedName name="RevsX4">'Assumptions and Dashboard'!$G$123</definedName>
    <definedName name="ROA1Q">'Financial Ratios'!$B$10</definedName>
    <definedName name="ROA2Q">'Financial Ratios'!$C$10</definedName>
    <definedName name="ROA3Q">'Financial Ratios'!$D$10</definedName>
    <definedName name="ROA4Q">'Financial Ratios'!$E$10</definedName>
    <definedName name="ROAX4">'Financial Ratios'!$G$10</definedName>
    <definedName name="ROC1Q">'Financial Ratios'!$B$11</definedName>
    <definedName name="ROC2Q">'Financial Ratios'!$C$11</definedName>
    <definedName name="ROC3Q">'Financial Ratios'!$D$11</definedName>
    <definedName name="ROC4Q">'Financial Ratios'!$E$11</definedName>
    <definedName name="ROCX4">'Financial Ratios'!$G$11</definedName>
    <definedName name="ROE1Q">'Financial Ratios'!$B$9</definedName>
    <definedName name="ROE2Q">'Financial Ratios'!$C$9</definedName>
    <definedName name="ROE3Q">'Financial Ratios'!$D$9</definedName>
    <definedName name="ROE4Q">'Financial Ratios'!$E$9</definedName>
    <definedName name="ROEX4">'Financial Ratios'!$G$9</definedName>
    <definedName name="Sal1Q">'Headcount Overview'!$B$27</definedName>
    <definedName name="Sal2Q">'Headcount Overview'!$C$27</definedName>
    <definedName name="Sal3Q">'Headcount Overview'!$D$27</definedName>
    <definedName name="Sal4Q">'Headcount Overview'!$E$27</definedName>
    <definedName name="SalAA1Q">'Headcount Overview'!$B$26</definedName>
    <definedName name="SalAA2Q">'Headcount Overview'!$C$26</definedName>
    <definedName name="SalAA3Q">'Headcount Overview'!$D$26</definedName>
    <definedName name="SalAA4Q">'Headcount Overview'!$E$26</definedName>
    <definedName name="SalAAX4">'Assumptions and Dashboard'!$G$52</definedName>
    <definedName name="SalCA1Q">'Headcount Overview'!$B$25</definedName>
    <definedName name="SalCA2Q">'Headcount Overview'!$C$25</definedName>
    <definedName name="SalCA3Q">'Headcount Overview'!$D$25</definedName>
    <definedName name="SalCA4Q">'Headcount Overview'!$E$25</definedName>
    <definedName name="SalCAX4">'Assumptions and Dashboard'!$G$51</definedName>
    <definedName name="SalCEO1Q">'Headcount Overview'!$B$18</definedName>
    <definedName name="SalCEO2Q">'Headcount Overview'!$C$18</definedName>
    <definedName name="SalCEO3Q">'Headcount Overview'!$D$18</definedName>
    <definedName name="SalCEO4Q">'Headcount Overview'!$E$18</definedName>
    <definedName name="SalCEOX4">'Assumptions and Dashboard'!$G$44</definedName>
    <definedName name="SalCFO1Q">'Headcount Overview'!$B$19</definedName>
    <definedName name="SalCFO2Q">'Headcount Overview'!$C$19</definedName>
    <definedName name="SalCFO3Q">'Headcount Overview'!$D$19</definedName>
    <definedName name="SalCFO4Q">'Headcount Overview'!$E$19</definedName>
    <definedName name="SalCFOX4">'Assumptions and Dashboard'!$G$45</definedName>
    <definedName name="Sales1Q">'Sales and Collections'!$B$7</definedName>
    <definedName name="Sales2Q">'Sales and Collections'!$C$7</definedName>
    <definedName name="Sales3Q">'Sales and Collections'!$D$7</definedName>
    <definedName name="Sales4Q">'Sales and Collections'!$E$7</definedName>
    <definedName name="SalesX4">'Sales and Collections'!$G$7</definedName>
    <definedName name="SalExp1Q">'Headcount Cost'!$B$17</definedName>
    <definedName name="SalExp2Q">'Headcount Cost'!$C$17</definedName>
    <definedName name="SalExp3Q">'Headcount Cost'!$D$17</definedName>
    <definedName name="SalExp4Q">'Headcount Cost'!$E$17</definedName>
    <definedName name="SalExpX4">'Headcount Cost'!$G$17</definedName>
    <definedName name="SalHE1Q">'Headcount Overview'!$B$24</definedName>
    <definedName name="SalHE2Q">'Headcount Overview'!$C$24</definedName>
    <definedName name="SalHE3Q">'Headcount Overview'!$D$24</definedName>
    <definedName name="SalHE4Q">'Headcount Overview'!$E$24</definedName>
    <definedName name="SalHEX4">'Assumptions and Dashboard'!$G$50</definedName>
    <definedName name="SalSP1Q">'Headcount Overview'!$B$23</definedName>
    <definedName name="SalSP2Q">'Headcount Overview'!$C$23</definedName>
    <definedName name="SalSP3Q">'Headcount Overview'!$D$23</definedName>
    <definedName name="SalSP4Q">'Headcount Overview'!$E$23</definedName>
    <definedName name="SalSPX4">'Assumptions and Dashboard'!$G$49</definedName>
    <definedName name="SalVPBD1Q">'Headcount Overview'!$B$22</definedName>
    <definedName name="SalVPBD2Q">'Headcount Overview'!$C$22</definedName>
    <definedName name="SalVPBD3Q">'Headcount Overview'!$D$22</definedName>
    <definedName name="SalVPBD4Q">'Headcount Overview'!$E$22</definedName>
    <definedName name="SalVPBDX4">'Assumptions and Dashboard'!$G$48</definedName>
    <definedName name="SalVPE1Q">'Headcount Overview'!$B$20</definedName>
    <definedName name="SalVPE2Q">'Headcount Overview'!$C$20</definedName>
    <definedName name="SalVPE3Q">'Headcount Overview'!$D$20</definedName>
    <definedName name="SalVPE4Q">'Headcount Overview'!$E$20</definedName>
    <definedName name="SalVPEX4">'Assumptions and Dashboard'!$G$46</definedName>
    <definedName name="SalVPSM1Q">'Headcount Overview'!$B$21</definedName>
    <definedName name="SalVPSM2Q">'Headcount Overview'!$C$21</definedName>
    <definedName name="SalVPSM3Q">'Headcount Overview'!$D$21</definedName>
    <definedName name="SalVPSM4Q">'Headcount Overview'!$E$21</definedName>
    <definedName name="SalVPSMX4">'Assumptions and Dashboard'!$G$47</definedName>
    <definedName name="SalX4">'Headcount Overview'!$G$27</definedName>
    <definedName name="Screen1Q">COGS!$B$5</definedName>
    <definedName name="Screen2Q">COGS!$C$5</definedName>
    <definedName name="Screen3Q">COGS!$D$5</definedName>
    <definedName name="Screen4Q">COGS!$E$5</definedName>
    <definedName name="ScreenCPU1Q">'Assumptions and Dashboard'!$B$17</definedName>
    <definedName name="ScreenCPU2Q">'Assumptions and Dashboard'!$C$17</definedName>
    <definedName name="ScreenCPU3Q">'Assumptions and Dashboard'!$D$17</definedName>
    <definedName name="ScreenCPU4Q">'Assumptions and Dashboard'!$E$17</definedName>
    <definedName name="ScreenX4">COGS!$G$5</definedName>
    <definedName name="SIFCF">Comparables!$F$14</definedName>
    <definedName name="SIFCFVal">Comparables!$F$22</definedName>
    <definedName name="SINI">Comparables!$E$14</definedName>
    <definedName name="SINIVal">Comparables!$E$22</definedName>
    <definedName name="SIPFCF">Comparables!$J$14</definedName>
    <definedName name="SIPNI">Comparables!$I$14</definedName>
    <definedName name="SIPS">Comparables!$H$14</definedName>
    <definedName name="SISales">Comparables!$D$14</definedName>
    <definedName name="SISalesVal">Comparables!$D$22</definedName>
    <definedName name="SIVal">Comparables!$B$14</definedName>
    <definedName name="SubAP1Q">'Inventory and Purchases'!$B$22</definedName>
    <definedName name="SubAP2Q">'Inventory and Purchases'!$C$22</definedName>
    <definedName name="SubAP3Q">'Inventory and Purchases'!$D$22</definedName>
    <definedName name="SubAP4Q">'Inventory and Purchases'!$E$22</definedName>
    <definedName name="SubAPX4">'Inventory and Purchases'!$G$22</definedName>
    <definedName name="SubAR1Q">'Sales and Collections'!$B$23</definedName>
    <definedName name="SubAR2Q">'Sales and Collections'!$C$23</definedName>
    <definedName name="SubAR3Q">'Sales and Collections'!$D$23</definedName>
    <definedName name="SubAR4Q">'Sales and Collections'!$E$23</definedName>
    <definedName name="SubARX4">'Sales and Collections'!$G$23</definedName>
    <definedName name="TaxExp1Q">'Income Statement'!$B$17</definedName>
    <definedName name="TaxExp2Q">'Income Statement'!$C$17</definedName>
    <definedName name="TaxExp3Q">'Income Statement'!$D$17</definedName>
    <definedName name="TaxExp4Q">'Income Statement'!$E$17</definedName>
    <definedName name="TaxExpX4">'Income Statement'!$G$17</definedName>
    <definedName name="TaxInc1Q">'Income Statement'!$B$15</definedName>
    <definedName name="TaxInc2Q">'Income Statement'!$C$15</definedName>
    <definedName name="TaxInc3Q">'Income Statement'!$D$15</definedName>
    <definedName name="TaxInc4Q">'Income Statement'!$E$15</definedName>
    <definedName name="TaxIncX4">'Income Statement'!$G$15</definedName>
    <definedName name="TaxPct1Q">'Assumptions and Dashboard'!$B$69</definedName>
    <definedName name="TaxPct2Q">'Assumptions and Dashboard'!$C$69</definedName>
    <definedName name="TaxPct3Q">'Assumptions and Dashboard'!$D$69</definedName>
    <definedName name="TaxPct4Q">'Assumptions and Dashboard'!$E$69</definedName>
    <definedName name="TermVal4Q">'Free Cash Flows'!$E$12</definedName>
    <definedName name="TermValX4">'Free Cash Flows'!$G$12</definedName>
    <definedName name="TFCF1Q">'Free Cash Flows'!$B$13</definedName>
    <definedName name="TFCF2Q">'Free Cash Flows'!$C$13</definedName>
    <definedName name="TFCF3Q">'Free Cash Flows'!$D$13</definedName>
    <definedName name="TFCF4Q">'Free Cash Flows'!$E$13</definedName>
    <definedName name="TFCFX4">'Free Cash Flows'!$G$13</definedName>
    <definedName name="TotalCPU1Q">'Assumptions and Dashboard'!$B$20</definedName>
    <definedName name="TotalCPU2Q">'Assumptions and Dashboard'!$C$20</definedName>
    <definedName name="TotalCPU3Q">'Assumptions and Dashboard'!$D$20</definedName>
    <definedName name="TotalCPU4Q">'Assumptions and Dashboard'!$E$20</definedName>
    <definedName name="TotalDis1Q">Cash!$B$13</definedName>
    <definedName name="TotalDis2Q">Cash!$C$13</definedName>
    <definedName name="TotalDis3Q">Cash!$D$13</definedName>
    <definedName name="TotalDis4Q">Cash!$E$13</definedName>
    <definedName name="TotalDisX4">Cash!$G$13</definedName>
    <definedName name="TotAssets1Q">'Balance Sheet'!$B$8</definedName>
    <definedName name="TotAssets2Q">'Balance Sheet'!$C$8</definedName>
    <definedName name="TotAssets3Q">'Balance Sheet'!$D$8</definedName>
    <definedName name="TotAssets4Q">'Balance Sheet'!$E$8</definedName>
    <definedName name="TotAssetsX4">'Balance Sheet'!$G$8</definedName>
    <definedName name="TotCosts1Q">'Contribution Margin'!$B$28</definedName>
    <definedName name="TotCosts2Q">'Contribution Margin'!$C$28</definedName>
    <definedName name="TotCosts3Q">'Contribution Margin'!$D$28</definedName>
    <definedName name="TotCosts4Q">'Contribution Margin'!$E$28</definedName>
    <definedName name="TotCostsX4">'Contribution Margin'!$G$28</definedName>
    <definedName name="TotLiabs1Q">'Balance Sheet'!$B$15</definedName>
    <definedName name="TotLiabs2Q">'Balance Sheet'!$C$15</definedName>
    <definedName name="TotLiabs3Q">'Balance Sheet'!$D$15</definedName>
    <definedName name="TotLiabs4Q">'Balance Sheet'!$E$15</definedName>
    <definedName name="TotLiabsX4">'Balance Sheet'!$G$15</definedName>
    <definedName name="TotLOE1Q">'Balance Sheet'!$B$23</definedName>
    <definedName name="TotLOE2Q">'Balance Sheet'!$C$23</definedName>
    <definedName name="TotLOE3Q">'Balance Sheet'!$D$23</definedName>
    <definedName name="TotLOE4Q">'Balance Sheet'!$E$23</definedName>
    <definedName name="TotLOEX4">'Balance Sheet'!$G$23</definedName>
    <definedName name="TotOE1Q">'Balance Sheet'!$B$21</definedName>
    <definedName name="TotOE2Q">'Balance Sheet'!$C$21</definedName>
    <definedName name="TotOE3Q">'Balance Sheet'!$D$21</definedName>
    <definedName name="TotOE4Q">'Balance Sheet'!$E$21</definedName>
    <definedName name="TotOEX4">'Balance Sheet'!$G$21</definedName>
    <definedName name="TotRW">Valuation!$D$6</definedName>
    <definedName name="TotWV">Valuation!$F$6</definedName>
    <definedName name="Units1Q">'Assumptions and Dashboard'!$B$5</definedName>
    <definedName name="Units2Q">'Assumptions and Dashboard'!$C$5</definedName>
    <definedName name="Units3Q">'Assumptions and Dashboard'!$D$5</definedName>
    <definedName name="Units4Q">'Assumptions and Dashboard'!$E$5</definedName>
    <definedName name="VarCosts1Q">'Contribution Margin'!$B$9</definedName>
    <definedName name="VarCosts2Q">'Contribution Margin'!$C$9</definedName>
    <definedName name="VarCosts3Q">'Contribution Margin'!$D$9</definedName>
    <definedName name="VarCosts4Q">'Contribution Margin'!$E$9</definedName>
    <definedName name="VarCostsX4">'Contribution Margin'!$G$9</definedName>
    <definedName name="VCperUnit1Q">'Contribution Margin'!$B$35</definedName>
    <definedName name="VCperUnit2Q">'Contribution Margin'!$C$35</definedName>
    <definedName name="VCperUnit3Q">'Contribution Margin'!$D$35</definedName>
    <definedName name="VCperUnit4Q">'Contribution Margin'!$E$35</definedName>
    <definedName name="WACC">'Assumptions and Dashboard'!$H$106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7" l="1"/>
  <c r="C103" i="17"/>
  <c r="D103" i="17" s="1"/>
  <c r="K14" i="8" l="1"/>
  <c r="M17" i="50"/>
  <c r="M16" i="50"/>
  <c r="B5" i="3" l="1"/>
  <c r="B4" i="13" s="1"/>
  <c r="B6" i="3"/>
  <c r="B7" i="3"/>
  <c r="B6" i="1"/>
  <c r="B5" i="1"/>
  <c r="D6" i="15"/>
  <c r="B5" i="11"/>
  <c r="C5" i="11"/>
  <c r="D5" i="11"/>
  <c r="E5" i="11"/>
  <c r="C5" i="1"/>
  <c r="C6" i="1"/>
  <c r="D5" i="1"/>
  <c r="D7" i="1" s="1"/>
  <c r="D6" i="1"/>
  <c r="E5" i="1"/>
  <c r="E6" i="1"/>
  <c r="E7" i="1" s="1"/>
  <c r="E24" i="14" s="1"/>
  <c r="C5" i="3"/>
  <c r="C6" i="3"/>
  <c r="C7" i="3"/>
  <c r="C6" i="13" s="1"/>
  <c r="D5" i="3"/>
  <c r="D6" i="3"/>
  <c r="D7" i="3"/>
  <c r="E5" i="3"/>
  <c r="E6" i="3"/>
  <c r="E5" i="13" s="1"/>
  <c r="E7" i="3"/>
  <c r="B18" i="46"/>
  <c r="B6" i="47"/>
  <c r="B19" i="46"/>
  <c r="B7" i="47" s="1"/>
  <c r="B20" i="46"/>
  <c r="B8" i="47"/>
  <c r="B21" i="46"/>
  <c r="B9" i="47" s="1"/>
  <c r="B22" i="46"/>
  <c r="B10" i="47" s="1"/>
  <c r="B23" i="46"/>
  <c r="B11" i="47" s="1"/>
  <c r="B24" i="46"/>
  <c r="B12" i="47"/>
  <c r="B25" i="46"/>
  <c r="B13" i="47" s="1"/>
  <c r="B26" i="46"/>
  <c r="B14" i="47" s="1"/>
  <c r="G57" i="17"/>
  <c r="C18" i="46"/>
  <c r="C6" i="47" s="1"/>
  <c r="C19" i="46"/>
  <c r="C7" i="47" s="1"/>
  <c r="C20" i="46"/>
  <c r="C8" i="47" s="1"/>
  <c r="C21" i="46"/>
  <c r="C9" i="47" s="1"/>
  <c r="C22" i="46"/>
  <c r="C10" i="47" s="1"/>
  <c r="C23" i="46"/>
  <c r="C11" i="47" s="1"/>
  <c r="C24" i="46"/>
  <c r="C12" i="47" s="1"/>
  <c r="C25" i="46"/>
  <c r="C13" i="47" s="1"/>
  <c r="C26" i="46"/>
  <c r="C14" i="47" s="1"/>
  <c r="D18" i="46"/>
  <c r="D6" i="47" s="1"/>
  <c r="D19" i="46"/>
  <c r="D7" i="47" s="1"/>
  <c r="D20" i="46"/>
  <c r="D8" i="47" s="1"/>
  <c r="D21" i="46"/>
  <c r="D9" i="47" s="1"/>
  <c r="D22" i="46"/>
  <c r="D10" i="47" s="1"/>
  <c r="D23" i="46"/>
  <c r="D11" i="47" s="1"/>
  <c r="D24" i="46"/>
  <c r="D12" i="47" s="1"/>
  <c r="D25" i="46"/>
  <c r="D13" i="47" s="1"/>
  <c r="D26" i="46"/>
  <c r="D14" i="47" s="1"/>
  <c r="E18" i="46"/>
  <c r="E6" i="47"/>
  <c r="E19" i="46"/>
  <c r="E7" i="47" s="1"/>
  <c r="E20" i="46"/>
  <c r="E8" i="47" s="1"/>
  <c r="E21" i="46"/>
  <c r="E9" i="47" s="1"/>
  <c r="E22" i="46"/>
  <c r="E10" i="47"/>
  <c r="E23" i="46"/>
  <c r="E11" i="47" s="1"/>
  <c r="E24" i="46"/>
  <c r="E12" i="47" s="1"/>
  <c r="E25" i="46"/>
  <c r="E13" i="47" s="1"/>
  <c r="E26" i="46"/>
  <c r="E14" i="47"/>
  <c r="B67" i="17"/>
  <c r="B8" i="5"/>
  <c r="C67" i="17"/>
  <c r="C8" i="5" s="1"/>
  <c r="C17" i="5" s="1"/>
  <c r="D67" i="17"/>
  <c r="D8" i="5" s="1"/>
  <c r="D17" i="5" s="1"/>
  <c r="E67" i="17"/>
  <c r="E8" i="5" s="1"/>
  <c r="E17" i="5" s="1"/>
  <c r="B88" i="17"/>
  <c r="B17" i="7" s="1"/>
  <c r="B89" i="17"/>
  <c r="B18" i="7" s="1"/>
  <c r="B90" i="17"/>
  <c r="B19" i="7" s="1"/>
  <c r="C88" i="17"/>
  <c r="C89" i="17"/>
  <c r="C90" i="17"/>
  <c r="D88" i="17"/>
  <c r="D89" i="17"/>
  <c r="D90" i="17"/>
  <c r="E88" i="17"/>
  <c r="E89" i="17"/>
  <c r="E90" i="17"/>
  <c r="B103" i="17"/>
  <c r="B101" i="17"/>
  <c r="B23" i="8" s="1"/>
  <c r="B14" i="6" s="1"/>
  <c r="C101" i="17"/>
  <c r="D101" i="17"/>
  <c r="E101" i="17"/>
  <c r="B11" i="7"/>
  <c r="C11" i="7"/>
  <c r="D11" i="7"/>
  <c r="E11" i="7"/>
  <c r="B12" i="7"/>
  <c r="C12" i="7"/>
  <c r="D12" i="7"/>
  <c r="E12" i="7"/>
  <c r="B13" i="7"/>
  <c r="C13" i="7"/>
  <c r="D13" i="7"/>
  <c r="D14" i="7" s="1"/>
  <c r="E13" i="7"/>
  <c r="B10" i="17"/>
  <c r="C10" i="17"/>
  <c r="D10" i="17"/>
  <c r="E10" i="17"/>
  <c r="B14" i="7"/>
  <c r="B9" i="11" s="1"/>
  <c r="B20" i="8"/>
  <c r="B21" i="8"/>
  <c r="B22" i="8"/>
  <c r="C20" i="8"/>
  <c r="C21" i="8"/>
  <c r="C22" i="8"/>
  <c r="D20" i="8"/>
  <c r="D21" i="8"/>
  <c r="D22" i="8"/>
  <c r="E20" i="8"/>
  <c r="E21" i="8"/>
  <c r="E22" i="8"/>
  <c r="G21" i="1"/>
  <c r="J32" i="50"/>
  <c r="J33" i="50"/>
  <c r="J34" i="50"/>
  <c r="I32" i="50"/>
  <c r="I33" i="50"/>
  <c r="I34" i="50"/>
  <c r="H32" i="50"/>
  <c r="H33" i="50"/>
  <c r="H34" i="50"/>
  <c r="F35" i="50"/>
  <c r="E35" i="50"/>
  <c r="D35" i="50"/>
  <c r="B35" i="50"/>
  <c r="J14" i="50"/>
  <c r="I14" i="50"/>
  <c r="H14" i="50"/>
  <c r="J8" i="50"/>
  <c r="J9" i="50"/>
  <c r="J10" i="50"/>
  <c r="I8" i="50"/>
  <c r="I9" i="50"/>
  <c r="I10" i="50"/>
  <c r="H8" i="50"/>
  <c r="H9" i="50"/>
  <c r="H10" i="50"/>
  <c r="F11" i="50"/>
  <c r="E11" i="50"/>
  <c r="D11" i="50"/>
  <c r="B11" i="50"/>
  <c r="B21" i="11"/>
  <c r="B20" i="11"/>
  <c r="B27" i="7"/>
  <c r="B14" i="9"/>
  <c r="B19" i="9"/>
  <c r="C19" i="9" s="1"/>
  <c r="D19" i="9" s="1"/>
  <c r="G20" i="4"/>
  <c r="B46" i="10"/>
  <c r="B11" i="10" s="1"/>
  <c r="B21" i="10"/>
  <c r="B22" i="10" s="1"/>
  <c r="C44" i="10"/>
  <c r="C21" i="10"/>
  <c r="C22" i="10" s="1"/>
  <c r="D21" i="10"/>
  <c r="D22" i="10" s="1"/>
  <c r="E21" i="10"/>
  <c r="E22" i="10" s="1"/>
  <c r="E13" i="13"/>
  <c r="E4" i="13"/>
  <c r="E6" i="13"/>
  <c r="D4" i="13"/>
  <c r="D5" i="13"/>
  <c r="D6" i="13"/>
  <c r="C13" i="13"/>
  <c r="C4" i="13"/>
  <c r="C5" i="13"/>
  <c r="B13" i="13"/>
  <c r="E44" i="13"/>
  <c r="D44" i="13"/>
  <c r="C44" i="13"/>
  <c r="B44" i="13"/>
  <c r="E34" i="13"/>
  <c r="D34" i="13"/>
  <c r="C34" i="13"/>
  <c r="B34" i="13"/>
  <c r="B13" i="17"/>
  <c r="B76" i="17"/>
  <c r="B22" i="7" s="1"/>
  <c r="C13" i="17"/>
  <c r="C76" i="17"/>
  <c r="C8" i="7" s="1"/>
  <c r="D13" i="17"/>
  <c r="D76" i="17"/>
  <c r="D8" i="7" s="1"/>
  <c r="E13" i="17"/>
  <c r="E76" i="17"/>
  <c r="E8" i="7" s="1"/>
  <c r="G26" i="10"/>
  <c r="B45" i="10"/>
  <c r="B40" i="10"/>
  <c r="B36" i="10"/>
  <c r="B32" i="10"/>
  <c r="G18" i="5"/>
  <c r="G22" i="8"/>
  <c r="E15" i="8"/>
  <c r="D15" i="8"/>
  <c r="C15" i="8"/>
  <c r="B15" i="8"/>
  <c r="G4" i="8"/>
  <c r="E7" i="7"/>
  <c r="D7" i="7"/>
  <c r="C7" i="7"/>
  <c r="B7" i="7"/>
  <c r="E6" i="7"/>
  <c r="D6" i="7"/>
  <c r="C6" i="7"/>
  <c r="B6" i="7"/>
  <c r="E5" i="7"/>
  <c r="D5" i="7"/>
  <c r="C5" i="7"/>
  <c r="B5" i="7"/>
  <c r="B10" i="6"/>
  <c r="C10" i="6"/>
  <c r="D10" i="6"/>
  <c r="E10" i="6"/>
  <c r="G22" i="46"/>
  <c r="B41" i="17"/>
  <c r="B15" i="46" s="1"/>
  <c r="C41" i="17"/>
  <c r="D41" i="17"/>
  <c r="E41" i="17"/>
  <c r="G30" i="14" s="1"/>
  <c r="G26" i="46"/>
  <c r="G25" i="46"/>
  <c r="G24" i="46"/>
  <c r="G23" i="46"/>
  <c r="G21" i="46"/>
  <c r="G20" i="46"/>
  <c r="G19" i="46"/>
  <c r="G18" i="46"/>
  <c r="E12" i="46"/>
  <c r="D12" i="46"/>
  <c r="C12" i="46"/>
  <c r="B12" i="46"/>
  <c r="C27" i="46"/>
  <c r="E15" i="46"/>
  <c r="D15" i="46"/>
  <c r="C15" i="46"/>
  <c r="E14" i="46"/>
  <c r="D14" i="46"/>
  <c r="C14" i="46"/>
  <c r="B14" i="46"/>
  <c r="E13" i="46"/>
  <c r="D13" i="46"/>
  <c r="C13" i="46"/>
  <c r="B13" i="46"/>
  <c r="E11" i="46"/>
  <c r="D11" i="46"/>
  <c r="C11" i="46"/>
  <c r="B11" i="46"/>
  <c r="E10" i="46"/>
  <c r="D10" i="46"/>
  <c r="C10" i="46"/>
  <c r="B10" i="46"/>
  <c r="E9" i="46"/>
  <c r="D9" i="46"/>
  <c r="C9" i="46"/>
  <c r="B9" i="46"/>
  <c r="E8" i="46"/>
  <c r="D8" i="46"/>
  <c r="C8" i="46"/>
  <c r="B8" i="46"/>
  <c r="E7" i="46"/>
  <c r="D7" i="46"/>
  <c r="C7" i="46"/>
  <c r="B7" i="46"/>
  <c r="E6" i="46"/>
  <c r="D6" i="46"/>
  <c r="C6" i="46"/>
  <c r="B6" i="46"/>
  <c r="G12" i="4"/>
  <c r="E20" i="17"/>
  <c r="D20" i="17"/>
  <c r="C20" i="17"/>
  <c r="B27" i="46" l="1"/>
  <c r="G6" i="7"/>
  <c r="D13" i="13"/>
  <c r="H11" i="50"/>
  <c r="E27" i="46"/>
  <c r="B22" i="13"/>
  <c r="B16" i="10"/>
  <c r="B17" i="10" s="1"/>
  <c r="H35" i="50"/>
  <c r="J35" i="50"/>
  <c r="G20" i="8"/>
  <c r="D14" i="9"/>
  <c r="D44" i="10"/>
  <c r="D46" i="10" s="1"/>
  <c r="D11" i="10" s="1"/>
  <c r="C45" i="10"/>
  <c r="C14" i="9"/>
  <c r="J11" i="50"/>
  <c r="C46" i="10"/>
  <c r="C11" i="10" s="1"/>
  <c r="I11" i="50"/>
  <c r="G7" i="3"/>
  <c r="G6" i="13" s="1"/>
  <c r="B6" i="13"/>
  <c r="E103" i="17"/>
  <c r="E23" i="8" s="1"/>
  <c r="E22" i="13" s="1"/>
  <c r="D45" i="10"/>
  <c r="D3" i="6"/>
  <c r="D123" i="17"/>
  <c r="D7" i="5"/>
  <c r="D10" i="1"/>
  <c r="D24" i="14"/>
  <c r="D18" i="13"/>
  <c r="G10" i="6"/>
  <c r="G12" i="7"/>
  <c r="D23" i="8"/>
  <c r="D24" i="8" s="1"/>
  <c r="G12" i="47"/>
  <c r="G8" i="47"/>
  <c r="G21" i="10"/>
  <c r="G22" i="10" s="1"/>
  <c r="E14" i="7"/>
  <c r="C23" i="8"/>
  <c r="C22" i="13" s="1"/>
  <c r="G14" i="47"/>
  <c r="G10" i="47"/>
  <c r="G6" i="3"/>
  <c r="G5" i="13" s="1"/>
  <c r="G21" i="8"/>
  <c r="D11" i="1"/>
  <c r="D22" i="1" s="1"/>
  <c r="E23" i="1" s="1"/>
  <c r="D8" i="3"/>
  <c r="G5" i="3"/>
  <c r="G4" i="13" s="1"/>
  <c r="B7" i="1"/>
  <c r="G5" i="1"/>
  <c r="E9" i="11"/>
  <c r="E16" i="10"/>
  <c r="E17" i="10" s="1"/>
  <c r="C15" i="47"/>
  <c r="C17" i="47" s="1"/>
  <c r="G6" i="47"/>
  <c r="G13" i="47"/>
  <c r="G11" i="47"/>
  <c r="G9" i="47"/>
  <c r="G7" i="47"/>
  <c r="D9" i="11"/>
  <c r="D12" i="8"/>
  <c r="D16" i="10"/>
  <c r="D17" i="10" s="1"/>
  <c r="D4" i="6"/>
  <c r="D6" i="4"/>
  <c r="D32" i="14"/>
  <c r="I35" i="50"/>
  <c r="G11" i="7"/>
  <c r="G8" i="5"/>
  <c r="G13" i="13" s="1"/>
  <c r="E15" i="47"/>
  <c r="E17" i="47" s="1"/>
  <c r="B15" i="47"/>
  <c r="B17" i="47" s="1"/>
  <c r="E8" i="3"/>
  <c r="E32" i="14" s="1"/>
  <c r="D27" i="46"/>
  <c r="G27" i="46" s="1"/>
  <c r="D15" i="14"/>
  <c r="G5" i="7"/>
  <c r="G8" i="7" s="1"/>
  <c r="G7" i="7"/>
  <c r="E123" i="17"/>
  <c r="C5" i="4"/>
  <c r="C37" i="10" s="1"/>
  <c r="E18" i="13"/>
  <c r="B5" i="13"/>
  <c r="C14" i="7"/>
  <c r="B17" i="5"/>
  <c r="G17" i="5" s="1"/>
  <c r="G13" i="7"/>
  <c r="D6" i="5"/>
  <c r="C8" i="3"/>
  <c r="C32" i="14" s="1"/>
  <c r="C7" i="1"/>
  <c r="C10" i="1" s="1"/>
  <c r="B8" i="3"/>
  <c r="B32" i="14" s="1"/>
  <c r="C19" i="7"/>
  <c r="D19" i="7" s="1"/>
  <c r="E19" i="7" s="1"/>
  <c r="G19" i="7" s="1"/>
  <c r="C17" i="7"/>
  <c r="B20" i="7"/>
  <c r="B5" i="4"/>
  <c r="C4" i="6"/>
  <c r="C6" i="4"/>
  <c r="C7" i="4" s="1"/>
  <c r="C11" i="4" s="1"/>
  <c r="C11" i="1"/>
  <c r="B8" i="7"/>
  <c r="C30" i="14"/>
  <c r="E30" i="14"/>
  <c r="E15" i="14"/>
  <c r="B24" i="8"/>
  <c r="C22" i="7"/>
  <c r="E19" i="9"/>
  <c r="C18" i="7"/>
  <c r="D18" i="7" s="1"/>
  <c r="E18" i="7" s="1"/>
  <c r="E6" i="5"/>
  <c r="E7" i="5"/>
  <c r="E11" i="1"/>
  <c r="E3" i="6"/>
  <c r="E10" i="1"/>
  <c r="B30" i="14"/>
  <c r="D30" i="14"/>
  <c r="B28" i="7"/>
  <c r="B13" i="9" s="1"/>
  <c r="D15" i="47"/>
  <c r="D17" i="47" s="1"/>
  <c r="E12" i="8"/>
  <c r="B12" i="8"/>
  <c r="B18" i="13" l="1"/>
  <c r="B10" i="1"/>
  <c r="B16" i="1" s="1"/>
  <c r="C14" i="6"/>
  <c r="C6" i="9"/>
  <c r="E44" i="10"/>
  <c r="E46" i="10" s="1"/>
  <c r="E11" i="10" s="1"/>
  <c r="G11" i="10" s="1"/>
  <c r="C17" i="14"/>
  <c r="C24" i="8"/>
  <c r="C33" i="14"/>
  <c r="D12" i="4"/>
  <c r="D5" i="6"/>
  <c r="D4" i="14" s="1"/>
  <c r="B15" i="14"/>
  <c r="B3" i="6"/>
  <c r="B24" i="14"/>
  <c r="D5" i="4"/>
  <c r="C6" i="5"/>
  <c r="E6" i="4"/>
  <c r="E24" i="8"/>
  <c r="G23" i="8"/>
  <c r="G22" i="13" s="1"/>
  <c r="E14" i="6"/>
  <c r="B7" i="5"/>
  <c r="B9" i="6" s="1"/>
  <c r="G7" i="1"/>
  <c r="D42" i="50" s="1"/>
  <c r="B5" i="15" s="1"/>
  <c r="F5" i="15" s="1"/>
  <c r="B11" i="1"/>
  <c r="G11" i="1" s="1"/>
  <c r="B123" i="17"/>
  <c r="C132" i="17" s="1"/>
  <c r="G8" i="3"/>
  <c r="G32" i="14" s="1"/>
  <c r="B6" i="5"/>
  <c r="B7" i="13" s="1"/>
  <c r="B4" i="6"/>
  <c r="C7" i="5"/>
  <c r="D16" i="1"/>
  <c r="D12" i="1"/>
  <c r="D16" i="5"/>
  <c r="D9" i="6"/>
  <c r="D8" i="13"/>
  <c r="E4" i="6"/>
  <c r="E5" i="6" s="1"/>
  <c r="C3" i="6"/>
  <c r="D14" i="6"/>
  <c r="G14" i="6" s="1"/>
  <c r="D22" i="13"/>
  <c r="E14" i="9"/>
  <c r="G14" i="9" s="1"/>
  <c r="E45" i="10"/>
  <c r="B6" i="4"/>
  <c r="B7" i="4" s="1"/>
  <c r="B11" i="4" s="1"/>
  <c r="B13" i="4" s="1"/>
  <c r="C24" i="14"/>
  <c r="C18" i="13"/>
  <c r="C123" i="17"/>
  <c r="D7" i="13"/>
  <c r="D15" i="5"/>
  <c r="D8" i="6"/>
  <c r="E5" i="5"/>
  <c r="E14" i="5" s="1"/>
  <c r="E7" i="6"/>
  <c r="E12" i="13"/>
  <c r="C5" i="5"/>
  <c r="C14" i="5" s="1"/>
  <c r="C19" i="5" s="1"/>
  <c r="C10" i="8" s="1"/>
  <c r="C7" i="6"/>
  <c r="C12" i="13"/>
  <c r="G14" i="7"/>
  <c r="C9" i="11"/>
  <c r="C27" i="7"/>
  <c r="D27" i="7" s="1"/>
  <c r="E27" i="7" s="1"/>
  <c r="C12" i="8"/>
  <c r="C16" i="10"/>
  <c r="C17" i="10" s="1"/>
  <c r="B5" i="5"/>
  <c r="B14" i="5" s="1"/>
  <c r="B7" i="6"/>
  <c r="B12" i="13"/>
  <c r="C15" i="14"/>
  <c r="G15" i="47"/>
  <c r="D23" i="14"/>
  <c r="E16" i="1"/>
  <c r="E12" i="1"/>
  <c r="E16" i="5"/>
  <c r="E19" i="5" s="1"/>
  <c r="E10" i="8" s="1"/>
  <c r="E8" i="13"/>
  <c r="E9" i="6"/>
  <c r="D6" i="9"/>
  <c r="D7" i="4"/>
  <c r="D11" i="4" s="1"/>
  <c r="D13" i="4" s="1"/>
  <c r="E5" i="4"/>
  <c r="E12" i="4"/>
  <c r="D33" i="14"/>
  <c r="D37" i="10"/>
  <c r="D17" i="14"/>
  <c r="C16" i="1"/>
  <c r="C12" i="1"/>
  <c r="C22" i="1"/>
  <c r="D23" i="1" s="1"/>
  <c r="D17" i="1" s="1"/>
  <c r="D18" i="1" s="1"/>
  <c r="D6" i="8" s="1"/>
  <c r="C15" i="5"/>
  <c r="C8" i="6"/>
  <c r="C7" i="13"/>
  <c r="C12" i="4"/>
  <c r="C13" i="4" s="1"/>
  <c r="B6" i="9"/>
  <c r="B38" i="10"/>
  <c r="B9" i="10" s="1"/>
  <c r="B33" i="14"/>
  <c r="B37" i="10"/>
  <c r="B17" i="14"/>
  <c r="B9" i="5"/>
  <c r="B7" i="10"/>
  <c r="B8" i="11"/>
  <c r="B23" i="7"/>
  <c r="B24" i="7" s="1"/>
  <c r="B7" i="9" s="1"/>
  <c r="B14" i="13"/>
  <c r="B11" i="6"/>
  <c r="D38" i="10"/>
  <c r="D9" i="10" s="1"/>
  <c r="D36" i="10"/>
  <c r="G18" i="7"/>
  <c r="D5" i="5"/>
  <c r="G17" i="47"/>
  <c r="G12" i="13" s="1"/>
  <c r="D12" i="13"/>
  <c r="D7" i="6"/>
  <c r="E22" i="1"/>
  <c r="E17" i="1"/>
  <c r="E15" i="5"/>
  <c r="E7" i="13"/>
  <c r="E8" i="6"/>
  <c r="G19" i="9"/>
  <c r="D22" i="7"/>
  <c r="C5" i="6"/>
  <c r="C16" i="5"/>
  <c r="C8" i="13"/>
  <c r="C9" i="6"/>
  <c r="D17" i="7"/>
  <c r="C20" i="7"/>
  <c r="G24" i="8" l="1"/>
  <c r="E4" i="14"/>
  <c r="E23" i="14"/>
  <c r="C28" i="7"/>
  <c r="C13" i="9" s="1"/>
  <c r="E9" i="13"/>
  <c r="E35" i="13" s="1"/>
  <c r="E36" i="13" s="1"/>
  <c r="D9" i="13"/>
  <c r="G3" i="6"/>
  <c r="G7" i="6"/>
  <c r="B15" i="13"/>
  <c r="B21" i="13" s="1"/>
  <c r="G6" i="4"/>
  <c r="G6" i="5"/>
  <c r="G7" i="13" s="1"/>
  <c r="B12" i="1"/>
  <c r="G10" i="1"/>
  <c r="G12" i="1" s="1"/>
  <c r="G4" i="6"/>
  <c r="B5" i="6"/>
  <c r="B23" i="14" s="1"/>
  <c r="B16" i="5"/>
  <c r="G16" i="5" s="1"/>
  <c r="G7" i="5"/>
  <c r="G8" i="13" s="1"/>
  <c r="G15" i="14"/>
  <c r="G123" i="17"/>
  <c r="D22" i="50"/>
  <c r="G18" i="13"/>
  <c r="G9" i="6"/>
  <c r="B8" i="13"/>
  <c r="B9" i="13" s="1"/>
  <c r="G24" i="14"/>
  <c r="D21" i="50"/>
  <c r="B4" i="15" s="1"/>
  <c r="F4" i="15" s="1"/>
  <c r="B15" i="5"/>
  <c r="B8" i="6"/>
  <c r="G8" i="6" s="1"/>
  <c r="B17" i="1"/>
  <c r="B18" i="1" s="1"/>
  <c r="B22" i="1"/>
  <c r="G22" i="1" s="1"/>
  <c r="G9" i="11"/>
  <c r="G12" i="8"/>
  <c r="G16" i="10"/>
  <c r="G17" i="10" s="1"/>
  <c r="D20" i="13"/>
  <c r="D35" i="13"/>
  <c r="D36" i="13" s="1"/>
  <c r="D19" i="13"/>
  <c r="C21" i="4"/>
  <c r="D22" i="4" s="1"/>
  <c r="D16" i="4" s="1"/>
  <c r="D17" i="4" s="1"/>
  <c r="D9" i="8" s="1"/>
  <c r="E18" i="1"/>
  <c r="E6" i="8" s="1"/>
  <c r="E17" i="7"/>
  <c r="E20" i="7" s="1"/>
  <c r="D20" i="7"/>
  <c r="C4" i="14"/>
  <c r="C23" i="14"/>
  <c r="D14" i="5"/>
  <c r="G5" i="5"/>
  <c r="B21" i="4"/>
  <c r="B16" i="4"/>
  <c r="G16" i="1"/>
  <c r="E38" i="10"/>
  <c r="E9" i="10" s="1"/>
  <c r="E36" i="10"/>
  <c r="D21" i="4"/>
  <c r="E22" i="4" s="1"/>
  <c r="C9" i="5"/>
  <c r="C10" i="5" s="1"/>
  <c r="C12" i="6" s="1"/>
  <c r="C23" i="7"/>
  <c r="C24" i="7" s="1"/>
  <c r="C7" i="9" s="1"/>
  <c r="C8" i="11"/>
  <c r="C7" i="10"/>
  <c r="C14" i="13"/>
  <c r="C15" i="13" s="1"/>
  <c r="C11" i="6"/>
  <c r="E22" i="7"/>
  <c r="D28" i="7"/>
  <c r="D13" i="9" s="1"/>
  <c r="B38" i="13"/>
  <c r="B10" i="5"/>
  <c r="C38" i="10"/>
  <c r="C9" i="10" s="1"/>
  <c r="G9" i="10" s="1"/>
  <c r="C36" i="10"/>
  <c r="E7" i="4"/>
  <c r="E11" i="4" s="1"/>
  <c r="E13" i="4" s="1"/>
  <c r="G5" i="4"/>
  <c r="E17" i="14"/>
  <c r="E6" i="9"/>
  <c r="E33" i="14"/>
  <c r="E37" i="10"/>
  <c r="C9" i="13"/>
  <c r="B4" i="14" l="1"/>
  <c r="G5" i="6"/>
  <c r="G4" i="14" s="1"/>
  <c r="E19" i="13"/>
  <c r="B27" i="13"/>
  <c r="E20" i="13"/>
  <c r="G9" i="13"/>
  <c r="G19" i="13" s="1"/>
  <c r="B12" i="6"/>
  <c r="B15" i="6" s="1"/>
  <c r="B19" i="5"/>
  <c r="B10" i="8" s="1"/>
  <c r="B35" i="13"/>
  <c r="B36" i="13" s="1"/>
  <c r="B40" i="13" s="1"/>
  <c r="B43" i="13" s="1"/>
  <c r="B19" i="13"/>
  <c r="B20" i="13"/>
  <c r="B28" i="13"/>
  <c r="B30" i="13" s="1"/>
  <c r="B7" i="8"/>
  <c r="B6" i="8"/>
  <c r="G15" i="5"/>
  <c r="B24" i="1"/>
  <c r="C23" i="1"/>
  <c r="G17" i="7"/>
  <c r="G20" i="7" s="1"/>
  <c r="G14" i="13" s="1"/>
  <c r="G15" i="13" s="1"/>
  <c r="C3" i="11"/>
  <c r="C7" i="11" s="1"/>
  <c r="C15" i="6"/>
  <c r="E28" i="7"/>
  <c r="E13" i="9" s="1"/>
  <c r="G13" i="9" s="1"/>
  <c r="C27" i="13"/>
  <c r="C38" i="13"/>
  <c r="C28" i="13"/>
  <c r="C30" i="13" s="1"/>
  <c r="C21" i="13"/>
  <c r="B23" i="4"/>
  <c r="C22" i="4"/>
  <c r="D19" i="5"/>
  <c r="D10" i="8" s="1"/>
  <c r="G14" i="5"/>
  <c r="G8" i="11"/>
  <c r="E9" i="5"/>
  <c r="E10" i="5" s="1"/>
  <c r="E12" i="6" s="1"/>
  <c r="E8" i="11"/>
  <c r="E7" i="10"/>
  <c r="E14" i="13"/>
  <c r="E15" i="13" s="1"/>
  <c r="E11" i="6"/>
  <c r="E21" i="4"/>
  <c r="G21" i="4" s="1"/>
  <c r="E16" i="4"/>
  <c r="E17" i="4" s="1"/>
  <c r="E9" i="8" s="1"/>
  <c r="C35" i="13"/>
  <c r="C36" i="13" s="1"/>
  <c r="C40" i="13" s="1"/>
  <c r="C20" i="13"/>
  <c r="C19" i="13"/>
  <c r="G6" i="9"/>
  <c r="G33" i="14"/>
  <c r="G7" i="4"/>
  <c r="G17" i="14"/>
  <c r="B17" i="4"/>
  <c r="B9" i="8" s="1"/>
  <c r="D9" i="5"/>
  <c r="D10" i="5" s="1"/>
  <c r="D12" i="6" s="1"/>
  <c r="D8" i="11"/>
  <c r="D23" i="7"/>
  <c r="D24" i="7" s="1"/>
  <c r="D7" i="9" s="1"/>
  <c r="D7" i="10"/>
  <c r="D14" i="13"/>
  <c r="D15" i="13" s="1"/>
  <c r="D11" i="6"/>
  <c r="G11" i="6" s="1"/>
  <c r="G23" i="14" l="1"/>
  <c r="G7" i="10"/>
  <c r="G20" i="13"/>
  <c r="B3" i="11"/>
  <c r="B7" i="11" s="1"/>
  <c r="G19" i="5"/>
  <c r="G10" i="8" s="1"/>
  <c r="B45" i="13"/>
  <c r="G9" i="5"/>
  <c r="G10" i="5" s="1"/>
  <c r="G12" i="6" s="1"/>
  <c r="G15" i="6" s="1"/>
  <c r="B28" i="9"/>
  <c r="B31" i="14"/>
  <c r="B34" i="10"/>
  <c r="B8" i="10" s="1"/>
  <c r="B5" i="9"/>
  <c r="B16" i="14"/>
  <c r="C21" i="1"/>
  <c r="B33" i="10"/>
  <c r="G23" i="1"/>
  <c r="G24" i="1" s="1"/>
  <c r="C17" i="1"/>
  <c r="C43" i="13"/>
  <c r="C45" i="13"/>
  <c r="G22" i="4"/>
  <c r="G23" i="4" s="1"/>
  <c r="G12" i="9" s="1"/>
  <c r="G15" i="9" s="1"/>
  <c r="C16" i="4"/>
  <c r="E23" i="7"/>
  <c r="E24" i="7" s="1"/>
  <c r="E7" i="9" s="1"/>
  <c r="G7" i="9" s="1"/>
  <c r="D40" i="13"/>
  <c r="D38" i="13"/>
  <c r="D21" i="13"/>
  <c r="D28" i="13"/>
  <c r="D30" i="13" s="1"/>
  <c r="D27" i="13"/>
  <c r="D3" i="11"/>
  <c r="D7" i="11" s="1"/>
  <c r="D15" i="6"/>
  <c r="E40" i="13"/>
  <c r="E27" i="13"/>
  <c r="E38" i="13"/>
  <c r="E28" i="13"/>
  <c r="E30" i="13" s="1"/>
  <c r="E21" i="13"/>
  <c r="E3" i="11"/>
  <c r="E7" i="11" s="1"/>
  <c r="E15" i="6"/>
  <c r="G21" i="13"/>
  <c r="G28" i="13"/>
  <c r="G30" i="13" s="1"/>
  <c r="G27" i="13"/>
  <c r="B29" i="9"/>
  <c r="B12" i="9"/>
  <c r="B15" i="9" s="1"/>
  <c r="C20" i="4"/>
  <c r="B42" i="10"/>
  <c r="B10" i="10" s="1"/>
  <c r="B41" i="10"/>
  <c r="B17" i="6"/>
  <c r="B25" i="14"/>
  <c r="B5" i="14"/>
  <c r="C17" i="6"/>
  <c r="C18" i="6" s="1"/>
  <c r="C5" i="14"/>
  <c r="C25" i="14"/>
  <c r="C24" i="13" l="1"/>
  <c r="G3" i="11"/>
  <c r="B30" i="9"/>
  <c r="C32" i="9" s="1"/>
  <c r="G31" i="14"/>
  <c r="G16" i="14"/>
  <c r="G5" i="9"/>
  <c r="C24" i="1"/>
  <c r="C32" i="10"/>
  <c r="G17" i="1"/>
  <c r="G18" i="1" s="1"/>
  <c r="C18" i="1"/>
  <c r="C6" i="8" s="1"/>
  <c r="G6" i="8" s="1"/>
  <c r="B11" i="8"/>
  <c r="B13" i="8" s="1"/>
  <c r="B23" i="13"/>
  <c r="B24" i="13"/>
  <c r="C23" i="4"/>
  <c r="C40" i="10"/>
  <c r="E43" i="13"/>
  <c r="E45" i="13"/>
  <c r="G25" i="14"/>
  <c r="G5" i="14"/>
  <c r="G7" i="11"/>
  <c r="C14" i="14"/>
  <c r="C6" i="14"/>
  <c r="C4" i="10"/>
  <c r="C26" i="14"/>
  <c r="C125" i="17"/>
  <c r="C11" i="8"/>
  <c r="C23" i="13"/>
  <c r="E17" i="6"/>
  <c r="E5" i="14"/>
  <c r="E25" i="14"/>
  <c r="D17" i="6"/>
  <c r="D25" i="14"/>
  <c r="D5" i="14"/>
  <c r="D45" i="13"/>
  <c r="D43" i="13"/>
  <c r="C17" i="4"/>
  <c r="C9" i="8" s="1"/>
  <c r="G16" i="4"/>
  <c r="G17" i="4" s="1"/>
  <c r="G9" i="8" s="1"/>
  <c r="B18" i="6"/>
  <c r="G17" i="6" l="1"/>
  <c r="G23" i="13" s="1"/>
  <c r="B33" i="9"/>
  <c r="B34" i="9" s="1"/>
  <c r="B10" i="11" s="1"/>
  <c r="B11" i="11" s="1"/>
  <c r="B13" i="11" s="1"/>
  <c r="I19" i="11" s="1"/>
  <c r="C34" i="10"/>
  <c r="C8" i="10" s="1"/>
  <c r="C28" i="9"/>
  <c r="C33" i="10"/>
  <c r="C5" i="9"/>
  <c r="C31" i="14"/>
  <c r="D21" i="1"/>
  <c r="C16" i="14"/>
  <c r="C13" i="8"/>
  <c r="C16" i="8" s="1"/>
  <c r="D18" i="6"/>
  <c r="D14" i="14" s="1"/>
  <c r="B20" i="9"/>
  <c r="B12" i="10"/>
  <c r="B25" i="10" s="1"/>
  <c r="B26" i="14"/>
  <c r="B125" i="17"/>
  <c r="C142" i="17" s="1"/>
  <c r="B14" i="14"/>
  <c r="B6" i="14"/>
  <c r="B4" i="10"/>
  <c r="D26" i="14"/>
  <c r="D125" i="17"/>
  <c r="E11" i="8"/>
  <c r="E13" i="8" s="1"/>
  <c r="E16" i="8" s="1"/>
  <c r="E23" i="13"/>
  <c r="E24" i="13"/>
  <c r="D20" i="4"/>
  <c r="C29" i="9"/>
  <c r="C12" i="9"/>
  <c r="C15" i="9" s="1"/>
  <c r="C41" i="10"/>
  <c r="D11" i="8"/>
  <c r="D13" i="8" s="1"/>
  <c r="D16" i="8" s="1"/>
  <c r="D23" i="13"/>
  <c r="D24" i="13"/>
  <c r="B16" i="8"/>
  <c r="B26" i="8"/>
  <c r="B18" i="8"/>
  <c r="E18" i="6"/>
  <c r="C42" i="10"/>
  <c r="C10" i="10" s="1"/>
  <c r="D4" i="10" l="1"/>
  <c r="D6" i="14"/>
  <c r="G18" i="6"/>
  <c r="G14" i="14" s="1"/>
  <c r="G24" i="13"/>
  <c r="G11" i="8"/>
  <c r="G13" i="8" s="1"/>
  <c r="C30" i="9"/>
  <c r="C33" i="9" s="1"/>
  <c r="C34" i="9" s="1"/>
  <c r="C10" i="11" s="1"/>
  <c r="D24" i="1"/>
  <c r="D32" i="10"/>
  <c r="C4" i="8"/>
  <c r="C7" i="8" s="1"/>
  <c r="B4" i="9"/>
  <c r="B8" i="9" s="1"/>
  <c r="E14" i="14"/>
  <c r="E6" i="14"/>
  <c r="E4" i="10"/>
  <c r="E26" i="14"/>
  <c r="E125" i="17"/>
  <c r="D23" i="4"/>
  <c r="D42" i="10" s="1"/>
  <c r="D10" i="10" s="1"/>
  <c r="D40" i="10"/>
  <c r="C20" i="9"/>
  <c r="B21" i="9"/>
  <c r="C12" i="10"/>
  <c r="C25" i="10" s="1"/>
  <c r="B15" i="11"/>
  <c r="B127" i="17"/>
  <c r="C152" i="17" s="1"/>
  <c r="B27" i="10"/>
  <c r="E22" i="50" l="1"/>
  <c r="G6" i="14"/>
  <c r="G125" i="17"/>
  <c r="E21" i="50"/>
  <c r="G4" i="10"/>
  <c r="G26" i="14"/>
  <c r="E42" i="50"/>
  <c r="D32" i="9"/>
  <c r="D34" i="10"/>
  <c r="D8" i="10" s="1"/>
  <c r="D12" i="10" s="1"/>
  <c r="D25" i="10" s="1"/>
  <c r="D5" i="9"/>
  <c r="D31" i="14"/>
  <c r="D16" i="14"/>
  <c r="E21" i="1"/>
  <c r="D28" i="9"/>
  <c r="D33" i="10"/>
  <c r="B29" i="10"/>
  <c r="C26" i="10"/>
  <c r="C27" i="10" s="1"/>
  <c r="C11" i="11"/>
  <c r="C13" i="11" s="1"/>
  <c r="J19" i="11" s="1"/>
  <c r="B29" i="14"/>
  <c r="B27" i="14"/>
  <c r="B23" i="9"/>
  <c r="B25" i="9" s="1"/>
  <c r="B9" i="14"/>
  <c r="B11" i="14"/>
  <c r="C26" i="8"/>
  <c r="C18" i="8"/>
  <c r="D20" i="9"/>
  <c r="C21" i="9"/>
  <c r="E20" i="4"/>
  <c r="D29" i="9"/>
  <c r="D12" i="9"/>
  <c r="D15" i="9" s="1"/>
  <c r="D41" i="10"/>
  <c r="B18" i="14"/>
  <c r="B28" i="14"/>
  <c r="B10" i="14"/>
  <c r="D30" i="9" l="1"/>
  <c r="D33" i="9" s="1"/>
  <c r="D34" i="9" s="1"/>
  <c r="D10" i="11" s="1"/>
  <c r="E32" i="10"/>
  <c r="E24" i="1"/>
  <c r="C29" i="10"/>
  <c r="D26" i="10"/>
  <c r="D27" i="10" s="1"/>
  <c r="C29" i="14"/>
  <c r="C27" i="14"/>
  <c r="C11" i="14"/>
  <c r="C9" i="14"/>
  <c r="C23" i="9"/>
  <c r="E23" i="4"/>
  <c r="E42" i="10" s="1"/>
  <c r="E10" i="10" s="1"/>
  <c r="E40" i="10"/>
  <c r="E20" i="9"/>
  <c r="D21" i="9"/>
  <c r="D23" i="9" s="1"/>
  <c r="C4" i="9"/>
  <c r="C8" i="9" s="1"/>
  <c r="D4" i="8"/>
  <c r="D7" i="8" s="1"/>
  <c r="C15" i="11"/>
  <c r="C127" i="17"/>
  <c r="E32" i="9" l="1"/>
  <c r="E34" i="10"/>
  <c r="E8" i="10" s="1"/>
  <c r="G8" i="10" s="1"/>
  <c r="E28" i="9"/>
  <c r="E33" i="10"/>
  <c r="E5" i="9"/>
  <c r="E16" i="14"/>
  <c r="E31" i="14"/>
  <c r="E26" i="10"/>
  <c r="C25" i="9"/>
  <c r="C28" i="14"/>
  <c r="C18" i="14"/>
  <c r="C10" i="14"/>
  <c r="G20" i="9"/>
  <c r="G21" i="9" s="1"/>
  <c r="E21" i="9"/>
  <c r="E29" i="9"/>
  <c r="E12" i="9"/>
  <c r="E15" i="9" s="1"/>
  <c r="E41" i="10"/>
  <c r="D26" i="8"/>
  <c r="D29" i="10" s="1"/>
  <c r="D18" i="8"/>
  <c r="D29" i="14"/>
  <c r="D27" i="14"/>
  <c r="D11" i="14"/>
  <c r="D9" i="14"/>
  <c r="G10" i="10"/>
  <c r="D11" i="11"/>
  <c r="D13" i="11" s="1"/>
  <c r="K19" i="11" s="1"/>
  <c r="E30" i="9" l="1"/>
  <c r="E33" i="9" s="1"/>
  <c r="E34" i="9" s="1"/>
  <c r="E10" i="11" s="1"/>
  <c r="G10" i="11" s="1"/>
  <c r="G11" i="11" s="1"/>
  <c r="E12" i="11" s="1"/>
  <c r="G12" i="11" s="1"/>
  <c r="G12" i="10"/>
  <c r="E12" i="10"/>
  <c r="E25" i="10" s="1"/>
  <c r="E27" i="10" s="1"/>
  <c r="E23" i="9"/>
  <c r="D15" i="11"/>
  <c r="D127" i="17"/>
  <c r="G29" i="14"/>
  <c r="G27" i="14"/>
  <c r="G23" i="9"/>
  <c r="G9" i="14"/>
  <c r="G11" i="14"/>
  <c r="E4" i="8"/>
  <c r="E7" i="8" s="1"/>
  <c r="D4" i="9"/>
  <c r="D8" i="9" s="1"/>
  <c r="E29" i="14"/>
  <c r="E27" i="14"/>
  <c r="E9" i="14"/>
  <c r="E11" i="14"/>
  <c r="G25" i="10" l="1"/>
  <c r="G27" i="10" s="1"/>
  <c r="E11" i="11"/>
  <c r="E127" i="17" s="1"/>
  <c r="G127" i="17"/>
  <c r="F22" i="50"/>
  <c r="F21" i="50"/>
  <c r="G13" i="11"/>
  <c r="E26" i="8"/>
  <c r="E29" i="10" s="1"/>
  <c r="E18" i="8"/>
  <c r="D25" i="9"/>
  <c r="D18" i="14"/>
  <c r="D28" i="14"/>
  <c r="D10" i="14"/>
  <c r="E13" i="11" l="1"/>
  <c r="L19" i="11" s="1"/>
  <c r="E4" i="9"/>
  <c r="E8" i="9" s="1"/>
  <c r="G26" i="8"/>
  <c r="E15" i="11" l="1"/>
  <c r="B18" i="11" s="1"/>
  <c r="B3" i="15" s="1"/>
  <c r="F3" i="15" s="1"/>
  <c r="F6" i="15" s="1"/>
  <c r="E25" i="9"/>
  <c r="E28" i="14"/>
  <c r="E18" i="14"/>
  <c r="E10" i="14"/>
  <c r="G4" i="9"/>
  <c r="G8" i="9" s="1"/>
  <c r="G29" i="10"/>
  <c r="H119" i="17" s="1"/>
  <c r="H118" i="17" s="1"/>
  <c r="G25" i="9" l="1"/>
  <c r="H116" i="17" s="1"/>
  <c r="H115" i="17" s="1"/>
  <c r="G28" i="14"/>
  <c r="F42" i="50"/>
  <c r="G18" i="14"/>
  <c r="G10" i="14"/>
</calcChain>
</file>

<file path=xl/sharedStrings.xml><?xml version="1.0" encoding="utf-8"?>
<sst xmlns="http://schemas.openxmlformats.org/spreadsheetml/2006/main" count="590" uniqueCount="353">
  <si>
    <t>Period</t>
  </si>
  <si>
    <t>1Q X4</t>
  </si>
  <si>
    <t>2Q X4</t>
  </si>
  <si>
    <t>3Q X4</t>
  </si>
  <si>
    <t>4Q X4</t>
  </si>
  <si>
    <t>X4</t>
  </si>
  <si>
    <t>Cash sales</t>
  </si>
  <si>
    <t>Cash sales this period</t>
  </si>
  <si>
    <t>+ Credit sales collected</t>
  </si>
  <si>
    <t>Beginning A/R balance</t>
  </si>
  <si>
    <t>+ Additions to A/R</t>
  </si>
  <si>
    <t>- Subtractions from A/R</t>
  </si>
  <si>
    <t>Unit sales</t>
  </si>
  <si>
    <t>= Total sales</t>
  </si>
  <si>
    <r>
      <t>´</t>
    </r>
    <r>
      <rPr>
        <sz val="10"/>
        <rFont val="Arial"/>
        <family val="2"/>
      </rPr>
      <t xml:space="preserve"> Price per unit</t>
    </r>
  </si>
  <si>
    <t>+ Credit sales</t>
  </si>
  <si>
    <t>= Total collections</t>
  </si>
  <si>
    <t>= Ending A/R balance</t>
  </si>
  <si>
    <t>Desired ending inventory</t>
  </si>
  <si>
    <t>+ Cost of goods sold</t>
  </si>
  <si>
    <t>- Beginning inventory</t>
  </si>
  <si>
    <t>= Purchases</t>
  </si>
  <si>
    <t>Payments of payables</t>
  </si>
  <si>
    <t>Total disbursements for purchases</t>
  </si>
  <si>
    <t>Beginning A/P balance</t>
  </si>
  <si>
    <t>+ Additions to A/P</t>
  </si>
  <si>
    <t>- Subtractions from A/P</t>
  </si>
  <si>
    <t>Ending A/P</t>
  </si>
  <si>
    <t>Cost-of-Goods Sold Budget</t>
  </si>
  <si>
    <t>Monitor screen</t>
  </si>
  <si>
    <t>SALES BUDGET</t>
  </si>
  <si>
    <t>Unit Sales and Price Budget</t>
  </si>
  <si>
    <t>Sales Composition Budget</t>
  </si>
  <si>
    <t>COLLECTIONS BUDGET</t>
  </si>
  <si>
    <t>Cash Collections from Customers Budget</t>
  </si>
  <si>
    <t>Monitor casing</t>
  </si>
  <si>
    <t>Assembly labor</t>
  </si>
  <si>
    <t>Total cost-of-goods sold</t>
  </si>
  <si>
    <t>COST-OF-GOODS SOLD BUDGET</t>
  </si>
  <si>
    <t>INVENTORY BUDGET</t>
  </si>
  <si>
    <t>Inventory Budget</t>
  </si>
  <si>
    <t>= Total inventory needed</t>
  </si>
  <si>
    <t>Purchases Budget</t>
  </si>
  <si>
    <t>Total inventory needed</t>
  </si>
  <si>
    <t>Disbursements for Purchases Budget</t>
  </si>
  <si>
    <t>PURCHASES BUDGET</t>
  </si>
  <si>
    <t>Accounts Receivable (A/R) Budget</t>
  </si>
  <si>
    <t>Accounts Payable (A/P) Budget</t>
  </si>
  <si>
    <t>Salaries</t>
  </si>
  <si>
    <t>Miscellaneous expenses</t>
  </si>
  <si>
    <t>Research and development</t>
  </si>
  <si>
    <t>Rent</t>
  </si>
  <si>
    <t>Depreciation</t>
  </si>
  <si>
    <t>Total operating expenses</t>
  </si>
  <si>
    <t>Total disbursements for operating expenses</t>
  </si>
  <si>
    <t>OPERATING EXPENSES BUDGET</t>
  </si>
  <si>
    <t>DISBURSEMENTS FOR OPERATING EXPENSES BUDGET</t>
  </si>
  <si>
    <t>Operating Expenses Budget</t>
  </si>
  <si>
    <t>Disbursements for Operating Expenses Budget</t>
  </si>
  <si>
    <t>Sales</t>
  </si>
  <si>
    <t>Cost of goods sold</t>
  </si>
  <si>
    <t>Income from operations</t>
  </si>
  <si>
    <t>Interest expense</t>
  </si>
  <si>
    <t>Taxable income</t>
  </si>
  <si>
    <t>Tax expense</t>
  </si>
  <si>
    <t>Net income</t>
  </si>
  <si>
    <t>Gross profit</t>
  </si>
  <si>
    <t>Equipment</t>
  </si>
  <si>
    <t>Furniture</t>
  </si>
  <si>
    <t>Fixtures</t>
  </si>
  <si>
    <t>Total capital expenditures</t>
  </si>
  <si>
    <t>Total depreciation</t>
  </si>
  <si>
    <t>CAPITAL BUDGET</t>
  </si>
  <si>
    <t>Capital Expenditures Budget</t>
  </si>
  <si>
    <t>Disbursements for Capital Expenditures Budget</t>
  </si>
  <si>
    <t>Depreciation Budget</t>
  </si>
  <si>
    <t>Total disbursements for capital expenditures</t>
  </si>
  <si>
    <t>CASH BUDGET</t>
  </si>
  <si>
    <t>Beginning cash balance</t>
  </si>
  <si>
    <t>Cash receipts</t>
  </si>
  <si>
    <t>Collections from customers</t>
  </si>
  <si>
    <t>Total cash available, before financing</t>
  </si>
  <si>
    <t>Cash disbursements</t>
  </si>
  <si>
    <t>Purchases disbursements</t>
  </si>
  <si>
    <t>Operating expenses</t>
  </si>
  <si>
    <t>Capital expenditures</t>
  </si>
  <si>
    <t>Total disbursements</t>
  </si>
  <si>
    <t>Minimum cash balance desired</t>
  </si>
  <si>
    <t>Total cash needed</t>
  </si>
  <si>
    <t>Excess (deficiency) of total cash available over</t>
  </si>
  <si>
    <t>total cash needed before financing</t>
  </si>
  <si>
    <t>Financing</t>
  </si>
  <si>
    <t>Equity investment</t>
  </si>
  <si>
    <t>Interest</t>
  </si>
  <si>
    <t>Total cash increase (decrease) from financing</t>
  </si>
  <si>
    <t>Ending cash balance</t>
  </si>
  <si>
    <t>Assets</t>
  </si>
  <si>
    <t>Cash</t>
  </si>
  <si>
    <t>Accounts Receivable</t>
  </si>
  <si>
    <t>Inventory</t>
  </si>
  <si>
    <t>Fixed Assets, net</t>
  </si>
  <si>
    <t>Total Assets</t>
  </si>
  <si>
    <t>Liabilities</t>
  </si>
  <si>
    <t>Accounts Payable</t>
  </si>
  <si>
    <t>Loan Payable</t>
  </si>
  <si>
    <t>Total Liabilities</t>
  </si>
  <si>
    <t>Owners' Equity</t>
  </si>
  <si>
    <t>Common Stock</t>
  </si>
  <si>
    <t>Retained Earnings</t>
  </si>
  <si>
    <t>Total Owners' Equity</t>
  </si>
  <si>
    <t>Total Liabilities and Owners' Equity</t>
  </si>
  <si>
    <t>Cash Flows from Operating Activities</t>
  </si>
  <si>
    <t>Net Income</t>
  </si>
  <si>
    <t>Adjustments to reconcile net income to cash</t>
  </si>
  <si>
    <t>provided from operating activites</t>
  </si>
  <si>
    <t>(Increase) decrease in Accounts Receivable</t>
  </si>
  <si>
    <t>(Increase) decrease in Inventory</t>
  </si>
  <si>
    <t>Increase (decrease) in Accounts Payable</t>
  </si>
  <si>
    <t>Increase (decrease) in Loan Payable</t>
  </si>
  <si>
    <t>Cash provided (used) by operating activities</t>
  </si>
  <si>
    <t>Cash Flows from Investing Activities</t>
  </si>
  <si>
    <t>Purchase of capital assets</t>
  </si>
  <si>
    <t>Cash provided (used) by investing activities</t>
  </si>
  <si>
    <t>Cash Flows from Financing Activities</t>
  </si>
  <si>
    <t>Proceeds from sale of Common Stock</t>
  </si>
  <si>
    <t>Cash provided (used) by financing activities</t>
  </si>
  <si>
    <t>Net increase (decrease) in cash</t>
  </si>
  <si>
    <t>Cash, beginning of period</t>
  </si>
  <si>
    <t>Cash, end of period</t>
  </si>
  <si>
    <t>EBIT</t>
  </si>
  <si>
    <t>Effective tax rate</t>
  </si>
  <si>
    <t>EBIT * (1 - t)</t>
  </si>
  <si>
    <t>+ Depreciation</t>
  </si>
  <si>
    <t>- CAPEX</t>
  </si>
  <si>
    <t>- Changes in NWC</t>
  </si>
  <si>
    <t>= Free cash flow</t>
  </si>
  <si>
    <t>+ Terminal value</t>
  </si>
  <si>
    <t>= Total free cash flow</t>
  </si>
  <si>
    <t>Present value</t>
  </si>
  <si>
    <t>NPV</t>
  </si>
  <si>
    <t>WACC</t>
  </si>
  <si>
    <t>g (to perpetuity)</t>
  </si>
  <si>
    <t>Revenue Growth Rate</t>
  </si>
  <si>
    <t>Variable Costs</t>
  </si>
  <si>
    <t>Total variable costs</t>
  </si>
  <si>
    <t>Fixed Costs</t>
  </si>
  <si>
    <t>Total fixed costs</t>
  </si>
  <si>
    <t>Contribution Margin</t>
  </si>
  <si>
    <t>- Variable costs</t>
  </si>
  <si>
    <t>= Contribution margin</t>
  </si>
  <si>
    <t>- Fixed costs</t>
  </si>
  <si>
    <t>= Net income</t>
  </si>
  <si>
    <t>Profit Margins</t>
  </si>
  <si>
    <t>Gross Margin</t>
  </si>
  <si>
    <t>Pre-Tax Margin</t>
  </si>
  <si>
    <t>Net Profit Margin</t>
  </si>
  <si>
    <t>Return on Equity</t>
  </si>
  <si>
    <t>Return on Assets</t>
  </si>
  <si>
    <t>Return on Capital</t>
  </si>
  <si>
    <t>Income/Employee</t>
  </si>
  <si>
    <t>Revenue/Employee</t>
  </si>
  <si>
    <t>Receivable Turnover</t>
  </si>
  <si>
    <t>Inventory Turnover</t>
  </si>
  <si>
    <t>Asset Turnover</t>
  </si>
  <si>
    <t>Valuation</t>
  </si>
  <si>
    <t>Relative</t>
  </si>
  <si>
    <t>Weighted</t>
  </si>
  <si>
    <t>Technique</t>
  </si>
  <si>
    <t>Weight</t>
  </si>
  <si>
    <t>Discounted cash flow</t>
  </si>
  <si>
    <t>Public company comparables</t>
  </si>
  <si>
    <t>Mergers and acquisitions comparables</t>
  </si>
  <si>
    <t>Total</t>
  </si>
  <si>
    <t>Undiluted</t>
  </si>
  <si>
    <t>Diluted</t>
  </si>
  <si>
    <t>%</t>
  </si>
  <si>
    <t>Shares +</t>
  </si>
  <si>
    <t>Shares</t>
  </si>
  <si>
    <t>Ownership</t>
  </si>
  <si>
    <t>Options</t>
  </si>
  <si>
    <t>Owner 1</t>
  </si>
  <si>
    <t>Owner 2</t>
  </si>
  <si>
    <t>Owner 3</t>
  </si>
  <si>
    <t>Owner 4</t>
  </si>
  <si>
    <t>Owner 5</t>
  </si>
  <si>
    <t>Owner 6</t>
  </si>
  <si>
    <t>Price per unit</t>
  </si>
  <si>
    <t>Sales and Collections Worksheet</t>
  </si>
  <si>
    <t>Unit Sales and Price Inputs</t>
  </si>
  <si>
    <t>Sales Composition Inputs</t>
  </si>
  <si>
    <t>Cash sales as a % of total sales</t>
  </si>
  <si>
    <t>Credit sales as a % of total sales</t>
  </si>
  <si>
    <t>Days per quarter</t>
  </si>
  <si>
    <t>Days receivable (DSO)</t>
  </si>
  <si>
    <t>N/A</t>
  </si>
  <si>
    <t>COGS Worksheet</t>
  </si>
  <si>
    <t>Cost-of-Goods Sold Inputs</t>
  </si>
  <si>
    <t>Monitor screen: cost per unit</t>
  </si>
  <si>
    <t>Monitor casing: cost per unit</t>
  </si>
  <si>
    <t>Assembly labor: cost per unit</t>
  </si>
  <si>
    <t>Inventory and Purchases Worksheet</t>
  </si>
  <si>
    <t>Inventory Inputs</t>
  </si>
  <si>
    <t>Days inventory</t>
  </si>
  <si>
    <t>Disbursements for Purchases Inputs</t>
  </si>
  <si>
    <t>Days payable</t>
  </si>
  <si>
    <t>Headcount Overview Worksheet</t>
  </si>
  <si>
    <t>HEADCOUNT BUDGET</t>
  </si>
  <si>
    <t>Headcount Budget</t>
  </si>
  <si>
    <t>Headcount Overview Inputs</t>
  </si>
  <si>
    <t>Number of employees</t>
  </si>
  <si>
    <t>Chief Executive Officer</t>
  </si>
  <si>
    <t>Chief Financial Officer</t>
  </si>
  <si>
    <t>VP, Engineering</t>
  </si>
  <si>
    <t>VP, Sales &amp; Marketing</t>
  </si>
  <si>
    <t>VP, Business Development</t>
  </si>
  <si>
    <t>Salesperson</t>
  </si>
  <si>
    <t>Controller/Accountant</t>
  </si>
  <si>
    <t>Administrative Assistant</t>
  </si>
  <si>
    <t>Periodic base salaries</t>
  </si>
  <si>
    <t>Periodic base salaries (annualized)</t>
  </si>
  <si>
    <t>Hardware Engineer</t>
  </si>
  <si>
    <t>Headcount Cost Worksheet</t>
  </si>
  <si>
    <t>Headcount Cost Inputs</t>
  </si>
  <si>
    <t>Benefits rate</t>
  </si>
  <si>
    <t>Benefits factor (1 + benefits rate)</t>
  </si>
  <si>
    <t>Periodic salary expense (base)</t>
  </si>
  <si>
    <t>Total (with benefits)</t>
  </si>
  <si>
    <t>Operating Expenses Worksheet</t>
  </si>
  <si>
    <t>Operating Expenses Inputs</t>
  </si>
  <si>
    <t>Miscellaneous expenses as a % of sales</t>
  </si>
  <si>
    <t>R&amp;D expenses as a % of sales</t>
  </si>
  <si>
    <t>Square feet of space rented</t>
  </si>
  <si>
    <t>Rent expense per square foot per quarter</t>
  </si>
  <si>
    <t>Tax rate</t>
  </si>
  <si>
    <t>Total rent expense</t>
  </si>
  <si>
    <t>Capital Worksheet</t>
  </si>
  <si>
    <t>Equipment purchases</t>
  </si>
  <si>
    <t>Furniture purchases</t>
  </si>
  <si>
    <t>Fixtures purchases</t>
  </si>
  <si>
    <t>Total CAPEX purchases</t>
  </si>
  <si>
    <t>Capital Expenditures (CAPEX) Inputs</t>
  </si>
  <si>
    <t>CAPEX Disbursements Inputs</t>
  </si>
  <si>
    <t>% of purchases paid for in purchase period</t>
  </si>
  <si>
    <t>Depreciation Inputs</t>
  </si>
  <si>
    <t>Equipment depreciable life (years)</t>
  </si>
  <si>
    <t>Furniture depreciable life (years)</t>
  </si>
  <si>
    <t>Fixtures depreciable life (years)</t>
  </si>
  <si>
    <t>Equipment depreciation multiplier</t>
  </si>
  <si>
    <t>Furniture depreciation multiplier</t>
  </si>
  <si>
    <t>Fixtures depreciation multiplier</t>
  </si>
  <si>
    <t>Quarters per year</t>
  </si>
  <si>
    <t>Cumulative capital expenditures</t>
  </si>
  <si>
    <t>- Accumulated depreciation</t>
  </si>
  <si>
    <t>= Fixed assets, net of depreciation</t>
  </si>
  <si>
    <t>Cash Worksheet</t>
  </si>
  <si>
    <t>Cash Inputs</t>
  </si>
  <si>
    <t>Equity investment (incremental)</t>
  </si>
  <si>
    <t>Borrowing/loan (incremental)</t>
  </si>
  <si>
    <t>Repayments of borrowing (incremental)</t>
  </si>
  <si>
    <t>Borrowing (at beginning of quarter)</t>
  </si>
  <si>
    <t>Interest rate on borrowing/loan (annual)</t>
  </si>
  <si>
    <t>Interest rate on borrowing/loan (quarterly)</t>
  </si>
  <si>
    <t>Loan value used for interest calculations</t>
  </si>
  <si>
    <t>Current assets</t>
  </si>
  <si>
    <t>- Current liabilities</t>
  </si>
  <si>
    <t>= Net working capital</t>
  </si>
  <si>
    <t>Beginning NWC</t>
  </si>
  <si>
    <t>Net Working Capital (NWC)</t>
  </si>
  <si>
    <t>- Ending NWC</t>
  </si>
  <si>
    <t>= Change in NWC</t>
  </si>
  <si>
    <t>Cumulative disbursements for CAPEX</t>
  </si>
  <si>
    <t>Payables adjustment for CAPEX disbursements</t>
  </si>
  <si>
    <t>Payables from Capital Budget</t>
  </si>
  <si>
    <t>Changes in Balance Sheet Accounts</t>
  </si>
  <si>
    <t>Accounts Receivable beginning value</t>
  </si>
  <si>
    <t>Accounts Receivable ending value</t>
  </si>
  <si>
    <t>Inventory beginning value</t>
  </si>
  <si>
    <t>Inventory ending value</t>
  </si>
  <si>
    <t>Accounts Payable beginning value</t>
  </si>
  <si>
    <t>Accounts Payable ending value</t>
  </si>
  <si>
    <t>(Increase) decrease in Accounts Payable</t>
  </si>
  <si>
    <t>Loan Payable beginning value</t>
  </si>
  <si>
    <t>Loan Payable ending value</t>
  </si>
  <si>
    <t>(Increase) decrease in Loan Payable</t>
  </si>
  <si>
    <t>Balance Sheet calculation check</t>
  </si>
  <si>
    <t>DASHBOARD</t>
  </si>
  <si>
    <t>Is the Balance Sheet balanced?</t>
  </si>
  <si>
    <t>Sum total of Balance Sheet differences</t>
  </si>
  <si>
    <t>Cash Flows calculation check</t>
  </si>
  <si>
    <t>Sum total of BS and SCF differences</t>
  </si>
  <si>
    <t>Is cash consistent across BS and SCF?</t>
  </si>
  <si>
    <t>Revenues (total sales in dollars)</t>
  </si>
  <si>
    <t>Free Cash Flows</t>
  </si>
  <si>
    <t>Revenues Data Table</t>
  </si>
  <si>
    <t>Unit sales for 1Q X4</t>
  </si>
  <si>
    <t>Revenues</t>
  </si>
  <si>
    <t>for 1Q X4</t>
  </si>
  <si>
    <t>Net Income Data Table</t>
  </si>
  <si>
    <t>Price per unit for 1Q X4</t>
  </si>
  <si>
    <t>Free Cash Flow Data Table</t>
  </si>
  <si>
    <t>Free Cash Flow</t>
  </si>
  <si>
    <t>Monitor screen: cost per unit for 1Q X4</t>
  </si>
  <si>
    <t>- Interest expense</t>
  </si>
  <si>
    <t>- Taxes</t>
  </si>
  <si>
    <t>Operating Leverage</t>
  </si>
  <si>
    <t>Fixed costs</t>
  </si>
  <si>
    <t>Total costs (fixed + variable)</t>
  </si>
  <si>
    <t>Operating leverage</t>
  </si>
  <si>
    <t>Breakeven Point in Units</t>
  </si>
  <si>
    <t>Contribution Margin per Unit</t>
  </si>
  <si>
    <t>- Variable costs per unit</t>
  </si>
  <si>
    <t>= Contribution margin per unit</t>
  </si>
  <si>
    <t>Breakeven point in units</t>
  </si>
  <si>
    <t>Breakeven Point in Dollars</t>
  </si>
  <si>
    <t>= Breakeven point in dollars</t>
  </si>
  <si>
    <t>* Price per unit</t>
  </si>
  <si>
    <t>Values Used for the</t>
  </si>
  <si>
    <t>Above Calculations</t>
  </si>
  <si>
    <t>Capital</t>
  </si>
  <si>
    <t>Investment Returns (Annualized)</t>
  </si>
  <si>
    <t>Employees</t>
  </si>
  <si>
    <t>Management Efficiency (Annualized)</t>
  </si>
  <si>
    <t>Cost-of-goods sold</t>
  </si>
  <si>
    <t>Free Cash Flows Worksheet</t>
  </si>
  <si>
    <t>WACC (discount rate)</t>
  </si>
  <si>
    <t>Growth rate to perpetuity (g)</t>
  </si>
  <si>
    <t>Public Company Comparables</t>
  </si>
  <si>
    <t>(Price)</t>
  </si>
  <si>
    <t>Net</t>
  </si>
  <si>
    <t>Income</t>
  </si>
  <si>
    <t>Free Cash</t>
  </si>
  <si>
    <t>Flows</t>
  </si>
  <si>
    <t>Projected (Next 4 Quarters)</t>
  </si>
  <si>
    <t>Direct Competitors</t>
  </si>
  <si>
    <t>Competitor 1</t>
  </si>
  <si>
    <t>Competitor 2</t>
  </si>
  <si>
    <t>Competitor 3</t>
  </si>
  <si>
    <t>Stock Index</t>
  </si>
  <si>
    <t>Multiple of Projected</t>
  </si>
  <si>
    <t>(Next 4 Quarters):</t>
  </si>
  <si>
    <t>Median</t>
  </si>
  <si>
    <t>Napavale</t>
  </si>
  <si>
    <t>Valuation Based Upon Median Multiples</t>
  </si>
  <si>
    <t>and Projected (Next 4 Quarters):</t>
  </si>
  <si>
    <t>Direct competitors median multiples</t>
  </si>
  <si>
    <t>Stock index multiples</t>
  </si>
  <si>
    <t>Mergers and Acquisitions Comparables</t>
  </si>
  <si>
    <t>Target Companies</t>
  </si>
  <si>
    <t>Company 1</t>
  </si>
  <si>
    <t>Company 2</t>
  </si>
  <si>
    <t>Company 3</t>
  </si>
  <si>
    <t>Target companies median multiples</t>
  </si>
  <si>
    <t>Repayments (at beginning of quarter)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</si>
</sst>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₹&quot;\ #,##0.00;[Red]&quot;₹&quot;\ \-#,##0.00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_-* #,##0_-;\-* #,##0_-;_-* &quot;-&quot;??_-;_-@_-"/>
    <numFmt numFmtId="169" formatCode="_-* #,##0.00_-;\-* #,##0.00_-;_-* &quot;-&quot;??_-;_-@_-"/>
    <numFmt numFmtId="170" formatCode="_(* #,##0.0_);_(* \(#,##0.0\);_(* &quot;-&quot;??_);_(@_)"/>
    <numFmt numFmtId="171" formatCode="_(* #,##0_);_(* \(#,##0\);_(* &quot;-&quot;??_);_(@_)"/>
    <numFmt numFmtId="172" formatCode="_(&quot;$&quot;* #,##0_);_(&quot;$&quot;* \(#,##0\);_(&quot;$&quot;* &quot;-&quot;??_);_(@_)"/>
    <numFmt numFmtId="173" formatCode="_(&quot;$&quot;* #,##0.0000_);_(&quot;$&quot;* \(#,##0.0000\);_(&quot;$&quot;* &quot;-&quot;??_);_(@_)"/>
    <numFmt numFmtId="174" formatCode="_(* #,##0.0_);_(* \(#,##0.0\);_(* &quot;-&quot;?_);_(@_)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/>
    <xf numFmtId="171" fontId="1" fillId="2" borderId="0" xfId="1" applyNumberFormat="1" applyFill="1"/>
    <xf numFmtId="171" fontId="1" fillId="0" borderId="0" xfId="1" applyNumberFormat="1"/>
    <xf numFmtId="171" fontId="1" fillId="2" borderId="1" xfId="1" applyNumberFormat="1" applyFill="1" applyBorder="1"/>
    <xf numFmtId="0" fontId="0" fillId="0" borderId="0" xfId="0" applyAlignment="1">
      <alignment horizontal="left" indent="1"/>
    </xf>
    <xf numFmtId="49" fontId="0" fillId="0" borderId="0" xfId="0" applyNumberFormat="1"/>
    <xf numFmtId="49" fontId="0" fillId="0" borderId="0" xfId="0" applyNumberFormat="1" applyAlignment="1">
      <alignment horizontal="left" indent="1"/>
    </xf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171" fontId="1" fillId="0" borderId="0" xfId="1" applyNumberFormat="1" applyFill="1"/>
    <xf numFmtId="49" fontId="6" fillId="0" borderId="0" xfId="0" applyNumberFormat="1" applyFont="1"/>
    <xf numFmtId="49" fontId="3" fillId="0" borderId="0" xfId="0" applyNumberFormat="1" applyFont="1"/>
    <xf numFmtId="0" fontId="0" fillId="0" borderId="0" xfId="0" applyAlignment="1">
      <alignment horizontal="left" indent="2"/>
    </xf>
    <xf numFmtId="171" fontId="0" fillId="0" borderId="0" xfId="1" applyNumberFormat="1" applyFont="1"/>
    <xf numFmtId="171" fontId="0" fillId="2" borderId="0" xfId="1" applyNumberFormat="1" applyFont="1" applyFill="1"/>
    <xf numFmtId="171" fontId="0" fillId="2" borderId="1" xfId="1" applyNumberFormat="1" applyFont="1" applyFill="1" applyBorder="1"/>
    <xf numFmtId="171" fontId="1" fillId="0" borderId="1" xfId="1" applyNumberFormat="1" applyBorder="1"/>
    <xf numFmtId="0" fontId="0" fillId="0" borderId="0" xfId="0" applyAlignment="1">
      <alignment horizontal="left" indent="3"/>
    </xf>
    <xf numFmtId="167" fontId="1" fillId="2" borderId="0" xfId="4" applyNumberForma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center"/>
    </xf>
    <xf numFmtId="0" fontId="0" fillId="2" borderId="0" xfId="0" applyFill="1"/>
    <xf numFmtId="167" fontId="1" fillId="0" borderId="0" xfId="4" applyNumberFormat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right"/>
    </xf>
    <xf numFmtId="0" fontId="0" fillId="2" borderId="4" xfId="0" applyFill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70" fontId="1" fillId="0" borderId="0" xfId="1" applyNumberFormat="1"/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8" fontId="1" fillId="2" borderId="0" xfId="2" applyNumberFormat="1" applyFill="1"/>
    <xf numFmtId="168" fontId="0" fillId="2" borderId="0" xfId="0" applyNumberFormat="1" applyFill="1"/>
    <xf numFmtId="168" fontId="1" fillId="2" borderId="1" xfId="2" applyNumberFormat="1" applyFill="1" applyBorder="1"/>
    <xf numFmtId="167" fontId="1" fillId="0" borderId="0" xfId="4" applyNumberFormat="1" applyBorder="1"/>
    <xf numFmtId="168" fontId="1" fillId="2" borderId="5" xfId="2" applyNumberFormat="1" applyFill="1" applyBorder="1"/>
    <xf numFmtId="167" fontId="1" fillId="2" borderId="5" xfId="4" applyNumberFormat="1" applyFill="1" applyBorder="1"/>
    <xf numFmtId="165" fontId="0" fillId="0" borderId="0" xfId="3" applyFont="1"/>
    <xf numFmtId="171" fontId="8" fillId="3" borderId="0" xfId="1" applyNumberFormat="1" applyFont="1" applyFill="1"/>
    <xf numFmtId="172" fontId="8" fillId="3" borderId="1" xfId="3" applyNumberFormat="1" applyFont="1" applyFill="1" applyBorder="1"/>
    <xf numFmtId="9" fontId="8" fillId="3" borderId="0" xfId="4" applyFont="1" applyFill="1"/>
    <xf numFmtId="9" fontId="1" fillId="2" borderId="0" xfId="4" applyFont="1" applyFill="1"/>
    <xf numFmtId="172" fontId="1" fillId="2" borderId="1" xfId="3" applyNumberFormat="1" applyFill="1" applyBorder="1"/>
    <xf numFmtId="172" fontId="1" fillId="2" borderId="0" xfId="3" applyNumberFormat="1" applyFill="1"/>
    <xf numFmtId="172" fontId="1" fillId="2" borderId="1" xfId="3" applyNumberFormat="1" applyFont="1" applyFill="1" applyBorder="1" applyAlignment="1">
      <alignment horizontal="center"/>
    </xf>
    <xf numFmtId="172" fontId="1" fillId="2" borderId="0" xfId="3" applyNumberFormat="1" applyFont="1" applyFill="1" applyAlignment="1">
      <alignment horizontal="center"/>
    </xf>
    <xf numFmtId="172" fontId="1" fillId="0" borderId="0" xfId="3" applyNumberFormat="1"/>
    <xf numFmtId="171" fontId="1" fillId="2" borderId="1" xfId="1" applyNumberFormat="1" applyFont="1" applyFill="1" applyBorder="1" applyAlignment="1">
      <alignment horizontal="center"/>
    </xf>
    <xf numFmtId="172" fontId="1" fillId="2" borderId="0" xfId="3" applyNumberFormat="1" applyFont="1" applyFill="1"/>
    <xf numFmtId="165" fontId="8" fillId="3" borderId="0" xfId="3" applyFont="1" applyFill="1"/>
    <xf numFmtId="165" fontId="0" fillId="0" borderId="0" xfId="0" applyNumberFormat="1"/>
    <xf numFmtId="165" fontId="9" fillId="2" borderId="0" xfId="3" applyFont="1" applyFill="1"/>
    <xf numFmtId="172" fontId="1" fillId="0" borderId="0" xfId="3" applyNumberFormat="1" applyFill="1"/>
    <xf numFmtId="171" fontId="9" fillId="2" borderId="0" xfId="1" applyNumberFormat="1" applyFont="1" applyFill="1"/>
    <xf numFmtId="172" fontId="8" fillId="3" borderId="0" xfId="3" applyNumberFormat="1" applyFont="1" applyFill="1"/>
    <xf numFmtId="172" fontId="0" fillId="2" borderId="0" xfId="3" applyNumberFormat="1" applyFont="1" applyFill="1"/>
    <xf numFmtId="172" fontId="0" fillId="0" borderId="0" xfId="3" applyNumberFormat="1" applyFont="1"/>
    <xf numFmtId="167" fontId="8" fillId="3" borderId="0" xfId="4" applyNumberFormat="1" applyFont="1" applyFill="1"/>
    <xf numFmtId="166" fontId="9" fillId="2" borderId="0" xfId="1" applyFont="1" applyFill="1"/>
    <xf numFmtId="167" fontId="8" fillId="3" borderId="0" xfId="0" applyNumberFormat="1" applyFont="1" applyFill="1"/>
    <xf numFmtId="167" fontId="0" fillId="0" borderId="0" xfId="0" applyNumberFormat="1"/>
    <xf numFmtId="172" fontId="9" fillId="2" borderId="0" xfId="3" applyNumberFormat="1" applyFont="1" applyFill="1"/>
    <xf numFmtId="0" fontId="5" fillId="0" borderId="0" xfId="0" applyFont="1"/>
    <xf numFmtId="0" fontId="5" fillId="0" borderId="0" xfId="0" applyFont="1" applyAlignment="1">
      <alignment horizontal="left" indent="1"/>
    </xf>
    <xf numFmtId="170" fontId="8" fillId="3" borderId="0" xfId="1" applyNumberFormat="1" applyFont="1" applyFill="1"/>
    <xf numFmtId="167" fontId="1" fillId="2" borderId="0" xfId="4" applyNumberFormat="1" applyFont="1" applyFill="1"/>
    <xf numFmtId="173" fontId="0" fillId="0" borderId="0" xfId="3" applyNumberFormat="1" applyFont="1"/>
    <xf numFmtId="172" fontId="0" fillId="2" borderId="0" xfId="3" applyNumberFormat="1" applyFont="1" applyFill="1" applyAlignment="1">
      <alignment horizontal="center"/>
    </xf>
    <xf numFmtId="171" fontId="0" fillId="0" borderId="0" xfId="1" applyNumberFormat="1" applyFont="1" applyFill="1"/>
    <xf numFmtId="172" fontId="0" fillId="2" borderId="1" xfId="3" applyNumberFormat="1" applyFont="1" applyFill="1" applyBorder="1" applyAlignment="1">
      <alignment horizontal="center"/>
    </xf>
    <xf numFmtId="172" fontId="0" fillId="2" borderId="1" xfId="3" applyNumberFormat="1" applyFont="1" applyFill="1" applyBorder="1"/>
    <xf numFmtId="172" fontId="0" fillId="2" borderId="0" xfId="3" applyNumberFormat="1" applyFont="1" applyFill="1" applyBorder="1"/>
    <xf numFmtId="172" fontId="0" fillId="0" borderId="0" xfId="3" applyNumberFormat="1" applyFont="1" applyBorder="1"/>
    <xf numFmtId="171" fontId="0" fillId="0" borderId="0" xfId="1" applyNumberFormat="1" applyFont="1" applyFill="1" applyBorder="1"/>
    <xf numFmtId="172" fontId="1" fillId="2" borderId="6" xfId="3" applyNumberFormat="1" applyFill="1" applyBorder="1"/>
    <xf numFmtId="167" fontId="1" fillId="2" borderId="0" xfId="1" applyNumberFormat="1" applyFill="1"/>
    <xf numFmtId="167" fontId="1" fillId="0" borderId="0" xfId="1" applyNumberFormat="1"/>
    <xf numFmtId="167" fontId="1" fillId="0" borderId="0" xfId="1" applyNumberFormat="1" applyFill="1"/>
    <xf numFmtId="0" fontId="10" fillId="0" borderId="0" xfId="0" applyFont="1"/>
    <xf numFmtId="171" fontId="10" fillId="2" borderId="0" xfId="1" applyNumberFormat="1" applyFont="1" applyFill="1"/>
    <xf numFmtId="171" fontId="10" fillId="0" borderId="0" xfId="1" applyNumberFormat="1" applyFont="1"/>
    <xf numFmtId="0" fontId="10" fillId="0" borderId="0" xfId="0" applyFont="1" applyAlignment="1">
      <alignment horizontal="left" indent="1"/>
    </xf>
    <xf numFmtId="0" fontId="9" fillId="2" borderId="0" xfId="3" applyNumberFormat="1" applyFont="1" applyFill="1" applyAlignment="1">
      <alignment horizontal="center"/>
    </xf>
    <xf numFmtId="172" fontId="9" fillId="2" borderId="0" xfId="3" applyNumberFormat="1" applyFont="1" applyFill="1" applyBorder="1"/>
    <xf numFmtId="172" fontId="9" fillId="2" borderId="2" xfId="3" applyNumberFormat="1" applyFont="1" applyFill="1" applyBorder="1"/>
    <xf numFmtId="172" fontId="9" fillId="2" borderId="3" xfId="3" applyNumberFormat="1" applyFont="1" applyFill="1" applyBorder="1"/>
    <xf numFmtId="172" fontId="9" fillId="2" borderId="4" xfId="3" applyNumberFormat="1" applyFont="1" applyFill="1" applyBorder="1"/>
    <xf numFmtId="172" fontId="1" fillId="2" borderId="7" xfId="3" applyNumberFormat="1" applyFill="1" applyBorder="1"/>
    <xf numFmtId="172" fontId="0" fillId="0" borderId="0" xfId="0" applyNumberFormat="1"/>
    <xf numFmtId="171" fontId="1" fillId="2" borderId="0" xfId="1" applyNumberFormat="1" applyFill="1" applyBorder="1"/>
    <xf numFmtId="171" fontId="1" fillId="0" borderId="0" xfId="1" applyNumberFormat="1" applyBorder="1"/>
    <xf numFmtId="171" fontId="1" fillId="2" borderId="1" xfId="1" applyNumberFormat="1" applyFont="1" applyFill="1" applyBorder="1"/>
    <xf numFmtId="171" fontId="1" fillId="2" borderId="0" xfId="1" applyNumberFormat="1" applyFont="1" applyFill="1" applyBorder="1"/>
    <xf numFmtId="164" fontId="9" fillId="2" borderId="1" xfId="3" applyNumberFormat="1" applyFont="1" applyFill="1" applyBorder="1"/>
    <xf numFmtId="164" fontId="9" fillId="2" borderId="0" xfId="3" applyNumberFormat="1" applyFont="1" applyFill="1"/>
    <xf numFmtId="174" fontId="9" fillId="2" borderId="0" xfId="1" applyNumberFormat="1" applyFont="1" applyFill="1"/>
    <xf numFmtId="0" fontId="3" fillId="0" borderId="1" xfId="0" applyFont="1" applyBorder="1"/>
    <xf numFmtId="0" fontId="0" fillId="0" borderId="1" xfId="0" applyBorder="1"/>
    <xf numFmtId="166" fontId="9" fillId="2" borderId="1" xfId="1" applyFont="1" applyFill="1" applyBorder="1"/>
    <xf numFmtId="167" fontId="8" fillId="3" borderId="1" xfId="0" applyNumberFormat="1" applyFont="1" applyFill="1" applyBorder="1"/>
    <xf numFmtId="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5">
    <cellStyle name="Comma" xfId="1" builtinId="3"/>
    <cellStyle name="Comma_Victorian Systems Capitalization Chart" xfId="2" xr:uid="{00000000-0005-0000-0000-000001000000}"/>
    <cellStyle name="Currency" xfId="3" builtinId="4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57"/>
  <sheetViews>
    <sheetView zoomScale="90" workbookViewId="0">
      <pane xSplit="1" ySplit="2" topLeftCell="B38" activePane="bottomRight" state="frozen"/>
      <selection pane="topRight"/>
      <selection pane="bottomLeft"/>
      <selection pane="bottomRight" activeCell="B41" sqref="B41"/>
    </sheetView>
  </sheetViews>
  <sheetFormatPr defaultRowHeight="12.5" x14ac:dyDescent="0.25"/>
  <cols>
    <col min="1" max="1" width="38.81640625" customWidth="1"/>
    <col min="2" max="5" width="12.1796875" bestFit="1" customWidth="1"/>
    <col min="6" max="6" width="1.453125" customWidth="1"/>
    <col min="7" max="7" width="12.1796875" bestFit="1" customWidth="1"/>
    <col min="8" max="8" width="9.542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ht="13" x14ac:dyDescent="0.3">
      <c r="A3" s="2" t="s">
        <v>187</v>
      </c>
    </row>
    <row r="4" spans="1:7" x14ac:dyDescent="0.25">
      <c r="A4" s="12" t="s">
        <v>188</v>
      </c>
    </row>
    <row r="5" spans="1:7" x14ac:dyDescent="0.25">
      <c r="A5" t="s">
        <v>12</v>
      </c>
      <c r="B5" s="45">
        <v>1000</v>
      </c>
      <c r="C5" s="45">
        <v>1500</v>
      </c>
      <c r="D5" s="45">
        <v>2100</v>
      </c>
      <c r="E5" s="45">
        <v>2800</v>
      </c>
      <c r="F5" s="18"/>
      <c r="G5" s="18"/>
    </row>
    <row r="6" spans="1:7" x14ac:dyDescent="0.25">
      <c r="A6" t="s">
        <v>186</v>
      </c>
      <c r="B6" s="46">
        <v>1000</v>
      </c>
      <c r="C6" s="46">
        <v>960</v>
      </c>
      <c r="D6" s="46">
        <v>920</v>
      </c>
      <c r="E6" s="46">
        <v>900</v>
      </c>
      <c r="F6" s="44"/>
      <c r="G6" s="44"/>
    </row>
    <row r="8" spans="1:7" x14ac:dyDescent="0.25">
      <c r="A8" s="12" t="s">
        <v>189</v>
      </c>
    </row>
    <row r="9" spans="1:7" x14ac:dyDescent="0.25">
      <c r="A9" t="s">
        <v>190</v>
      </c>
      <c r="B9" s="47">
        <v>0.6</v>
      </c>
      <c r="C9" s="47">
        <v>0.6</v>
      </c>
      <c r="D9" s="47">
        <v>0.6</v>
      </c>
      <c r="E9" s="47">
        <v>0.6</v>
      </c>
    </row>
    <row r="10" spans="1:7" x14ac:dyDescent="0.25">
      <c r="A10" t="s">
        <v>191</v>
      </c>
      <c r="B10" s="48">
        <f>1-CashPct1Q</f>
        <v>0.4</v>
      </c>
      <c r="C10" s="48">
        <f>1-CashPct2Q</f>
        <v>0.4</v>
      </c>
      <c r="D10" s="48">
        <f>1-CashPct3Q</f>
        <v>0.4</v>
      </c>
      <c r="E10" s="48">
        <f>1-CashPct4Q</f>
        <v>0.4</v>
      </c>
    </row>
    <row r="12" spans="1:7" x14ac:dyDescent="0.25">
      <c r="A12" t="s">
        <v>193</v>
      </c>
      <c r="B12" s="45">
        <v>30</v>
      </c>
      <c r="C12" s="45">
        <v>30</v>
      </c>
      <c r="D12" s="45">
        <v>30</v>
      </c>
      <c r="E12" s="45">
        <v>30</v>
      </c>
    </row>
    <row r="13" spans="1:7" x14ac:dyDescent="0.25">
      <c r="A13" t="s">
        <v>192</v>
      </c>
      <c r="B13" s="45">
        <f>360/4</f>
        <v>90</v>
      </c>
      <c r="C13" s="45">
        <f>360/4</f>
        <v>90</v>
      </c>
      <c r="D13" s="45">
        <f>360/4</f>
        <v>90</v>
      </c>
      <c r="E13" s="45">
        <f>360/4</f>
        <v>90</v>
      </c>
    </row>
    <row r="15" spans="1:7" ht="13" x14ac:dyDescent="0.3">
      <c r="A15" s="2" t="s">
        <v>195</v>
      </c>
    </row>
    <row r="16" spans="1:7" x14ac:dyDescent="0.25">
      <c r="A16" s="12" t="s">
        <v>196</v>
      </c>
    </row>
    <row r="17" spans="1:8" x14ac:dyDescent="0.25">
      <c r="A17" t="s">
        <v>197</v>
      </c>
      <c r="B17" s="56">
        <v>75</v>
      </c>
      <c r="C17" s="56">
        <v>72</v>
      </c>
      <c r="D17" s="56">
        <v>65</v>
      </c>
      <c r="E17" s="56">
        <v>60</v>
      </c>
      <c r="H17" s="57"/>
    </row>
    <row r="18" spans="1:8" x14ac:dyDescent="0.25">
      <c r="A18" s="7" t="s">
        <v>198</v>
      </c>
      <c r="B18" s="56">
        <v>75</v>
      </c>
      <c r="C18" s="56">
        <v>72</v>
      </c>
      <c r="D18" s="56">
        <v>65</v>
      </c>
      <c r="E18" s="56">
        <v>60</v>
      </c>
      <c r="H18" s="57"/>
    </row>
    <row r="19" spans="1:8" x14ac:dyDescent="0.25">
      <c r="A19" s="7" t="s">
        <v>199</v>
      </c>
      <c r="B19" s="56">
        <v>50</v>
      </c>
      <c r="C19" s="56">
        <v>50</v>
      </c>
      <c r="D19" s="56">
        <v>48</v>
      </c>
      <c r="E19" s="56">
        <v>45</v>
      </c>
    </row>
    <row r="20" spans="1:8" x14ac:dyDescent="0.25">
      <c r="A20" s="6" t="s">
        <v>172</v>
      </c>
      <c r="B20" s="58">
        <f>SUM(B17:B19)</f>
        <v>200</v>
      </c>
      <c r="C20" s="58">
        <f>SUM(C17:C19)</f>
        <v>194</v>
      </c>
      <c r="D20" s="58">
        <f>SUM(D17:D19)</f>
        <v>178</v>
      </c>
      <c r="E20" s="58">
        <f>SUM(E17:E19)</f>
        <v>165</v>
      </c>
    </row>
    <row r="22" spans="1:8" ht="13" x14ac:dyDescent="0.3">
      <c r="A22" s="2" t="s">
        <v>200</v>
      </c>
    </row>
    <row r="23" spans="1:8" x14ac:dyDescent="0.25">
      <c r="A23" s="12" t="s">
        <v>201</v>
      </c>
    </row>
    <row r="24" spans="1:8" x14ac:dyDescent="0.25">
      <c r="A24" t="s">
        <v>202</v>
      </c>
      <c r="B24" s="45">
        <v>20</v>
      </c>
      <c r="C24" s="45">
        <v>20</v>
      </c>
      <c r="D24" s="45">
        <v>20</v>
      </c>
      <c r="E24" s="45">
        <v>20</v>
      </c>
    </row>
    <row r="26" spans="1:8" x14ac:dyDescent="0.25">
      <c r="A26" s="11" t="s">
        <v>203</v>
      </c>
    </row>
    <row r="27" spans="1:8" x14ac:dyDescent="0.25">
      <c r="A27" t="s">
        <v>204</v>
      </c>
      <c r="B27" s="45">
        <v>30</v>
      </c>
      <c r="C27" s="45">
        <v>30</v>
      </c>
      <c r="D27" s="45">
        <v>30</v>
      </c>
      <c r="E27" s="45">
        <v>30</v>
      </c>
    </row>
    <row r="29" spans="1:8" ht="13" x14ac:dyDescent="0.3">
      <c r="A29" s="2" t="s">
        <v>205</v>
      </c>
    </row>
    <row r="30" spans="1:8" x14ac:dyDescent="0.25">
      <c r="A30" s="12" t="s">
        <v>208</v>
      </c>
    </row>
    <row r="31" spans="1:8" x14ac:dyDescent="0.25">
      <c r="A31" t="s">
        <v>209</v>
      </c>
    </row>
    <row r="32" spans="1:8" x14ac:dyDescent="0.25">
      <c r="A32" s="6" t="s">
        <v>210</v>
      </c>
      <c r="B32" s="45">
        <v>1</v>
      </c>
      <c r="C32" s="45">
        <v>1</v>
      </c>
      <c r="D32" s="45">
        <v>1</v>
      </c>
      <c r="E32" s="45">
        <v>1</v>
      </c>
    </row>
    <row r="33" spans="1:7" x14ac:dyDescent="0.25">
      <c r="A33" s="6" t="s">
        <v>211</v>
      </c>
      <c r="B33" s="45">
        <v>1</v>
      </c>
      <c r="C33" s="45">
        <v>1</v>
      </c>
      <c r="D33" s="45">
        <v>1</v>
      </c>
      <c r="E33" s="45">
        <v>1</v>
      </c>
    </row>
    <row r="34" spans="1:7" x14ac:dyDescent="0.25">
      <c r="A34" s="6" t="s">
        <v>212</v>
      </c>
      <c r="B34" s="45">
        <v>1</v>
      </c>
      <c r="C34" s="45">
        <v>1</v>
      </c>
      <c r="D34" s="45">
        <v>1</v>
      </c>
      <c r="E34" s="45">
        <v>1</v>
      </c>
    </row>
    <row r="35" spans="1:7" x14ac:dyDescent="0.25">
      <c r="A35" s="6" t="s">
        <v>213</v>
      </c>
      <c r="B35" s="45">
        <v>1</v>
      </c>
      <c r="C35" s="45">
        <v>1</v>
      </c>
      <c r="D35" s="45">
        <v>1</v>
      </c>
      <c r="E35" s="45">
        <v>1</v>
      </c>
    </row>
    <row r="36" spans="1:7" x14ac:dyDescent="0.25">
      <c r="A36" s="6" t="s">
        <v>214</v>
      </c>
      <c r="B36" s="45">
        <v>0</v>
      </c>
      <c r="C36" s="45">
        <v>0</v>
      </c>
      <c r="D36" s="45">
        <v>1</v>
      </c>
      <c r="E36" s="45">
        <v>1</v>
      </c>
    </row>
    <row r="37" spans="1:7" x14ac:dyDescent="0.25">
      <c r="A37" s="6" t="s">
        <v>215</v>
      </c>
      <c r="B37" s="45">
        <v>5</v>
      </c>
      <c r="C37" s="45">
        <v>5</v>
      </c>
      <c r="D37" s="45">
        <v>7</v>
      </c>
      <c r="E37" s="45">
        <v>8</v>
      </c>
    </row>
    <row r="38" spans="1:7" x14ac:dyDescent="0.25">
      <c r="A38" s="6" t="s">
        <v>220</v>
      </c>
      <c r="B38" s="45">
        <v>2</v>
      </c>
      <c r="C38" s="45">
        <v>2</v>
      </c>
      <c r="D38" s="45">
        <v>4</v>
      </c>
      <c r="E38" s="45">
        <v>4</v>
      </c>
    </row>
    <row r="39" spans="1:7" x14ac:dyDescent="0.25">
      <c r="A39" s="6" t="s">
        <v>216</v>
      </c>
      <c r="B39" s="45">
        <v>1</v>
      </c>
      <c r="C39" s="45">
        <v>1</v>
      </c>
      <c r="D39" s="45">
        <v>2</v>
      </c>
      <c r="E39" s="45">
        <v>2</v>
      </c>
    </row>
    <row r="40" spans="1:7" x14ac:dyDescent="0.25">
      <c r="A40" s="6" t="s">
        <v>217</v>
      </c>
      <c r="B40" s="45">
        <v>3</v>
      </c>
      <c r="C40" s="45">
        <v>3</v>
      </c>
      <c r="D40" s="45">
        <v>4</v>
      </c>
      <c r="E40" s="45">
        <v>4</v>
      </c>
    </row>
    <row r="41" spans="1:7" x14ac:dyDescent="0.25">
      <c r="A41" s="17" t="s">
        <v>172</v>
      </c>
      <c r="B41" s="60">
        <f>SUM(B32:B40)</f>
        <v>15</v>
      </c>
      <c r="C41" s="60">
        <f>SUM(C32:C40)</f>
        <v>15</v>
      </c>
      <c r="D41" s="60">
        <f>SUM(D32:D40)</f>
        <v>22</v>
      </c>
      <c r="E41" s="60">
        <f>SUM(E32:E40)</f>
        <v>23</v>
      </c>
    </row>
    <row r="43" spans="1:7" x14ac:dyDescent="0.25">
      <c r="A43" s="32" t="s">
        <v>219</v>
      </c>
    </row>
    <row r="44" spans="1:7" x14ac:dyDescent="0.25">
      <c r="A44" s="6" t="s">
        <v>210</v>
      </c>
      <c r="G44" s="61">
        <v>200000</v>
      </c>
    </row>
    <row r="45" spans="1:7" x14ac:dyDescent="0.25">
      <c r="A45" s="6" t="s">
        <v>211</v>
      </c>
      <c r="G45" s="61">
        <v>175000</v>
      </c>
    </row>
    <row r="46" spans="1:7" x14ac:dyDescent="0.25">
      <c r="A46" s="6" t="s">
        <v>212</v>
      </c>
      <c r="G46" s="61">
        <v>175000</v>
      </c>
    </row>
    <row r="47" spans="1:7" x14ac:dyDescent="0.25">
      <c r="A47" s="6" t="s">
        <v>213</v>
      </c>
      <c r="G47" s="61">
        <v>150000</v>
      </c>
    </row>
    <row r="48" spans="1:7" x14ac:dyDescent="0.25">
      <c r="A48" s="6" t="s">
        <v>214</v>
      </c>
      <c r="G48" s="61">
        <v>140000</v>
      </c>
    </row>
    <row r="49" spans="1:7" x14ac:dyDescent="0.25">
      <c r="A49" s="6" t="s">
        <v>215</v>
      </c>
      <c r="G49" s="61">
        <v>120000</v>
      </c>
    </row>
    <row r="50" spans="1:7" x14ac:dyDescent="0.25">
      <c r="A50" s="6" t="s">
        <v>220</v>
      </c>
      <c r="G50" s="61">
        <v>110000</v>
      </c>
    </row>
    <row r="51" spans="1:7" x14ac:dyDescent="0.25">
      <c r="A51" s="6" t="s">
        <v>216</v>
      </c>
      <c r="G51" s="61">
        <v>55000</v>
      </c>
    </row>
    <row r="52" spans="1:7" x14ac:dyDescent="0.25">
      <c r="A52" s="6" t="s">
        <v>217</v>
      </c>
      <c r="G52" s="61">
        <v>35000</v>
      </c>
    </row>
    <row r="54" spans="1:7" ht="13" x14ac:dyDescent="0.3">
      <c r="A54" s="2" t="s">
        <v>221</v>
      </c>
    </row>
    <row r="55" spans="1:7" x14ac:dyDescent="0.25">
      <c r="A55" s="12" t="s">
        <v>222</v>
      </c>
    </row>
    <row r="56" spans="1:7" x14ac:dyDescent="0.25">
      <c r="A56" t="s">
        <v>223</v>
      </c>
      <c r="G56" s="64">
        <v>0.12</v>
      </c>
    </row>
    <row r="57" spans="1:7" x14ac:dyDescent="0.25">
      <c r="A57" t="s">
        <v>224</v>
      </c>
      <c r="G57" s="65">
        <f>1+BeneRate</f>
        <v>1.1200000000000001</v>
      </c>
    </row>
    <row r="59" spans="1:7" ht="13" x14ac:dyDescent="0.3">
      <c r="A59" s="2" t="s">
        <v>227</v>
      </c>
    </row>
    <row r="60" spans="1:7" x14ac:dyDescent="0.25">
      <c r="A60" s="12" t="s">
        <v>228</v>
      </c>
    </row>
    <row r="61" spans="1:7" x14ac:dyDescent="0.25">
      <c r="A61" t="s">
        <v>229</v>
      </c>
      <c r="B61" s="66">
        <v>0.03</v>
      </c>
      <c r="C61" s="66">
        <v>0.03</v>
      </c>
      <c r="D61" s="66">
        <v>0.03</v>
      </c>
      <c r="E61" s="66">
        <v>0.03</v>
      </c>
    </row>
    <row r="62" spans="1:7" x14ac:dyDescent="0.25">
      <c r="B62" s="67"/>
      <c r="C62" s="67"/>
      <c r="D62" s="67"/>
      <c r="E62" s="67"/>
    </row>
    <row r="63" spans="1:7" x14ac:dyDescent="0.25">
      <c r="A63" t="s">
        <v>230</v>
      </c>
      <c r="B63" s="66">
        <v>7.0000000000000007E-2</v>
      </c>
      <c r="C63" s="66">
        <v>7.0000000000000007E-2</v>
      </c>
      <c r="D63" s="66">
        <v>0.08</v>
      </c>
      <c r="E63" s="66">
        <v>0.08</v>
      </c>
    </row>
    <row r="65" spans="1:5" x14ac:dyDescent="0.25">
      <c r="A65" t="s">
        <v>232</v>
      </c>
      <c r="B65" s="56">
        <v>5</v>
      </c>
      <c r="C65" s="56">
        <v>5</v>
      </c>
      <c r="D65" s="56">
        <v>5</v>
      </c>
      <c r="E65" s="56">
        <v>5</v>
      </c>
    </row>
    <row r="66" spans="1:5" x14ac:dyDescent="0.25">
      <c r="A66" t="s">
        <v>231</v>
      </c>
      <c r="B66" s="45">
        <v>4000</v>
      </c>
      <c r="C66" s="45">
        <v>4000</v>
      </c>
      <c r="D66" s="45">
        <v>4000</v>
      </c>
      <c r="E66" s="45">
        <v>4000</v>
      </c>
    </row>
    <row r="67" spans="1:5" x14ac:dyDescent="0.25">
      <c r="A67" s="6" t="s">
        <v>234</v>
      </c>
      <c r="B67" s="68">
        <f>RentFt1Q*FtRent1Q</f>
        <v>20000</v>
      </c>
      <c r="C67" s="68">
        <f>RentFt2Q*FtRent2Q</f>
        <v>20000</v>
      </c>
      <c r="D67" s="68">
        <f>RentFt3Q*FtRent3Q</f>
        <v>20000</v>
      </c>
      <c r="E67" s="68">
        <f>RentFt4Q*FtRent4Q</f>
        <v>20000</v>
      </c>
    </row>
    <row r="69" spans="1:5" x14ac:dyDescent="0.25">
      <c r="A69" t="s">
        <v>233</v>
      </c>
      <c r="B69" s="64">
        <v>0.35</v>
      </c>
      <c r="C69" s="64">
        <v>0.35</v>
      </c>
      <c r="D69" s="64">
        <v>0.35</v>
      </c>
      <c r="E69" s="64">
        <v>0.35</v>
      </c>
    </row>
    <row r="71" spans="1:5" ht="13" x14ac:dyDescent="0.3">
      <c r="A71" s="2" t="s">
        <v>235</v>
      </c>
    </row>
    <row r="72" spans="1:5" x14ac:dyDescent="0.25">
      <c r="A72" s="11" t="s">
        <v>240</v>
      </c>
    </row>
    <row r="73" spans="1:5" x14ac:dyDescent="0.25">
      <c r="A73" s="69" t="s">
        <v>236</v>
      </c>
      <c r="B73" s="61">
        <v>30000</v>
      </c>
      <c r="C73" s="61">
        <v>30000</v>
      </c>
      <c r="D73" s="61">
        <v>30000</v>
      </c>
      <c r="E73" s="61">
        <v>30000</v>
      </c>
    </row>
    <row r="74" spans="1:5" x14ac:dyDescent="0.25">
      <c r="A74" s="69" t="s">
        <v>237</v>
      </c>
      <c r="B74" s="61">
        <v>10000</v>
      </c>
      <c r="C74" s="61">
        <v>10000</v>
      </c>
      <c r="D74" s="61">
        <v>10000</v>
      </c>
      <c r="E74" s="61">
        <v>10000</v>
      </c>
    </row>
    <row r="75" spans="1:5" x14ac:dyDescent="0.25">
      <c r="A75" s="69" t="s">
        <v>238</v>
      </c>
      <c r="B75" s="61">
        <v>5000</v>
      </c>
      <c r="C75" s="61">
        <v>5000</v>
      </c>
      <c r="D75" s="61">
        <v>5000</v>
      </c>
      <c r="E75" s="61">
        <v>5000</v>
      </c>
    </row>
    <row r="76" spans="1:5" x14ac:dyDescent="0.25">
      <c r="A76" s="70" t="s">
        <v>239</v>
      </c>
      <c r="B76" s="68">
        <f>SUM(B73:B75)</f>
        <v>45000</v>
      </c>
      <c r="C76" s="68">
        <f>SUM(C73:C75)</f>
        <v>45000</v>
      </c>
      <c r="D76" s="68">
        <f>SUM(D73:D75)</f>
        <v>45000</v>
      </c>
      <c r="E76" s="68">
        <f>SUM(E73:E75)</f>
        <v>45000</v>
      </c>
    </row>
    <row r="78" spans="1:5" x14ac:dyDescent="0.25">
      <c r="A78" s="12" t="s">
        <v>241</v>
      </c>
    </row>
    <row r="79" spans="1:5" x14ac:dyDescent="0.25">
      <c r="A79" t="s">
        <v>242</v>
      </c>
      <c r="B79" s="47">
        <v>1</v>
      </c>
      <c r="C79" s="47">
        <v>1</v>
      </c>
      <c r="D79" s="47">
        <v>1</v>
      </c>
      <c r="E79" s="47">
        <v>1</v>
      </c>
    </row>
    <row r="81" spans="1:8" x14ac:dyDescent="0.25">
      <c r="A81" s="12" t="s">
        <v>243</v>
      </c>
    </row>
    <row r="82" spans="1:8" x14ac:dyDescent="0.25">
      <c r="A82" t="s">
        <v>244</v>
      </c>
      <c r="H82" s="71">
        <v>5</v>
      </c>
    </row>
    <row r="83" spans="1:8" x14ac:dyDescent="0.25">
      <c r="A83" t="s">
        <v>245</v>
      </c>
      <c r="H83" s="71">
        <v>5</v>
      </c>
    </row>
    <row r="84" spans="1:8" x14ac:dyDescent="0.25">
      <c r="A84" t="s">
        <v>246</v>
      </c>
      <c r="H84" s="71">
        <v>4</v>
      </c>
    </row>
    <row r="86" spans="1:8" x14ac:dyDescent="0.25">
      <c r="A86" t="s">
        <v>250</v>
      </c>
      <c r="H86" s="71">
        <v>4</v>
      </c>
    </row>
    <row r="88" spans="1:8" x14ac:dyDescent="0.25">
      <c r="A88" t="s">
        <v>247</v>
      </c>
      <c r="B88" s="72">
        <f>1/(EqptLife*QtrsYr)</f>
        <v>0.05</v>
      </c>
      <c r="C88" s="72">
        <f>1/(EqptLife*QtrsYr)</f>
        <v>0.05</v>
      </c>
      <c r="D88" s="72">
        <f>1/(EqptLife*QtrsYr)</f>
        <v>0.05</v>
      </c>
      <c r="E88" s="72">
        <f>1/(EqptLife*QtrsYr)</f>
        <v>0.05</v>
      </c>
    </row>
    <row r="89" spans="1:8" x14ac:dyDescent="0.25">
      <c r="A89" t="s">
        <v>248</v>
      </c>
      <c r="B89" s="72">
        <f>1/(FurnLife*QtrsYr)</f>
        <v>0.05</v>
      </c>
      <c r="C89" s="72">
        <f>1/(FurnLife*QtrsYr)</f>
        <v>0.05</v>
      </c>
      <c r="D89" s="72">
        <f>1/(FurnLife*QtrsYr)</f>
        <v>0.05</v>
      </c>
      <c r="E89" s="72">
        <f>1/(FurnLife*QtrsYr)</f>
        <v>0.05</v>
      </c>
    </row>
    <row r="90" spans="1:8" x14ac:dyDescent="0.25">
      <c r="A90" t="s">
        <v>249</v>
      </c>
      <c r="B90" s="72">
        <f>1/(FixLife*QtrsYr)</f>
        <v>6.25E-2</v>
      </c>
      <c r="C90" s="72">
        <f>1/(FixLife*QtrsYr)</f>
        <v>6.25E-2</v>
      </c>
      <c r="D90" s="72">
        <f>1/(FixLife*QtrsYr)</f>
        <v>6.25E-2</v>
      </c>
      <c r="E90" s="72">
        <f>1/(FixLife*QtrsYr)</f>
        <v>6.25E-2</v>
      </c>
    </row>
    <row r="92" spans="1:8" ht="13" x14ac:dyDescent="0.3">
      <c r="A92" s="2" t="s">
        <v>254</v>
      </c>
    </row>
    <row r="93" spans="1:8" x14ac:dyDescent="0.25">
      <c r="A93" s="12" t="s">
        <v>255</v>
      </c>
    </row>
    <row r="94" spans="1:8" x14ac:dyDescent="0.25">
      <c r="A94" t="s">
        <v>87</v>
      </c>
      <c r="B94" s="61">
        <v>250000</v>
      </c>
      <c r="C94" s="61">
        <v>250000</v>
      </c>
      <c r="D94" s="61">
        <v>250000</v>
      </c>
      <c r="E94" s="61">
        <v>250000</v>
      </c>
    </row>
    <row r="96" spans="1:8" x14ac:dyDescent="0.25">
      <c r="A96" t="s">
        <v>256</v>
      </c>
      <c r="B96" s="61">
        <v>1000000</v>
      </c>
      <c r="C96" s="61">
        <v>0</v>
      </c>
      <c r="D96" s="61">
        <v>0</v>
      </c>
      <c r="E96" s="61">
        <v>0</v>
      </c>
    </row>
    <row r="97" spans="1:8" x14ac:dyDescent="0.25">
      <c r="A97" t="s">
        <v>257</v>
      </c>
      <c r="B97" s="61">
        <v>0</v>
      </c>
      <c r="C97" s="61">
        <v>50000</v>
      </c>
      <c r="D97" s="61">
        <v>0</v>
      </c>
      <c r="E97" s="61">
        <v>0</v>
      </c>
    </row>
    <row r="98" spans="1:8" x14ac:dyDescent="0.25">
      <c r="A98" t="s">
        <v>258</v>
      </c>
      <c r="B98" s="61">
        <v>0</v>
      </c>
      <c r="C98" s="61">
        <v>0</v>
      </c>
      <c r="D98" s="61">
        <v>50000</v>
      </c>
      <c r="E98" s="61">
        <v>0</v>
      </c>
    </row>
    <row r="100" spans="1:8" x14ac:dyDescent="0.25">
      <c r="A100" t="s">
        <v>260</v>
      </c>
      <c r="H100" s="64">
        <v>7.0000000000000007E-2</v>
      </c>
    </row>
    <row r="101" spans="1:8" x14ac:dyDescent="0.25">
      <c r="A101" t="s">
        <v>261</v>
      </c>
      <c r="B101" s="72">
        <f>IntAnnual/QtrsYr</f>
        <v>1.7500000000000002E-2</v>
      </c>
      <c r="C101" s="72">
        <f>IntAnnual/QtrsYr</f>
        <v>1.7500000000000002E-2</v>
      </c>
      <c r="D101" s="72">
        <f>IntAnnual/QtrsYr</f>
        <v>1.7500000000000002E-2</v>
      </c>
      <c r="E101" s="72">
        <f>IntAnnual/QtrsYr</f>
        <v>1.7500000000000002E-2</v>
      </c>
    </row>
    <row r="103" spans="1:8" x14ac:dyDescent="0.25">
      <c r="A103" t="s">
        <v>262</v>
      </c>
      <c r="B103" s="68">
        <f>Loan1Q-Repay1Q</f>
        <v>0</v>
      </c>
      <c r="C103" s="68">
        <f>Loan2Q-Repay2Q+LoanVal1Q</f>
        <v>50000</v>
      </c>
      <c r="D103" s="68">
        <f>Loan3Q-Repay3Q+LoanVal2Q</f>
        <v>0</v>
      </c>
      <c r="E103" s="68">
        <f>Loan4Q-Repay4Q+LoanVal3Q</f>
        <v>0</v>
      </c>
    </row>
    <row r="105" spans="1:8" ht="13" x14ac:dyDescent="0.3">
      <c r="A105" s="2" t="s">
        <v>323</v>
      </c>
    </row>
    <row r="106" spans="1:8" x14ac:dyDescent="0.25">
      <c r="A106" t="s">
        <v>324</v>
      </c>
      <c r="H106" s="64">
        <v>0.2</v>
      </c>
    </row>
    <row r="107" spans="1:8" x14ac:dyDescent="0.25">
      <c r="A107" t="s">
        <v>325</v>
      </c>
      <c r="H107" s="64">
        <v>0.05</v>
      </c>
    </row>
    <row r="114" spans="1:8" ht="13" x14ac:dyDescent="0.3">
      <c r="A114" s="2" t="s">
        <v>285</v>
      </c>
    </row>
    <row r="115" spans="1:8" x14ac:dyDescent="0.25">
      <c r="A115" t="s">
        <v>286</v>
      </c>
      <c r="H115" s="89" t="str">
        <f>IF(ABS(BSCheckSum)&lt;1,"Yes","No")</f>
        <v>Yes</v>
      </c>
    </row>
    <row r="116" spans="1:8" ht="13" x14ac:dyDescent="0.3">
      <c r="A116" s="88" t="s">
        <v>287</v>
      </c>
      <c r="H116" s="68">
        <f>BSCheck1Q+BSCheck2Q+BSCheck3Q+BSCheck4Q+BSCheckX4</f>
        <v>0</v>
      </c>
    </row>
    <row r="118" spans="1:8" x14ac:dyDescent="0.25">
      <c r="A118" t="s">
        <v>290</v>
      </c>
      <c r="H118" s="89" t="str">
        <f>IF(ABS(CFCheckSum)&lt;1,"Yes","No")</f>
        <v>Yes</v>
      </c>
    </row>
    <row r="119" spans="1:8" ht="13" x14ac:dyDescent="0.3">
      <c r="A119" s="88" t="s">
        <v>289</v>
      </c>
      <c r="H119" s="68">
        <f>SUM(CFCheck1Q+CFCheck2Q+CFCheck3Q+CFCheck4Q+CFCheckX4)</f>
        <v>0</v>
      </c>
    </row>
    <row r="121" spans="1:8" ht="13" x14ac:dyDescent="0.3">
      <c r="B121" s="110" t="s">
        <v>0</v>
      </c>
      <c r="C121" s="110"/>
      <c r="D121" s="110"/>
      <c r="E121" s="110"/>
      <c r="F121" s="110"/>
      <c r="G121" s="110"/>
    </row>
    <row r="122" spans="1:8" ht="13" x14ac:dyDescent="0.3">
      <c r="B122" s="1" t="s">
        <v>1</v>
      </c>
      <c r="C122" s="1" t="s">
        <v>2</v>
      </c>
      <c r="D122" s="1" t="s">
        <v>3</v>
      </c>
      <c r="E122" s="1" t="s">
        <v>4</v>
      </c>
      <c r="G122" s="1" t="s">
        <v>5</v>
      </c>
    </row>
    <row r="123" spans="1:8" x14ac:dyDescent="0.25">
      <c r="A123" t="s">
        <v>291</v>
      </c>
      <c r="B123" s="90">
        <f>Sales1Q</f>
        <v>1000000</v>
      </c>
      <c r="C123" s="90">
        <f>Sales2Q</f>
        <v>1440000</v>
      </c>
      <c r="D123" s="90">
        <f>Sales3Q</f>
        <v>1932000</v>
      </c>
      <c r="E123" s="90">
        <f>Sales4Q</f>
        <v>2520000</v>
      </c>
      <c r="G123" s="90">
        <f>SalesX4</f>
        <v>6892000</v>
      </c>
    </row>
    <row r="124" spans="1:8" ht="7.5" customHeight="1" x14ac:dyDescent="0.25"/>
    <row r="125" spans="1:8" x14ac:dyDescent="0.25">
      <c r="A125" t="s">
        <v>112</v>
      </c>
      <c r="B125" s="90">
        <f>NetInc1Q</f>
        <v>134736.875</v>
      </c>
      <c r="C125" s="90">
        <f>NetInc2Q</f>
        <v>330914.99999999994</v>
      </c>
      <c r="D125" s="90">
        <f>NetInc3Q</f>
        <v>425842.62499999994</v>
      </c>
      <c r="E125" s="90">
        <f>NetInc4Q</f>
        <v>685327.5</v>
      </c>
      <c r="G125" s="90">
        <f>NetIncX4</f>
        <v>1576821.9999999995</v>
      </c>
    </row>
    <row r="126" spans="1:8" ht="7.5" customHeight="1" x14ac:dyDescent="0.25"/>
    <row r="127" spans="1:8" x14ac:dyDescent="0.25">
      <c r="A127" t="s">
        <v>292</v>
      </c>
      <c r="B127" s="90">
        <f>FCF1Q</f>
        <v>-17728.402777777752</v>
      </c>
      <c r="C127" s="90">
        <f>FCF2Q</f>
        <v>228953.19444444438</v>
      </c>
      <c r="D127" s="90">
        <f>FCF3Q</f>
        <v>330580.12499999994</v>
      </c>
      <c r="E127" s="90">
        <f>FCF4Q</f>
        <v>594044.16666666674</v>
      </c>
      <c r="G127" s="90">
        <f>FCFX4</f>
        <v>1135849.0833333335</v>
      </c>
    </row>
    <row r="129" spans="1:3" ht="13" x14ac:dyDescent="0.3">
      <c r="A129" s="2" t="s">
        <v>293</v>
      </c>
    </row>
    <row r="130" spans="1:3" x14ac:dyDescent="0.25">
      <c r="A130" s="69"/>
      <c r="C130" s="25" t="s">
        <v>295</v>
      </c>
    </row>
    <row r="131" spans="1:3" x14ac:dyDescent="0.25">
      <c r="A131" s="69"/>
      <c r="C131" s="25" t="s">
        <v>296</v>
      </c>
    </row>
    <row r="132" spans="1:3" x14ac:dyDescent="0.25">
      <c r="C132" s="90">
        <f>Revs1Q</f>
        <v>1000000</v>
      </c>
    </row>
    <row r="133" spans="1:3" x14ac:dyDescent="0.25">
      <c r="B133" s="45">
        <v>800</v>
      </c>
      <c r="C133" s="91">
        <f t="dataTable" ref="C133:C137" dt2D="0" dtr="0" r1="B5"/>
        <v>800000</v>
      </c>
    </row>
    <row r="134" spans="1:3" x14ac:dyDescent="0.25">
      <c r="B134" s="45">
        <v>900</v>
      </c>
      <c r="C134" s="92">
        <v>900000</v>
      </c>
    </row>
    <row r="135" spans="1:3" x14ac:dyDescent="0.25">
      <c r="A135" s="30" t="s">
        <v>294</v>
      </c>
      <c r="B135" s="45">
        <v>1000</v>
      </c>
      <c r="C135" s="92">
        <v>1000000</v>
      </c>
    </row>
    <row r="136" spans="1:3" x14ac:dyDescent="0.25">
      <c r="B136" s="45">
        <v>1100</v>
      </c>
      <c r="C136" s="92">
        <v>1100000</v>
      </c>
    </row>
    <row r="137" spans="1:3" x14ac:dyDescent="0.25">
      <c r="B137" s="45">
        <v>1200</v>
      </c>
      <c r="C137" s="93">
        <v>1200000</v>
      </c>
    </row>
    <row r="139" spans="1:3" ht="13" x14ac:dyDescent="0.3">
      <c r="A139" s="2" t="s">
        <v>297</v>
      </c>
      <c r="C139" s="25"/>
    </row>
    <row r="140" spans="1:3" x14ac:dyDescent="0.25">
      <c r="C140" s="25" t="s">
        <v>112</v>
      </c>
    </row>
    <row r="141" spans="1:3" x14ac:dyDescent="0.25">
      <c r="C141" s="25" t="s">
        <v>296</v>
      </c>
    </row>
    <row r="142" spans="1:3" x14ac:dyDescent="0.25">
      <c r="C142" s="90">
        <f>NI1Q</f>
        <v>134736.875</v>
      </c>
    </row>
    <row r="143" spans="1:3" x14ac:dyDescent="0.25">
      <c r="B143" s="46">
        <v>700</v>
      </c>
      <c r="C143" s="91">
        <f t="dataTable" ref="C143:C147" dt2D="0" dtr="0" r1="B6" ca="1"/>
        <v>-40763.125000000073</v>
      </c>
    </row>
    <row r="144" spans="1:3" x14ac:dyDescent="0.25">
      <c r="B144" s="46">
        <v>850</v>
      </c>
      <c r="C144" s="92">
        <v>46986.874999999927</v>
      </c>
    </row>
    <row r="145" spans="1:3" x14ac:dyDescent="0.25">
      <c r="A145" s="30" t="s">
        <v>298</v>
      </c>
      <c r="B145" s="46">
        <v>1000</v>
      </c>
      <c r="C145" s="92">
        <v>134736.875</v>
      </c>
    </row>
    <row r="146" spans="1:3" x14ac:dyDescent="0.25">
      <c r="B146" s="46">
        <v>1150</v>
      </c>
      <c r="C146" s="92">
        <v>222486.87499999994</v>
      </c>
    </row>
    <row r="147" spans="1:3" x14ac:dyDescent="0.25">
      <c r="B147" s="46">
        <v>1300</v>
      </c>
      <c r="C147" s="93">
        <v>310236.87499999994</v>
      </c>
    </row>
    <row r="149" spans="1:3" ht="13" x14ac:dyDescent="0.3">
      <c r="A149" s="2" t="s">
        <v>299</v>
      </c>
    </row>
    <row r="150" spans="1:3" x14ac:dyDescent="0.25">
      <c r="C150" s="25" t="s">
        <v>300</v>
      </c>
    </row>
    <row r="151" spans="1:3" x14ac:dyDescent="0.25">
      <c r="C151" s="25" t="s">
        <v>296</v>
      </c>
    </row>
    <row r="152" spans="1:3" x14ac:dyDescent="0.25">
      <c r="C152" s="90">
        <f>FreeCF1Q</f>
        <v>-17728.402777777752</v>
      </c>
    </row>
    <row r="153" spans="1:3" x14ac:dyDescent="0.25">
      <c r="B153" s="56">
        <v>65</v>
      </c>
      <c r="C153" s="91">
        <f t="dataTable" ref="C153:C157" dt2D="0" dtr="0" r1="B17"/>
        <v>-14561.736111111095</v>
      </c>
    </row>
    <row r="154" spans="1:3" x14ac:dyDescent="0.25">
      <c r="B154" s="56">
        <v>70</v>
      </c>
      <c r="C154" s="92">
        <v>-16145.069444444423</v>
      </c>
    </row>
    <row r="155" spans="1:3" x14ac:dyDescent="0.25">
      <c r="A155" s="30" t="s">
        <v>301</v>
      </c>
      <c r="B155" s="56">
        <v>75</v>
      </c>
      <c r="C155" s="92">
        <v>-17728.402777777752</v>
      </c>
    </row>
    <row r="156" spans="1:3" x14ac:dyDescent="0.25">
      <c r="B156" s="56">
        <v>80</v>
      </c>
      <c r="C156" s="92">
        <v>-19311.73611111108</v>
      </c>
    </row>
    <row r="157" spans="1:3" x14ac:dyDescent="0.25">
      <c r="B157" s="56">
        <v>85</v>
      </c>
      <c r="C157" s="93">
        <v>-20895.069444444409</v>
      </c>
    </row>
  </sheetData>
  <mergeCells count="2">
    <mergeCell ref="B1:G1"/>
    <mergeCell ref="B121:G121"/>
  </mergeCells>
  <phoneticPr fontId="2" type="noConversion"/>
  <pageMargins left="0.75" right="0.75" top="1" bottom="1" header="0.5" footer="0.5"/>
  <pageSetup scale="86" fitToHeight="2" orientation="portrait" r:id="rId1"/>
  <headerFooter alignWithMargins="0">
    <oddFooter>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G98"/>
  <sheetViews>
    <sheetView zoomScale="90" workbookViewId="0">
      <selection activeCell="J4" sqref="J4"/>
    </sheetView>
  </sheetViews>
  <sheetFormatPr defaultRowHeight="12.5" x14ac:dyDescent="0.25"/>
  <cols>
    <col min="1" max="1" width="32" bestFit="1" customWidth="1"/>
    <col min="2" max="2" width="12.81640625" bestFit="1" customWidth="1"/>
    <col min="3" max="5" width="12.1796875" bestFit="1" customWidth="1"/>
    <col min="6" max="6" width="1.4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x14ac:dyDescent="0.25">
      <c r="A3" s="12" t="s">
        <v>96</v>
      </c>
    </row>
    <row r="4" spans="1:7" x14ac:dyDescent="0.25">
      <c r="A4" t="s">
        <v>97</v>
      </c>
      <c r="B4" s="50">
        <f>EndCash1Q</f>
        <v>982271.59722222213</v>
      </c>
      <c r="C4" s="50">
        <f>EndCash2Q</f>
        <v>1260656.0416666665</v>
      </c>
      <c r="D4" s="50">
        <f>EndCash3Q</f>
        <v>1541236.1666666665</v>
      </c>
      <c r="E4" s="50">
        <f>EndCash4Q</f>
        <v>2135280.333333333</v>
      </c>
      <c r="F4" s="53"/>
      <c r="G4" s="50">
        <f>EndCashX4</f>
        <v>2135280.333333333</v>
      </c>
    </row>
    <row r="5" spans="1:7" x14ac:dyDescent="0.25">
      <c r="A5" t="s">
        <v>98</v>
      </c>
      <c r="B5" s="3">
        <f>EndAR1Q</f>
        <v>133333.33333333331</v>
      </c>
      <c r="C5" s="3">
        <f>EndAR2Q</f>
        <v>192000</v>
      </c>
      <c r="D5" s="3">
        <f>EndAR3Q</f>
        <v>257600</v>
      </c>
      <c r="E5" s="3">
        <f>EndAR4Q</f>
        <v>336000</v>
      </c>
      <c r="F5" s="4"/>
      <c r="G5" s="3">
        <f>EndARX4</f>
        <v>336000</v>
      </c>
    </row>
    <row r="6" spans="1:7" x14ac:dyDescent="0.25">
      <c r="A6" t="s">
        <v>99</v>
      </c>
      <c r="B6" s="3">
        <f>EndInv1Q</f>
        <v>64666.666666666664</v>
      </c>
      <c r="C6" s="3">
        <f>EndInv2Q</f>
        <v>83066.666666666657</v>
      </c>
      <c r="D6" s="3">
        <f>EndInv3Q</f>
        <v>102666.66666666666</v>
      </c>
      <c r="E6" s="3">
        <f>EndInv4Q</f>
        <v>102666.66666666666</v>
      </c>
      <c r="F6" s="4"/>
      <c r="G6" s="3">
        <f>EndInvX4</f>
        <v>102666.66666666666</v>
      </c>
    </row>
    <row r="7" spans="1:7" x14ac:dyDescent="0.25">
      <c r="A7" t="s">
        <v>100</v>
      </c>
      <c r="B7" s="5">
        <f>FixAssets1Q</f>
        <v>42687.5</v>
      </c>
      <c r="C7" s="5">
        <f>FixAssets2Q</f>
        <v>83062.5</v>
      </c>
      <c r="D7" s="5">
        <f>FixAssets3Q</f>
        <v>121125</v>
      </c>
      <c r="E7" s="5">
        <f>FixAssets4Q</f>
        <v>156875</v>
      </c>
      <c r="F7" s="4"/>
      <c r="G7" s="3">
        <f>E7</f>
        <v>156875</v>
      </c>
    </row>
    <row r="8" spans="1:7" ht="13" thickBot="1" x14ac:dyDescent="0.3">
      <c r="A8" s="6" t="s">
        <v>101</v>
      </c>
      <c r="B8" s="81">
        <f>SUM(B4:B7)</f>
        <v>1222959.0972222222</v>
      </c>
      <c r="C8" s="81">
        <f>SUM(C4:C7)</f>
        <v>1618785.2083333333</v>
      </c>
      <c r="D8" s="81">
        <f>SUM(D4:D7)</f>
        <v>2022627.8333333333</v>
      </c>
      <c r="E8" s="81">
        <f>SUM(E4:E7)</f>
        <v>2730821.9999999995</v>
      </c>
      <c r="F8" s="53"/>
      <c r="G8" s="81">
        <f>SUM(G4:G7)</f>
        <v>2730821.9999999995</v>
      </c>
    </row>
    <row r="9" spans="1:7" ht="13" thickTop="1" x14ac:dyDescent="0.25">
      <c r="B9" s="4"/>
      <c r="C9" s="4"/>
      <c r="D9" s="4"/>
      <c r="E9" s="4"/>
      <c r="F9" s="4"/>
      <c r="G9" s="4"/>
    </row>
    <row r="10" spans="1:7" x14ac:dyDescent="0.25">
      <c r="B10" s="4"/>
      <c r="C10" s="4"/>
      <c r="D10" s="4"/>
      <c r="E10" s="4"/>
      <c r="F10" s="4"/>
      <c r="G10" s="4"/>
    </row>
    <row r="11" spans="1:7" x14ac:dyDescent="0.25">
      <c r="A11" s="12" t="s">
        <v>102</v>
      </c>
      <c r="B11" s="4"/>
      <c r="C11" s="4"/>
      <c r="D11" s="4"/>
      <c r="E11" s="4"/>
      <c r="F11" s="4"/>
      <c r="G11" s="4"/>
    </row>
    <row r="12" spans="1:7" x14ac:dyDescent="0.25">
      <c r="A12" t="s">
        <v>103</v>
      </c>
      <c r="B12" s="50">
        <f>EndAP1Q</f>
        <v>88222.222222222219</v>
      </c>
      <c r="C12" s="50">
        <f>EndAP2Q</f>
        <v>103133.33333333331</v>
      </c>
      <c r="D12" s="50">
        <f>EndAP3Q</f>
        <v>131133.33333333331</v>
      </c>
      <c r="E12" s="50">
        <f>EndAP4Q</f>
        <v>154000</v>
      </c>
      <c r="F12" s="53"/>
      <c r="G12" s="50">
        <f>EndAPX4</f>
        <v>154000</v>
      </c>
    </row>
    <row r="13" spans="1:7" x14ac:dyDescent="0.25">
      <c r="A13" t="s">
        <v>272</v>
      </c>
      <c r="B13" s="3">
        <f>PACAPEX1Q</f>
        <v>0</v>
      </c>
      <c r="C13" s="3">
        <f>PACAPEX2Q</f>
        <v>0</v>
      </c>
      <c r="D13" s="3">
        <f>PACAPEX3Q</f>
        <v>0</v>
      </c>
      <c r="E13" s="3">
        <f>PACAPEX4Q</f>
        <v>0</v>
      </c>
      <c r="F13" s="4"/>
      <c r="G13" s="3">
        <f>PayCapB4Q</f>
        <v>0</v>
      </c>
    </row>
    <row r="14" spans="1:7" x14ac:dyDescent="0.25">
      <c r="A14" t="s">
        <v>104</v>
      </c>
      <c r="B14" s="5">
        <f>LoanVal1Q</f>
        <v>0</v>
      </c>
      <c r="C14" s="5">
        <f>LoanVal2Q</f>
        <v>50000</v>
      </c>
      <c r="D14" s="5">
        <f>LoanVal3Q</f>
        <v>0</v>
      </c>
      <c r="E14" s="5">
        <f>LoanVal4Q</f>
        <v>0</v>
      </c>
      <c r="F14" s="4"/>
      <c r="G14" s="5">
        <f>E14</f>
        <v>0</v>
      </c>
    </row>
    <row r="15" spans="1:7" x14ac:dyDescent="0.25">
      <c r="A15" s="6" t="s">
        <v>105</v>
      </c>
      <c r="B15" s="50">
        <f>SUM(B12:B14)</f>
        <v>88222.222222222219</v>
      </c>
      <c r="C15" s="50">
        <f>SUM(C12:C14)</f>
        <v>153133.33333333331</v>
      </c>
      <c r="D15" s="50">
        <f>SUM(D12:D14)</f>
        <v>131133.33333333331</v>
      </c>
      <c r="E15" s="50">
        <f>SUM(E12:E14)</f>
        <v>154000</v>
      </c>
      <c r="F15" s="53"/>
      <c r="G15" s="50">
        <f>SUM(G12:G14)</f>
        <v>154000</v>
      </c>
    </row>
    <row r="16" spans="1:7" x14ac:dyDescent="0.25">
      <c r="B16" s="4"/>
      <c r="C16" s="4"/>
      <c r="D16" s="4"/>
      <c r="E16" s="4"/>
      <c r="F16" s="4"/>
      <c r="G16" s="4"/>
    </row>
    <row r="17" spans="1:7" x14ac:dyDescent="0.25">
      <c r="B17" s="4"/>
      <c r="C17" s="4"/>
      <c r="D17" s="4"/>
      <c r="E17" s="4"/>
      <c r="F17" s="4"/>
      <c r="G17" s="4"/>
    </row>
    <row r="18" spans="1:7" x14ac:dyDescent="0.25">
      <c r="A18" s="12" t="s">
        <v>106</v>
      </c>
      <c r="B18" s="4"/>
      <c r="C18" s="4"/>
      <c r="D18" s="4"/>
      <c r="E18" s="4"/>
      <c r="F18" s="4"/>
      <c r="G18" s="4"/>
    </row>
    <row r="19" spans="1:7" x14ac:dyDescent="0.25">
      <c r="A19" t="s">
        <v>107</v>
      </c>
      <c r="B19" s="50">
        <f>EqtInv1Q</f>
        <v>1000000</v>
      </c>
      <c r="C19" s="50">
        <f>EqtInv2Q+CS1Q</f>
        <v>1000000</v>
      </c>
      <c r="D19" s="50">
        <f>EqtInv3Q+CS2Q</f>
        <v>1000000</v>
      </c>
      <c r="E19" s="50">
        <f>EqtInv4Q+CS3Q</f>
        <v>1000000</v>
      </c>
      <c r="F19" s="53"/>
      <c r="G19" s="50">
        <f>CS4Q</f>
        <v>1000000</v>
      </c>
    </row>
    <row r="20" spans="1:7" x14ac:dyDescent="0.25">
      <c r="A20" t="s">
        <v>108</v>
      </c>
      <c r="B20" s="5">
        <f>NetInc1Q</f>
        <v>134736.875</v>
      </c>
      <c r="C20" s="5">
        <f>NetInc2Q+RE1Q</f>
        <v>465651.87499999994</v>
      </c>
      <c r="D20" s="5">
        <f>NetInc3Q+RE2Q</f>
        <v>891494.49999999988</v>
      </c>
      <c r="E20" s="5">
        <f>NetInc4Q+RE3Q</f>
        <v>1576822</v>
      </c>
      <c r="F20" s="4"/>
      <c r="G20" s="5">
        <f>RE4Q</f>
        <v>1576822</v>
      </c>
    </row>
    <row r="21" spans="1:7" x14ac:dyDescent="0.25">
      <c r="A21" s="6" t="s">
        <v>109</v>
      </c>
      <c r="B21" s="50">
        <f>SUM(B19:B20)</f>
        <v>1134736.875</v>
      </c>
      <c r="C21" s="50">
        <f>SUM(C19:C20)</f>
        <v>1465651.875</v>
      </c>
      <c r="D21" s="50">
        <f>SUM(D19:D20)</f>
        <v>1891494.5</v>
      </c>
      <c r="E21" s="50">
        <f>SUM(E19:E20)</f>
        <v>2576822</v>
      </c>
      <c r="F21" s="53"/>
      <c r="G21" s="50">
        <f>SUM(G19:G20)</f>
        <v>2576822</v>
      </c>
    </row>
    <row r="22" spans="1:7" x14ac:dyDescent="0.25">
      <c r="B22" s="21"/>
      <c r="C22" s="21"/>
      <c r="D22" s="21"/>
      <c r="E22" s="21"/>
      <c r="F22" s="4"/>
      <c r="G22" s="21"/>
    </row>
    <row r="23" spans="1:7" ht="13" thickBot="1" x14ac:dyDescent="0.3">
      <c r="A23" t="s">
        <v>110</v>
      </c>
      <c r="B23" s="81">
        <f>TotLiabs1Q+TotOE1Q</f>
        <v>1222959.0972222222</v>
      </c>
      <c r="C23" s="81">
        <f>TotLiabs2Q+TotOE2Q</f>
        <v>1618785.2083333333</v>
      </c>
      <c r="D23" s="81">
        <f>TotLiabs3Q+TotOE3Q</f>
        <v>2022627.8333333333</v>
      </c>
      <c r="E23" s="81">
        <f>TotLiabs4Q+TotOE4Q</f>
        <v>2730822</v>
      </c>
      <c r="F23" s="53"/>
      <c r="G23" s="81">
        <f>TotLiabsX4+TotOEX4</f>
        <v>2730822</v>
      </c>
    </row>
    <row r="24" spans="1:7" ht="13" thickTop="1" x14ac:dyDescent="0.25"/>
    <row r="25" spans="1:7" ht="13" x14ac:dyDescent="0.3">
      <c r="A25" s="85" t="s">
        <v>284</v>
      </c>
      <c r="B25" s="86">
        <f>TotAssets1Q-TotLOE1Q</f>
        <v>0</v>
      </c>
      <c r="C25" s="86">
        <f>TotAssets2Q-TotLOE2Q</f>
        <v>0</v>
      </c>
      <c r="D25" s="86">
        <f>TotAssets3Q-TotLOE3Q</f>
        <v>0</v>
      </c>
      <c r="E25" s="86">
        <f>TotAssets4Q-TotLOE4Q</f>
        <v>0</v>
      </c>
      <c r="F25" s="87"/>
      <c r="G25" s="86">
        <f>TotAssetsX4-TotLOEX4</f>
        <v>0</v>
      </c>
    </row>
    <row r="27" spans="1:7" x14ac:dyDescent="0.25">
      <c r="A27" s="12" t="s">
        <v>267</v>
      </c>
    </row>
    <row r="28" spans="1:7" x14ac:dyDescent="0.25">
      <c r="A28" t="s">
        <v>263</v>
      </c>
      <c r="B28" s="50">
        <f>EndAR1Q+EndInv1Q</f>
        <v>197999.99999999997</v>
      </c>
      <c r="C28" s="50">
        <f>EndAR2Q+EndInv2Q</f>
        <v>275066.66666666663</v>
      </c>
      <c r="D28" s="50">
        <f>EndAR3Q+EndInv3Q</f>
        <v>360266.66666666663</v>
      </c>
      <c r="E28" s="50">
        <f>EndAR4Q+EndInv4Q</f>
        <v>438666.66666666663</v>
      </c>
      <c r="F28" s="53"/>
      <c r="G28" s="52" t="s">
        <v>194</v>
      </c>
    </row>
    <row r="29" spans="1:7" x14ac:dyDescent="0.25">
      <c r="A29" s="7" t="s">
        <v>264</v>
      </c>
      <c r="B29" s="5">
        <f>EndAP1Q</f>
        <v>88222.222222222219</v>
      </c>
      <c r="C29" s="5">
        <f>EndAP2Q</f>
        <v>103133.33333333331</v>
      </c>
      <c r="D29" s="5">
        <f>EndAP3Q</f>
        <v>131133.33333333331</v>
      </c>
      <c r="E29" s="5">
        <f>EndAP4Q</f>
        <v>154000</v>
      </c>
      <c r="F29" s="4"/>
      <c r="G29" s="54" t="s">
        <v>194</v>
      </c>
    </row>
    <row r="30" spans="1:7" x14ac:dyDescent="0.25">
      <c r="A30" s="7" t="s">
        <v>265</v>
      </c>
      <c r="B30" s="50">
        <f>CA1Q-CL1Q</f>
        <v>109777.77777777775</v>
      </c>
      <c r="C30" s="50">
        <f>CA2Q-CL2Q</f>
        <v>171933.33333333331</v>
      </c>
      <c r="D30" s="50">
        <f>CA3Q-CL3Q</f>
        <v>229133.33333333331</v>
      </c>
      <c r="E30" s="50">
        <f>CA4Q-CL4Q</f>
        <v>284666.66666666663</v>
      </c>
      <c r="F30" s="53"/>
      <c r="G30" s="52" t="s">
        <v>194</v>
      </c>
    </row>
    <row r="32" spans="1:7" x14ac:dyDescent="0.25">
      <c r="A32" t="s">
        <v>266</v>
      </c>
      <c r="B32" s="50">
        <v>0</v>
      </c>
      <c r="C32" s="50">
        <f>NWC1Q</f>
        <v>109777.77777777775</v>
      </c>
      <c r="D32" s="50">
        <f>NWC2Q</f>
        <v>171933.33333333331</v>
      </c>
      <c r="E32" s="50">
        <f>NWC3Q</f>
        <v>229133.33333333331</v>
      </c>
      <c r="F32" s="53"/>
      <c r="G32" s="52" t="s">
        <v>194</v>
      </c>
    </row>
    <row r="33" spans="1:7" x14ac:dyDescent="0.25">
      <c r="A33" s="7" t="s">
        <v>268</v>
      </c>
      <c r="B33" s="5">
        <f>NWC1Q</f>
        <v>109777.77777777775</v>
      </c>
      <c r="C33" s="5">
        <f>NWC2Q</f>
        <v>171933.33333333331</v>
      </c>
      <c r="D33" s="5">
        <f>NWC3Q</f>
        <v>229133.33333333331</v>
      </c>
      <c r="E33" s="5">
        <f>NWC4Q</f>
        <v>284666.66666666663</v>
      </c>
      <c r="F33" s="4"/>
      <c r="G33" s="54" t="s">
        <v>194</v>
      </c>
    </row>
    <row r="34" spans="1:7" x14ac:dyDescent="0.25">
      <c r="A34" s="7" t="s">
        <v>269</v>
      </c>
      <c r="B34" s="50">
        <f>BegNWC1Q-EndNWC1Q</f>
        <v>-109777.77777777775</v>
      </c>
      <c r="C34" s="50">
        <f>BegNWC2Q-EndNWC2Q</f>
        <v>-62155.555555555562</v>
      </c>
      <c r="D34" s="50">
        <f>BegNWC3Q-EndNWC3Q</f>
        <v>-57200</v>
      </c>
      <c r="E34" s="50">
        <f>BegNWC4Q-EndNWC4Q</f>
        <v>-55533.333333333314</v>
      </c>
      <c r="F34" s="53"/>
      <c r="G34" s="52" t="s">
        <v>194</v>
      </c>
    </row>
    <row r="97" spans="2:5" x14ac:dyDescent="0.25">
      <c r="B97">
        <v>0</v>
      </c>
      <c r="C97">
        <v>50000</v>
      </c>
      <c r="D97">
        <v>0</v>
      </c>
      <c r="E97">
        <v>0</v>
      </c>
    </row>
    <row r="98" spans="2:5" x14ac:dyDescent="0.25">
      <c r="B98">
        <v>0</v>
      </c>
      <c r="C98">
        <v>0</v>
      </c>
      <c r="D98">
        <v>50000</v>
      </c>
      <c r="E98">
        <v>0</v>
      </c>
    </row>
  </sheetData>
  <mergeCells count="1">
    <mergeCell ref="B1:G1"/>
  </mergeCells>
  <phoneticPr fontId="2" type="noConversion"/>
  <pageMargins left="0.75" right="0.75" top="1" bottom="1" header="0.5" footer="0.5"/>
  <pageSetup scale="96" orientation="portrait" r:id="rId1"/>
  <headerFooter alignWithMargins="0">
    <oddFooter>&amp;R&amp;F
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G18"/>
  <sheetViews>
    <sheetView zoomScale="145" zoomScaleNormal="145" workbookViewId="0">
      <selection activeCell="B5" sqref="B5"/>
    </sheetView>
  </sheetViews>
  <sheetFormatPr defaultRowHeight="12.5" x14ac:dyDescent="0.25"/>
  <cols>
    <col min="1" max="1" width="25.7265625" bestFit="1" customWidth="1"/>
    <col min="2" max="5" width="12.1796875" bestFit="1" customWidth="1"/>
    <col min="6" max="6" width="1.4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x14ac:dyDescent="0.25">
      <c r="A3" t="s">
        <v>59</v>
      </c>
      <c r="B3" s="50">
        <f>Sales1Q</f>
        <v>1000000</v>
      </c>
      <c r="C3" s="50">
        <f>Sales2Q</f>
        <v>1440000</v>
      </c>
      <c r="D3" s="50">
        <f>Sales3Q</f>
        <v>1932000</v>
      </c>
      <c r="E3" s="50">
        <f>Sales4Q</f>
        <v>2520000</v>
      </c>
      <c r="F3" s="53"/>
      <c r="G3" s="50">
        <f>SUM(B3:E3)</f>
        <v>6892000</v>
      </c>
    </row>
    <row r="4" spans="1:7" x14ac:dyDescent="0.25">
      <c r="A4" s="7" t="s">
        <v>60</v>
      </c>
      <c r="B4" s="5">
        <f>COGS1Q</f>
        <v>200000</v>
      </c>
      <c r="C4" s="5">
        <f>COGS2Q</f>
        <v>291000</v>
      </c>
      <c r="D4" s="5">
        <f>COGS3Q</f>
        <v>373800</v>
      </c>
      <c r="E4" s="5">
        <f>COGS4Q</f>
        <v>462000</v>
      </c>
      <c r="F4" s="4"/>
      <c r="G4" s="5">
        <f>SUM(B4:E4)</f>
        <v>1326800</v>
      </c>
    </row>
    <row r="5" spans="1:7" x14ac:dyDescent="0.25">
      <c r="A5" s="8" t="s">
        <v>66</v>
      </c>
      <c r="B5" s="50">
        <f>B3-B4</f>
        <v>800000</v>
      </c>
      <c r="C5" s="50">
        <f>C3-C4</f>
        <v>1149000</v>
      </c>
      <c r="D5" s="50">
        <f>D3-D4</f>
        <v>1558200</v>
      </c>
      <c r="E5" s="50">
        <f>E3-E4</f>
        <v>2058000</v>
      </c>
      <c r="F5" s="53"/>
      <c r="G5" s="50">
        <f>G3-G4</f>
        <v>5565200</v>
      </c>
    </row>
    <row r="6" spans="1:7" x14ac:dyDescent="0.25">
      <c r="A6" s="7"/>
      <c r="B6" s="4"/>
      <c r="C6" s="4"/>
      <c r="D6" s="4"/>
      <c r="E6" s="4"/>
      <c r="F6" s="4"/>
      <c r="G6" s="4"/>
    </row>
    <row r="7" spans="1:7" x14ac:dyDescent="0.25">
      <c r="A7" t="s">
        <v>48</v>
      </c>
      <c r="B7" s="50">
        <f>SalExp1Q</f>
        <v>470400.00000000006</v>
      </c>
      <c r="C7" s="50">
        <f>SalExp2Q</f>
        <v>470400.00000000006</v>
      </c>
      <c r="D7" s="50">
        <f>SalExp3Q</f>
        <v>663600.00000000012</v>
      </c>
      <c r="E7" s="50">
        <f>SalExp4Q</f>
        <v>697200.00000000012</v>
      </c>
      <c r="F7" s="53"/>
      <c r="G7" s="50">
        <f>SUM(B7:E7)</f>
        <v>2301600.0000000005</v>
      </c>
    </row>
    <row r="8" spans="1:7" x14ac:dyDescent="0.25">
      <c r="A8" t="s">
        <v>49</v>
      </c>
      <c r="B8" s="3">
        <f>MiscExp1Q</f>
        <v>30000</v>
      </c>
      <c r="C8" s="3">
        <f>MiscExp2Q</f>
        <v>43200</v>
      </c>
      <c r="D8" s="3">
        <f>MiscExp3Q</f>
        <v>57960</v>
      </c>
      <c r="E8" s="3">
        <f>MiscExp4Q</f>
        <v>75600</v>
      </c>
      <c r="F8" s="4"/>
      <c r="G8" s="3">
        <f>SUM(B8:E8)</f>
        <v>206760</v>
      </c>
    </row>
    <row r="9" spans="1:7" x14ac:dyDescent="0.25">
      <c r="A9" t="s">
        <v>50</v>
      </c>
      <c r="B9" s="3">
        <f>RDExp1Q</f>
        <v>70000</v>
      </c>
      <c r="C9" s="3">
        <f>RDExp2Q</f>
        <v>100800.00000000001</v>
      </c>
      <c r="D9" s="3">
        <f>RDExp3Q</f>
        <v>154560</v>
      </c>
      <c r="E9" s="3">
        <f>RDExp4Q</f>
        <v>201600</v>
      </c>
      <c r="F9" s="4"/>
      <c r="G9" s="3">
        <f>SUM(B9:E9)</f>
        <v>526960</v>
      </c>
    </row>
    <row r="10" spans="1:7" x14ac:dyDescent="0.25">
      <c r="A10" t="s">
        <v>51</v>
      </c>
      <c r="B10" s="3">
        <f>RentExp1Q</f>
        <v>20000</v>
      </c>
      <c r="C10" s="3">
        <f>RentExp2Q</f>
        <v>20000</v>
      </c>
      <c r="D10" s="3">
        <f>RentExp3Q</f>
        <v>20000</v>
      </c>
      <c r="E10" s="3">
        <f>RentExp4Q</f>
        <v>20000</v>
      </c>
      <c r="F10" s="4"/>
      <c r="G10" s="3">
        <f>SUM(B10:E10)</f>
        <v>80000</v>
      </c>
    </row>
    <row r="11" spans="1:7" x14ac:dyDescent="0.25">
      <c r="A11" t="s">
        <v>52</v>
      </c>
      <c r="B11" s="5">
        <f>Dep1Q</f>
        <v>2312.5</v>
      </c>
      <c r="C11" s="5">
        <f>Dep2Q</f>
        <v>4625</v>
      </c>
      <c r="D11" s="5">
        <f>Dep3Q</f>
        <v>6937.5</v>
      </c>
      <c r="E11" s="5">
        <f>Dep4Q</f>
        <v>9250</v>
      </c>
      <c r="F11" s="4"/>
      <c r="G11" s="5">
        <f>SUM(B11:E11)</f>
        <v>23125</v>
      </c>
    </row>
    <row r="12" spans="1:7" x14ac:dyDescent="0.25">
      <c r="A12" s="6" t="s">
        <v>61</v>
      </c>
      <c r="B12" s="50">
        <f>GrossP1Q-OpExp1Q</f>
        <v>207287.5</v>
      </c>
      <c r="C12" s="50">
        <f>GrossP2Q-OpExp2Q</f>
        <v>509974.99999999988</v>
      </c>
      <c r="D12" s="50">
        <f>GrossP3Q-OpExp3Q</f>
        <v>655142.49999999988</v>
      </c>
      <c r="E12" s="50">
        <f>GrossP4Q-OpExp4Q</f>
        <v>1054350</v>
      </c>
      <c r="F12" s="53"/>
      <c r="G12" s="50">
        <f>GrossPX4-OpExpX4</f>
        <v>2426754.9999999995</v>
      </c>
    </row>
    <row r="13" spans="1:7" x14ac:dyDescent="0.25">
      <c r="A13" s="7"/>
      <c r="B13" s="4"/>
      <c r="C13" s="4"/>
      <c r="D13" s="4"/>
      <c r="E13" s="4"/>
      <c r="F13" s="4"/>
      <c r="G13" s="4"/>
    </row>
    <row r="14" spans="1:7" x14ac:dyDescent="0.25">
      <c r="A14" s="7" t="s">
        <v>62</v>
      </c>
      <c r="B14" s="49">
        <f>-IntExp1Q</f>
        <v>0</v>
      </c>
      <c r="C14" s="49">
        <f>-IntExp2Q</f>
        <v>875.00000000000011</v>
      </c>
      <c r="D14" s="49">
        <f>-IntExp3Q</f>
        <v>0</v>
      </c>
      <c r="E14" s="49">
        <f>-IntExp4Q</f>
        <v>0</v>
      </c>
      <c r="F14" s="53"/>
      <c r="G14" s="49">
        <f>SUM(B14:E14)</f>
        <v>875.00000000000011</v>
      </c>
    </row>
    <row r="15" spans="1:7" x14ac:dyDescent="0.25">
      <c r="A15" s="6" t="s">
        <v>63</v>
      </c>
      <c r="B15" s="50">
        <f>OpInc1Q-B14</f>
        <v>207287.5</v>
      </c>
      <c r="C15" s="50">
        <f>OpInc2Q-C14</f>
        <v>509099.99999999988</v>
      </c>
      <c r="D15" s="50">
        <f>OpInc3Q-D14</f>
        <v>655142.49999999988</v>
      </c>
      <c r="E15" s="50">
        <f>OpInc4Q-E14</f>
        <v>1054350</v>
      </c>
      <c r="F15" s="53"/>
      <c r="G15" s="50">
        <f>OpIncX4-G14</f>
        <v>2425879.9999999995</v>
      </c>
    </row>
    <row r="16" spans="1:7" x14ac:dyDescent="0.25">
      <c r="B16" s="4"/>
      <c r="C16" s="4"/>
      <c r="D16" s="4"/>
      <c r="E16" s="4"/>
      <c r="F16" s="4"/>
      <c r="G16" s="4"/>
    </row>
    <row r="17" spans="1:7" x14ac:dyDescent="0.25">
      <c r="A17" t="s">
        <v>64</v>
      </c>
      <c r="B17" s="49">
        <f>TaxInc1Q*TaxPct1Q</f>
        <v>72550.625</v>
      </c>
      <c r="C17" s="49">
        <f>TaxInc2Q*TaxPct2Q</f>
        <v>178184.99999999994</v>
      </c>
      <c r="D17" s="49">
        <f>TaxInc3Q*TaxPct3Q</f>
        <v>229299.87499999994</v>
      </c>
      <c r="E17" s="49">
        <f>TaxInc4Q*TaxPct4Q</f>
        <v>369022.5</v>
      </c>
      <c r="F17" s="53"/>
      <c r="G17" s="49">
        <f>SUM(B17:E17)</f>
        <v>849057.99999999988</v>
      </c>
    </row>
    <row r="18" spans="1:7" x14ac:dyDescent="0.25">
      <c r="A18" s="6" t="s">
        <v>65</v>
      </c>
      <c r="B18" s="50">
        <f>TaxInc1Q-TaxExp1Q</f>
        <v>134736.875</v>
      </c>
      <c r="C18" s="50">
        <f>TaxInc2Q-TaxExp2Q</f>
        <v>330914.99999999994</v>
      </c>
      <c r="D18" s="50">
        <f>TaxInc3Q-TaxExp3Q</f>
        <v>425842.62499999994</v>
      </c>
      <c r="E18" s="50">
        <f>TaxInc4Q-TaxExp4Q</f>
        <v>685327.5</v>
      </c>
      <c r="F18" s="53"/>
      <c r="G18" s="50">
        <f>TaxIncX4-TaxExpX4</f>
        <v>1576821.9999999995</v>
      </c>
    </row>
  </sheetData>
  <mergeCells count="1">
    <mergeCell ref="B1:G1"/>
  </mergeCells>
  <phoneticPr fontId="2" type="noConversion"/>
  <pageMargins left="0.75" right="0.75" top="1" bottom="1" header="0.5" footer="0.5"/>
  <pageSetup orientation="portrait" r:id="rId1"/>
  <headerFooter alignWithMargins="0">
    <oddFooter>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G46"/>
  <sheetViews>
    <sheetView topLeftCell="A18" zoomScale="90" workbookViewId="0">
      <selection activeCell="A23" sqref="A23"/>
    </sheetView>
  </sheetViews>
  <sheetFormatPr defaultRowHeight="12.5" x14ac:dyDescent="0.25"/>
  <cols>
    <col min="1" max="1" width="45.453125" bestFit="1" customWidth="1"/>
    <col min="2" max="5" width="12.1796875" bestFit="1" customWidth="1"/>
    <col min="6" max="6" width="1.4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x14ac:dyDescent="0.25">
      <c r="A3" s="11" t="s">
        <v>111</v>
      </c>
    </row>
    <row r="4" spans="1:7" x14ac:dyDescent="0.25">
      <c r="A4" t="s">
        <v>112</v>
      </c>
      <c r="B4" s="50">
        <f>NetInc1Q</f>
        <v>134736.875</v>
      </c>
      <c r="C4" s="50">
        <f>NetInc2Q</f>
        <v>330914.99999999994</v>
      </c>
      <c r="D4" s="50">
        <f>NetInc3Q</f>
        <v>425842.62499999994</v>
      </c>
      <c r="E4" s="50">
        <f>NetInc4Q</f>
        <v>685327.5</v>
      </c>
      <c r="F4" s="53"/>
      <c r="G4" s="50">
        <f>NetIncX4</f>
        <v>1576821.9999999995</v>
      </c>
    </row>
    <row r="5" spans="1:7" x14ac:dyDescent="0.25">
      <c r="A5" t="s">
        <v>113</v>
      </c>
      <c r="B5" s="4"/>
      <c r="C5" s="4"/>
      <c r="D5" s="4"/>
      <c r="E5" s="4"/>
      <c r="F5" s="4"/>
      <c r="G5" s="4"/>
    </row>
    <row r="6" spans="1:7" x14ac:dyDescent="0.25">
      <c r="A6" s="6" t="s">
        <v>114</v>
      </c>
      <c r="B6" s="4"/>
      <c r="C6" s="4"/>
      <c r="D6" s="4"/>
      <c r="E6" s="4"/>
      <c r="F6" s="4"/>
      <c r="G6" s="4"/>
    </row>
    <row r="7" spans="1:7" x14ac:dyDescent="0.25">
      <c r="A7" s="17" t="s">
        <v>52</v>
      </c>
      <c r="B7" s="3">
        <f>Dep1Q</f>
        <v>2312.5</v>
      </c>
      <c r="C7" s="3">
        <f>Dep2Q</f>
        <v>4625</v>
      </c>
      <c r="D7" s="3">
        <f>Dep3Q</f>
        <v>6937.5</v>
      </c>
      <c r="E7" s="3">
        <f>Dep4Q</f>
        <v>9250</v>
      </c>
      <c r="F7" s="4"/>
      <c r="G7" s="3">
        <f>DepX4</f>
        <v>23125</v>
      </c>
    </row>
    <row r="8" spans="1:7" x14ac:dyDescent="0.25">
      <c r="A8" s="17" t="s">
        <v>115</v>
      </c>
      <c r="B8" s="3">
        <f>ChgAR1Q</f>
        <v>-133333.33333333331</v>
      </c>
      <c r="C8" s="3">
        <f>ChgAR2Q</f>
        <v>-58666.666666666686</v>
      </c>
      <c r="D8" s="3">
        <f>ChgAR3Q</f>
        <v>-65600</v>
      </c>
      <c r="E8" s="3">
        <f>ChgAR4Q</f>
        <v>-78400</v>
      </c>
      <c r="F8" s="4"/>
      <c r="G8" s="3">
        <f>SUM(B8:E8)</f>
        <v>-336000</v>
      </c>
    </row>
    <row r="9" spans="1:7" x14ac:dyDescent="0.25">
      <c r="A9" s="17" t="s">
        <v>116</v>
      </c>
      <c r="B9" s="3">
        <f>ChgInv1Q</f>
        <v>-64666.666666666664</v>
      </c>
      <c r="C9" s="3">
        <f>ChgInv2Q</f>
        <v>-18399.999999999993</v>
      </c>
      <c r="D9" s="3">
        <f>ChgInv3Q</f>
        <v>-19600</v>
      </c>
      <c r="E9" s="3">
        <f>ChgInv4Q</f>
        <v>0</v>
      </c>
      <c r="F9" s="4"/>
      <c r="G9" s="3">
        <f>SUM(B9:E9)</f>
        <v>-102666.66666666666</v>
      </c>
    </row>
    <row r="10" spans="1:7" x14ac:dyDescent="0.25">
      <c r="A10" s="17" t="s">
        <v>117</v>
      </c>
      <c r="B10" s="3">
        <f>-ChgAP1Q</f>
        <v>88222.222222222219</v>
      </c>
      <c r="C10" s="3">
        <f>-ChgAP2Q</f>
        <v>14911.111111111095</v>
      </c>
      <c r="D10" s="3">
        <f>-ChgAP3Q</f>
        <v>28000</v>
      </c>
      <c r="E10" s="3">
        <f>-ChgAP4Q</f>
        <v>22866.666666666686</v>
      </c>
      <c r="F10" s="4"/>
      <c r="G10" s="3">
        <f>SUM(B10:E10)</f>
        <v>154000</v>
      </c>
    </row>
    <row r="11" spans="1:7" x14ac:dyDescent="0.25">
      <c r="A11" s="17" t="s">
        <v>118</v>
      </c>
      <c r="B11" s="5">
        <f>-ChgLoanVal1Q</f>
        <v>0</v>
      </c>
      <c r="C11" s="5">
        <f>-ChgLoanVal2Q</f>
        <v>50000</v>
      </c>
      <c r="D11" s="5">
        <f>-ChgLoanVal3Q</f>
        <v>-50000</v>
      </c>
      <c r="E11" s="5">
        <f>-ChgLoanVal4Q</f>
        <v>0</v>
      </c>
      <c r="F11" s="4"/>
      <c r="G11" s="5">
        <f>SUM(B11:E11)</f>
        <v>0</v>
      </c>
    </row>
    <row r="12" spans="1:7" x14ac:dyDescent="0.25">
      <c r="A12" s="22" t="s">
        <v>119</v>
      </c>
      <c r="B12" s="50">
        <f>NetInc1Q+SUM(B7:B11)</f>
        <v>27271.597222222248</v>
      </c>
      <c r="C12" s="50">
        <f>NetInc2Q+SUM(C7:C11)</f>
        <v>323384.44444444438</v>
      </c>
      <c r="D12" s="50">
        <f>NetInc3Q+SUM(D7:D11)</f>
        <v>325580.12499999994</v>
      </c>
      <c r="E12" s="50">
        <f>NetInc4Q+SUM(E7:E11)</f>
        <v>639044.16666666674</v>
      </c>
      <c r="F12" s="53"/>
      <c r="G12" s="50">
        <f>NetIncX4+SUM(G7:G11)</f>
        <v>1315280.333333333</v>
      </c>
    </row>
    <row r="13" spans="1:7" x14ac:dyDescent="0.25">
      <c r="B13" s="4"/>
      <c r="C13" s="4"/>
      <c r="D13" s="4"/>
      <c r="E13" s="4"/>
      <c r="F13" s="4"/>
      <c r="G13" s="4"/>
    </row>
    <row r="14" spans="1:7" x14ac:dyDescent="0.25">
      <c r="B14" s="4"/>
      <c r="C14" s="4"/>
      <c r="D14" s="4"/>
      <c r="E14" s="4"/>
      <c r="F14" s="4"/>
      <c r="G14" s="4"/>
    </row>
    <row r="15" spans="1:7" x14ac:dyDescent="0.25">
      <c r="A15" s="11" t="s">
        <v>120</v>
      </c>
      <c r="B15" s="14"/>
      <c r="C15" s="14"/>
      <c r="D15" s="14"/>
      <c r="E15" s="14"/>
      <c r="F15" s="14"/>
      <c r="G15" s="14"/>
    </row>
    <row r="16" spans="1:7" x14ac:dyDescent="0.25">
      <c r="A16" t="s">
        <v>121</v>
      </c>
      <c r="B16" s="49">
        <f>-CAPEXDis1Q</f>
        <v>-45000</v>
      </c>
      <c r="C16" s="49">
        <f>-CAPEXDis2Q</f>
        <v>-45000</v>
      </c>
      <c r="D16" s="49">
        <f>-CAPEXDis3Q</f>
        <v>-45000</v>
      </c>
      <c r="E16" s="49">
        <f>-CAPEXDis4Q</f>
        <v>-45000</v>
      </c>
      <c r="F16" s="53"/>
      <c r="G16" s="49">
        <f>-CAPEXDisX4</f>
        <v>-180000</v>
      </c>
    </row>
    <row r="17" spans="1:7" x14ac:dyDescent="0.25">
      <c r="A17" s="22" t="s">
        <v>122</v>
      </c>
      <c r="B17" s="50">
        <f>B16</f>
        <v>-45000</v>
      </c>
      <c r="C17" s="50">
        <f>C16</f>
        <v>-45000</v>
      </c>
      <c r="D17" s="50">
        <f>D16</f>
        <v>-45000</v>
      </c>
      <c r="E17" s="50">
        <f>E16</f>
        <v>-45000</v>
      </c>
      <c r="F17" s="53"/>
      <c r="G17" s="50">
        <f>G16</f>
        <v>-180000</v>
      </c>
    </row>
    <row r="18" spans="1:7" x14ac:dyDescent="0.25">
      <c r="B18" s="4"/>
      <c r="C18" s="4"/>
      <c r="D18" s="4"/>
      <c r="E18" s="4"/>
      <c r="F18" s="4"/>
      <c r="G18" s="4"/>
    </row>
    <row r="19" spans="1:7" x14ac:dyDescent="0.25">
      <c r="B19" s="4"/>
      <c r="C19" s="4"/>
      <c r="D19" s="4"/>
      <c r="E19" s="4"/>
      <c r="F19" s="4"/>
      <c r="G19" s="4"/>
    </row>
    <row r="20" spans="1:7" x14ac:dyDescent="0.25">
      <c r="A20" s="11" t="s">
        <v>123</v>
      </c>
      <c r="B20" s="4"/>
      <c r="C20" s="4"/>
      <c r="D20" s="4"/>
      <c r="E20" s="4"/>
      <c r="F20" s="4"/>
      <c r="G20" s="4"/>
    </row>
    <row r="21" spans="1:7" x14ac:dyDescent="0.25">
      <c r="A21" t="s">
        <v>124</v>
      </c>
      <c r="B21" s="49">
        <f>EqtInv1Q</f>
        <v>1000000</v>
      </c>
      <c r="C21" s="49">
        <f>EqtInv2Q</f>
        <v>0</v>
      </c>
      <c r="D21" s="49">
        <f>EqtInv3Q</f>
        <v>0</v>
      </c>
      <c r="E21" s="49">
        <f>EqtInv4Q</f>
        <v>0</v>
      </c>
      <c r="F21" s="53"/>
      <c r="G21" s="49">
        <f>SUM(B21:E21)</f>
        <v>1000000</v>
      </c>
    </row>
    <row r="22" spans="1:7" x14ac:dyDescent="0.25">
      <c r="A22" s="22" t="s">
        <v>125</v>
      </c>
      <c r="B22" s="50">
        <f>B21</f>
        <v>1000000</v>
      </c>
      <c r="C22" s="50">
        <f>C21</f>
        <v>0</v>
      </c>
      <c r="D22" s="50">
        <f>D21</f>
        <v>0</v>
      </c>
      <c r="E22" s="50">
        <f>E21</f>
        <v>0</v>
      </c>
      <c r="F22" s="53"/>
      <c r="G22" s="50">
        <f>G21</f>
        <v>1000000</v>
      </c>
    </row>
    <row r="23" spans="1:7" x14ac:dyDescent="0.25">
      <c r="B23" s="4"/>
      <c r="C23" s="4"/>
      <c r="D23" s="4"/>
      <c r="E23" s="4"/>
      <c r="F23" s="4"/>
      <c r="G23" s="4"/>
    </row>
    <row r="24" spans="1:7" x14ac:dyDescent="0.25">
      <c r="B24" s="4"/>
      <c r="C24" s="4"/>
      <c r="D24" s="4"/>
      <c r="E24" s="4"/>
      <c r="F24" s="4"/>
      <c r="G24" s="4"/>
    </row>
    <row r="25" spans="1:7" x14ac:dyDescent="0.25">
      <c r="A25" t="s">
        <v>126</v>
      </c>
      <c r="B25" s="50">
        <f>CashOpAc1Q+CashInvAc1Q+CashFinAc1Q</f>
        <v>982271.59722222225</v>
      </c>
      <c r="C25" s="50">
        <f>CashOpAc2Q+CashInvAc2Q+CashFinAc2Q</f>
        <v>278384.44444444438</v>
      </c>
      <c r="D25" s="50">
        <f>CashOpAc3Q+CashInvAc3Q+CashFinAc3Q</f>
        <v>280580.12499999994</v>
      </c>
      <c r="E25" s="50">
        <f>CashOpAc4Q+CashInvAc4Q+CashFinAc4Q</f>
        <v>594044.16666666674</v>
      </c>
      <c r="F25" s="53"/>
      <c r="G25" s="50">
        <f>SUM(B25:E25)</f>
        <v>2135280.333333333</v>
      </c>
    </row>
    <row r="26" spans="1:7" x14ac:dyDescent="0.25">
      <c r="A26" t="s">
        <v>127</v>
      </c>
      <c r="B26" s="5">
        <v>0</v>
      </c>
      <c r="C26" s="5">
        <f>CashEOP1Q</f>
        <v>982271.59722222225</v>
      </c>
      <c r="D26" s="5">
        <f>CashEOP2Q</f>
        <v>1260656.0416666665</v>
      </c>
      <c r="E26" s="5">
        <f>CashEOP3Q</f>
        <v>1541236.1666666665</v>
      </c>
      <c r="F26" s="4"/>
      <c r="G26" s="5">
        <f>B26</f>
        <v>0</v>
      </c>
    </row>
    <row r="27" spans="1:7" x14ac:dyDescent="0.25">
      <c r="A27" t="s">
        <v>128</v>
      </c>
      <c r="B27" s="50">
        <f>ChgCash1Q+CashBOP1Q</f>
        <v>982271.59722222225</v>
      </c>
      <c r="C27" s="50">
        <f>ChgCash2Q+CashBOP2Q</f>
        <v>1260656.0416666665</v>
      </c>
      <c r="D27" s="50">
        <f>ChgCash3Q+CashBOP3Q</f>
        <v>1541236.1666666665</v>
      </c>
      <c r="E27" s="50">
        <f>ChgCash4Q+CashBOP4Q</f>
        <v>2135280.333333333</v>
      </c>
      <c r="F27" s="53"/>
      <c r="G27" s="50">
        <f>ChgCashX4+CashBOPX4</f>
        <v>2135280.333333333</v>
      </c>
    </row>
    <row r="29" spans="1:7" ht="13" x14ac:dyDescent="0.3">
      <c r="A29" s="85" t="s">
        <v>288</v>
      </c>
      <c r="B29" s="50">
        <f>EndCash1Q-CashEOP1Q</f>
        <v>0</v>
      </c>
      <c r="C29" s="50">
        <f>EndCash2Q-CashEOP2Q</f>
        <v>0</v>
      </c>
      <c r="D29" s="50">
        <f>EndCash3Q-CashEOP3Q</f>
        <v>0</v>
      </c>
      <c r="E29" s="50">
        <f>EndCash4Q-CashEOP4Q</f>
        <v>0</v>
      </c>
      <c r="F29" s="53"/>
      <c r="G29" s="50">
        <f>EndCashX4-CashEOPX4</f>
        <v>0</v>
      </c>
    </row>
    <row r="31" spans="1:7" x14ac:dyDescent="0.25">
      <c r="A31" s="12" t="s">
        <v>273</v>
      </c>
    </row>
    <row r="32" spans="1:7" x14ac:dyDescent="0.25">
      <c r="A32" t="s">
        <v>274</v>
      </c>
      <c r="B32" s="50">
        <f>BegAR1Q</f>
        <v>0</v>
      </c>
      <c r="C32" s="50">
        <f>BegAR2Q</f>
        <v>133333.33333333331</v>
      </c>
      <c r="D32" s="50">
        <f>BegAR3Q</f>
        <v>192000</v>
      </c>
      <c r="E32" s="50">
        <f>BegAR4Q</f>
        <v>257600</v>
      </c>
    </row>
    <row r="33" spans="1:5" x14ac:dyDescent="0.25">
      <c r="A33" t="s">
        <v>275</v>
      </c>
      <c r="B33" s="5">
        <f>EndAR1Q</f>
        <v>133333.33333333331</v>
      </c>
      <c r="C33" s="5">
        <f>EndAR2Q</f>
        <v>192000</v>
      </c>
      <c r="D33" s="5">
        <f>EndAR3Q</f>
        <v>257600</v>
      </c>
      <c r="E33" s="5">
        <f>EndAR4Q</f>
        <v>336000</v>
      </c>
    </row>
    <row r="34" spans="1:5" x14ac:dyDescent="0.25">
      <c r="A34" t="s">
        <v>115</v>
      </c>
      <c r="B34" s="50">
        <f>BegAR1Q-EndAR1Q</f>
        <v>-133333.33333333331</v>
      </c>
      <c r="C34" s="50">
        <f>BegAR2Q-EndAR2Q</f>
        <v>-58666.666666666686</v>
      </c>
      <c r="D34" s="50">
        <f>BegAR3Q-EndAR3Q</f>
        <v>-65600</v>
      </c>
      <c r="E34" s="50">
        <f>BegAR4Q-EndAR4Q</f>
        <v>-78400</v>
      </c>
    </row>
    <row r="36" spans="1:5" x14ac:dyDescent="0.25">
      <c r="A36" t="s">
        <v>276</v>
      </c>
      <c r="B36" s="50">
        <f>BegInv1Q</f>
        <v>0</v>
      </c>
      <c r="C36" s="50">
        <f>BegInv2Q</f>
        <v>64666.666666666664</v>
      </c>
      <c r="D36" s="50">
        <f>BegInv3Q</f>
        <v>83066.666666666657</v>
      </c>
      <c r="E36" s="50">
        <f>BegInv4Q</f>
        <v>102666.66666666666</v>
      </c>
    </row>
    <row r="37" spans="1:5" x14ac:dyDescent="0.25">
      <c r="A37" t="s">
        <v>277</v>
      </c>
      <c r="B37" s="5">
        <f>EndInv1Q</f>
        <v>64666.666666666664</v>
      </c>
      <c r="C37" s="5">
        <f>EndInv2Q</f>
        <v>83066.666666666657</v>
      </c>
      <c r="D37" s="5">
        <f>EndInv3Q</f>
        <v>102666.66666666666</v>
      </c>
      <c r="E37" s="5">
        <f>EndInv4Q</f>
        <v>102666.66666666666</v>
      </c>
    </row>
    <row r="38" spans="1:5" x14ac:dyDescent="0.25">
      <c r="A38" t="s">
        <v>116</v>
      </c>
      <c r="B38" s="50">
        <f>BegInv1Q-EndInv1Q</f>
        <v>-64666.666666666664</v>
      </c>
      <c r="C38" s="50">
        <f>BegInv2Q-EndInv2Q</f>
        <v>-18399.999999999993</v>
      </c>
      <c r="D38" s="50">
        <f>BegInv3Q-EndInv3Q</f>
        <v>-19600</v>
      </c>
      <c r="E38" s="50">
        <f>BegInv4Q-EndInv4Q</f>
        <v>0</v>
      </c>
    </row>
    <row r="40" spans="1:5" x14ac:dyDescent="0.25">
      <c r="A40" t="s">
        <v>278</v>
      </c>
      <c r="B40" s="50">
        <f>BegAP1Q</f>
        <v>0</v>
      </c>
      <c r="C40" s="50">
        <f>BegAP2Q</f>
        <v>88222.222222222219</v>
      </c>
      <c r="D40" s="50">
        <f>BegAP3Q</f>
        <v>103133.33333333331</v>
      </c>
      <c r="E40" s="50">
        <f>BegAP4Q</f>
        <v>131133.33333333331</v>
      </c>
    </row>
    <row r="41" spans="1:5" x14ac:dyDescent="0.25">
      <c r="A41" t="s">
        <v>279</v>
      </c>
      <c r="B41" s="5">
        <f>EndAP1Q</f>
        <v>88222.222222222219</v>
      </c>
      <c r="C41" s="5">
        <f>EndAP2Q</f>
        <v>103133.33333333331</v>
      </c>
      <c r="D41" s="5">
        <f>EndAP3Q</f>
        <v>131133.33333333331</v>
      </c>
      <c r="E41" s="5">
        <f>EndAP4Q</f>
        <v>154000</v>
      </c>
    </row>
    <row r="42" spans="1:5" x14ac:dyDescent="0.25">
      <c r="A42" t="s">
        <v>280</v>
      </c>
      <c r="B42" s="50">
        <f>BegAP1Q-EndAP1Q</f>
        <v>-88222.222222222219</v>
      </c>
      <c r="C42" s="50">
        <f>BegAP2Q-EndAP2Q</f>
        <v>-14911.111111111095</v>
      </c>
      <c r="D42" s="50">
        <f>BegAP3Q-EndAP3Q</f>
        <v>-28000</v>
      </c>
      <c r="E42" s="50">
        <f>BegAP4Q-EndAP4Q</f>
        <v>-22866.666666666686</v>
      </c>
    </row>
    <row r="44" spans="1:5" x14ac:dyDescent="0.25">
      <c r="A44" t="s">
        <v>281</v>
      </c>
      <c r="B44" s="50">
        <v>0</v>
      </c>
      <c r="C44" s="50">
        <f>LoanVal1Q</f>
        <v>0</v>
      </c>
      <c r="D44" s="50">
        <f>LoanVal2Q</f>
        <v>50000</v>
      </c>
      <c r="E44" s="50">
        <f>LoanVal3Q</f>
        <v>0</v>
      </c>
    </row>
    <row r="45" spans="1:5" x14ac:dyDescent="0.25">
      <c r="A45" t="s">
        <v>282</v>
      </c>
      <c r="B45" s="5">
        <f>LoanVal1Q</f>
        <v>0</v>
      </c>
      <c r="C45" s="5">
        <f>LoanVal2Q</f>
        <v>50000</v>
      </c>
      <c r="D45" s="5">
        <f>LoanVal3Q</f>
        <v>0</v>
      </c>
      <c r="E45" s="5">
        <f>LoanVal4Q</f>
        <v>0</v>
      </c>
    </row>
    <row r="46" spans="1:5" x14ac:dyDescent="0.25">
      <c r="A46" t="s">
        <v>283</v>
      </c>
      <c r="B46" s="50">
        <f>BegLoanVal1Q-LoanVal1Q</f>
        <v>0</v>
      </c>
      <c r="C46" s="50">
        <f>BegLoanVal2Q-LoanVal2Q</f>
        <v>-50000</v>
      </c>
      <c r="D46" s="50">
        <f>BegLoanVal3Q-LoanVal3Q</f>
        <v>50000</v>
      </c>
      <c r="E46" s="50">
        <f>BegLoanVal4Q-LoanVal4Q</f>
        <v>0</v>
      </c>
    </row>
  </sheetData>
  <mergeCells count="1">
    <mergeCell ref="B1:G1"/>
  </mergeCells>
  <phoneticPr fontId="2" type="noConversion"/>
  <pageMargins left="0.75" right="0.75" top="1" bottom="1" header="0.5" footer="0.5"/>
  <pageSetup scale="98" orientation="portrait" r:id="rId1"/>
  <headerFooter alignWithMargins="0">
    <oddFooter>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L21"/>
  <sheetViews>
    <sheetView zoomScale="111" workbookViewId="0">
      <selection activeCell="G12" sqref="G12"/>
    </sheetView>
  </sheetViews>
  <sheetFormatPr defaultRowHeight="12.5" x14ac:dyDescent="0.25"/>
  <cols>
    <col min="1" max="1" width="23.26953125" bestFit="1" customWidth="1"/>
    <col min="2" max="2" width="12.81640625" bestFit="1" customWidth="1"/>
    <col min="3" max="4" width="10.54296875" bestFit="1" customWidth="1"/>
    <col min="5" max="5" width="12.1796875" bestFit="1" customWidth="1"/>
    <col min="6" max="6" width="1.453125" customWidth="1"/>
    <col min="7" max="7" width="12.1796875" bestFit="1" customWidth="1"/>
    <col min="9" max="9" width="10.453125" bestFit="1" customWidth="1"/>
    <col min="10" max="11" width="12.6328125" bestFit="1" customWidth="1"/>
    <col min="12" max="12" width="13.726562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x14ac:dyDescent="0.25">
      <c r="A3" t="s">
        <v>129</v>
      </c>
      <c r="B3" s="50">
        <f>OpInc1Q</f>
        <v>207287.5</v>
      </c>
      <c r="C3" s="50">
        <f>OpInc2Q</f>
        <v>509974.99999999988</v>
      </c>
      <c r="D3" s="50">
        <f>OpInc3Q</f>
        <v>655142.49999999988</v>
      </c>
      <c r="E3" s="50">
        <f>OpInc4Q</f>
        <v>1054350</v>
      </c>
      <c r="F3" s="53"/>
      <c r="G3" s="50">
        <f>OpIncX4</f>
        <v>2426754.9999999995</v>
      </c>
    </row>
    <row r="4" spans="1:7" x14ac:dyDescent="0.25">
      <c r="B4" s="4"/>
      <c r="C4" s="4"/>
      <c r="D4" s="4"/>
      <c r="E4" s="4"/>
      <c r="F4" s="4"/>
      <c r="G4" s="4"/>
    </row>
    <row r="5" spans="1:7" x14ac:dyDescent="0.25">
      <c r="A5" t="s">
        <v>130</v>
      </c>
      <c r="B5" s="82">
        <f>TaxPct1Q</f>
        <v>0.35</v>
      </c>
      <c r="C5" s="82">
        <f>TaxPct2Q</f>
        <v>0.35</v>
      </c>
      <c r="D5" s="82">
        <f>TaxPct3Q</f>
        <v>0.35</v>
      </c>
      <c r="E5" s="82">
        <f>TaxPct4Q</f>
        <v>0.35</v>
      </c>
      <c r="F5" s="83"/>
      <c r="G5" s="84"/>
    </row>
    <row r="6" spans="1:7" x14ac:dyDescent="0.25">
      <c r="B6" s="4"/>
      <c r="C6" s="4"/>
      <c r="D6" s="4"/>
      <c r="E6" s="4"/>
      <c r="F6" s="4"/>
      <c r="G6" s="4"/>
    </row>
    <row r="7" spans="1:7" x14ac:dyDescent="0.25">
      <c r="A7" t="s">
        <v>131</v>
      </c>
      <c r="B7" s="50">
        <f>EBIT1Q*(1-EffTaxRt1Q)</f>
        <v>134736.875</v>
      </c>
      <c r="C7" s="50">
        <f>EBIT2Q*(1-EffTaxRt2Q)</f>
        <v>331483.74999999994</v>
      </c>
      <c r="D7" s="50">
        <f>EBIT3Q*(1-EffTaxRt3Q)</f>
        <v>425842.62499999994</v>
      </c>
      <c r="E7" s="50">
        <f>EBIT4Q*(1-EffTaxRt4Q)</f>
        <v>685327.5</v>
      </c>
      <c r="F7" s="53"/>
      <c r="G7" s="50">
        <f>SUM(B7:E7)</f>
        <v>1577390.75</v>
      </c>
    </row>
    <row r="8" spans="1:7" x14ac:dyDescent="0.25">
      <c r="A8" s="8" t="s">
        <v>132</v>
      </c>
      <c r="B8" s="3">
        <f>Dep1Q</f>
        <v>2312.5</v>
      </c>
      <c r="C8" s="3">
        <f>Dep2Q</f>
        <v>4625</v>
      </c>
      <c r="D8" s="3">
        <f>Dep3Q</f>
        <v>6937.5</v>
      </c>
      <c r="E8" s="3">
        <f>Dep4Q</f>
        <v>9250</v>
      </c>
      <c r="F8" s="4"/>
      <c r="G8" s="3">
        <f>DepX4</f>
        <v>23125</v>
      </c>
    </row>
    <row r="9" spans="1:7" x14ac:dyDescent="0.25">
      <c r="A9" s="8" t="s">
        <v>133</v>
      </c>
      <c r="B9" s="3">
        <f>CAPEXDis1Q</f>
        <v>45000</v>
      </c>
      <c r="C9" s="3">
        <f>CAPEXDis2Q</f>
        <v>45000</v>
      </c>
      <c r="D9" s="3">
        <f>CAPEXDis3Q</f>
        <v>45000</v>
      </c>
      <c r="E9" s="3">
        <f>CAPEXDis4Q</f>
        <v>45000</v>
      </c>
      <c r="F9" s="4"/>
      <c r="G9" s="3">
        <f>CAPEXDisX4</f>
        <v>180000</v>
      </c>
    </row>
    <row r="10" spans="1:7" x14ac:dyDescent="0.25">
      <c r="A10" s="8" t="s">
        <v>134</v>
      </c>
      <c r="B10" s="5">
        <f>-ChgNWC1Q</f>
        <v>109777.77777777775</v>
      </c>
      <c r="C10" s="5">
        <f>-ChgNWC2Q</f>
        <v>62155.555555555562</v>
      </c>
      <c r="D10" s="5">
        <f>-ChgNWC3Q</f>
        <v>57200</v>
      </c>
      <c r="E10" s="5">
        <f>-ChgNWC4Q</f>
        <v>55533.333333333314</v>
      </c>
      <c r="F10" s="4"/>
      <c r="G10" s="5">
        <f>SUM(B10:E10)</f>
        <v>284666.66666666663</v>
      </c>
    </row>
    <row r="11" spans="1:7" x14ac:dyDescent="0.25">
      <c r="A11" s="24" t="s">
        <v>135</v>
      </c>
      <c r="B11" s="50">
        <f>ATEBIT1Q+B8-B9-B10</f>
        <v>-17728.402777777752</v>
      </c>
      <c r="C11" s="50">
        <f>ATEBIT2Q+C8-C9-C10</f>
        <v>228953.19444444438</v>
      </c>
      <c r="D11" s="50">
        <f>ATEBIT3Q+D8-D9-D10</f>
        <v>330580.12499999994</v>
      </c>
      <c r="E11" s="50">
        <f>ATEBIT4Q+E8-E9-E10</f>
        <v>594044.16666666674</v>
      </c>
      <c r="F11" s="53"/>
      <c r="G11" s="50">
        <f>ATEBITX4+G8-G9-G10</f>
        <v>1135849.0833333335</v>
      </c>
    </row>
    <row r="12" spans="1:7" x14ac:dyDescent="0.25">
      <c r="A12" s="8" t="s">
        <v>136</v>
      </c>
      <c r="B12" s="54" t="s">
        <v>194</v>
      </c>
      <c r="C12" s="54" t="s">
        <v>194</v>
      </c>
      <c r="D12" s="54" t="s">
        <v>194</v>
      </c>
      <c r="E12" s="5">
        <f>(FCFX4*(1+g))/(WACC-g)</f>
        <v>7950943.583333334</v>
      </c>
      <c r="F12" s="97"/>
      <c r="G12" s="5">
        <f>SUM(B12:E12)</f>
        <v>7950943.583333334</v>
      </c>
    </row>
    <row r="13" spans="1:7" x14ac:dyDescent="0.25">
      <c r="A13" s="24" t="s">
        <v>137</v>
      </c>
      <c r="B13" s="50">
        <f>FCF1Q</f>
        <v>-17728.402777777752</v>
      </c>
      <c r="C13" s="50">
        <f>FCF2Q</f>
        <v>228953.19444444438</v>
      </c>
      <c r="D13" s="50">
        <f>FCF3Q</f>
        <v>330580.12499999994</v>
      </c>
      <c r="E13" s="50">
        <f>FCF4Q+TermVal4Q</f>
        <v>8544987.75</v>
      </c>
      <c r="F13" s="53"/>
      <c r="G13" s="50">
        <f>FCFX4+TermValX4</f>
        <v>9086792.6666666679</v>
      </c>
    </row>
    <row r="14" spans="1:7" x14ac:dyDescent="0.25">
      <c r="A14" s="7"/>
      <c r="B14" s="4"/>
      <c r="C14" s="4"/>
      <c r="D14" s="4"/>
      <c r="E14" s="4"/>
      <c r="F14" s="4"/>
      <c r="G14" s="4"/>
    </row>
    <row r="15" spans="1:7" x14ac:dyDescent="0.25">
      <c r="A15" s="7" t="s">
        <v>138</v>
      </c>
      <c r="B15" s="50">
        <f>TFCF1Q/((1+WACC)^0.25)</f>
        <v>-16938.474651323628</v>
      </c>
      <c r="C15" s="50">
        <f>TFCF2Q/((1+WACC)^0.5)</f>
        <v>209004.7153501478</v>
      </c>
      <c r="D15" s="50">
        <f>TFCF3Q/((1+WACC)^0.75)</f>
        <v>288330.64600802888</v>
      </c>
      <c r="E15" s="50">
        <f>TFCF4Q/((1+WACC)^1)</f>
        <v>7120823.125</v>
      </c>
      <c r="F15" s="4"/>
      <c r="G15" s="4"/>
    </row>
    <row r="16" spans="1:7" x14ac:dyDescent="0.25">
      <c r="A16" s="7"/>
      <c r="B16" s="4"/>
      <c r="C16" s="4"/>
      <c r="D16" s="4"/>
      <c r="E16" s="4"/>
      <c r="F16" s="4"/>
      <c r="G16" s="4"/>
    </row>
    <row r="17" spans="1:12" x14ac:dyDescent="0.25">
      <c r="A17" s="7"/>
      <c r="B17" s="4"/>
      <c r="C17" s="4"/>
      <c r="D17" s="4"/>
      <c r="E17" s="4"/>
      <c r="F17" s="4"/>
      <c r="G17" s="4"/>
    </row>
    <row r="18" spans="1:12" ht="13" thickBot="1" x14ac:dyDescent="0.3">
      <c r="A18" s="7" t="s">
        <v>139</v>
      </c>
      <c r="B18" s="94">
        <f>SUM(B15:E15)</f>
        <v>7601220.0117068533</v>
      </c>
      <c r="C18" s="4"/>
      <c r="D18" s="4"/>
      <c r="E18" s="4"/>
      <c r="F18" s="4"/>
      <c r="G18" s="4"/>
    </row>
    <row r="19" spans="1:12" ht="13" thickTop="1" x14ac:dyDescent="0.25">
      <c r="A19" s="7"/>
      <c r="B19" s="4"/>
      <c r="C19" s="4"/>
      <c r="D19" s="4"/>
      <c r="E19" s="4"/>
      <c r="F19" s="4"/>
      <c r="G19" s="4"/>
      <c r="I19" s="107">
        <f>PV(B20,0.25,,TFCF1Q)</f>
        <v>16938.474651323628</v>
      </c>
      <c r="J19" s="107">
        <f>PV(B20,0.5,,TFCF2Q)</f>
        <v>-209004.7153501478</v>
      </c>
      <c r="K19" s="107">
        <f>PV(B20,0.75,,TFCF3Q)</f>
        <v>-288330.64600802888</v>
      </c>
      <c r="L19" s="107">
        <f>PV(B20,1,,TFCF4Q)</f>
        <v>-7120823.125</v>
      </c>
    </row>
    <row r="20" spans="1:12" x14ac:dyDescent="0.25">
      <c r="A20" s="7" t="s">
        <v>140</v>
      </c>
      <c r="B20" s="23">
        <f>WACC</f>
        <v>0.2</v>
      </c>
    </row>
    <row r="21" spans="1:12" x14ac:dyDescent="0.25">
      <c r="A21" s="7" t="s">
        <v>141</v>
      </c>
      <c r="B21" s="23">
        <f>g</f>
        <v>0.05</v>
      </c>
    </row>
  </sheetData>
  <mergeCells count="1">
    <mergeCell ref="B1:G1"/>
  </mergeCells>
  <phoneticPr fontId="2" type="noConversion"/>
  <pageMargins left="0.75" right="0.75" top="1" bottom="1" header="0.5" footer="0.5"/>
  <pageSetup orientation="portrait" r:id="rId1"/>
  <headerFooter alignWithMargins="0">
    <oddFooter>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C14"/>
  <sheetViews>
    <sheetView zoomScale="90" workbookViewId="0">
      <selection activeCell="A2" sqref="A2:C8"/>
    </sheetView>
  </sheetViews>
  <sheetFormatPr defaultRowHeight="12.5" x14ac:dyDescent="0.25"/>
  <cols>
    <col min="1" max="1" width="20.453125" bestFit="1" customWidth="1"/>
    <col min="2" max="2" width="7.1796875" customWidth="1"/>
    <col min="3" max="3" width="11.1796875" bestFit="1" customWidth="1"/>
  </cols>
  <sheetData>
    <row r="1" spans="1:3" x14ac:dyDescent="0.25">
      <c r="C1" s="25" t="s">
        <v>112</v>
      </c>
    </row>
    <row r="2" spans="1:3" x14ac:dyDescent="0.25">
      <c r="C2" s="26"/>
    </row>
    <row r="3" spans="1:3" x14ac:dyDescent="0.25">
      <c r="B3" s="27">
        <v>0.01</v>
      </c>
      <c r="C3" s="28"/>
    </row>
    <row r="4" spans="1:3" x14ac:dyDescent="0.25">
      <c r="B4" s="27">
        <v>0.02</v>
      </c>
      <c r="C4" s="29"/>
    </row>
    <row r="5" spans="1:3" x14ac:dyDescent="0.25">
      <c r="A5" s="30" t="s">
        <v>142</v>
      </c>
      <c r="B5" s="27">
        <v>0.03</v>
      </c>
      <c r="C5" s="29"/>
    </row>
    <row r="6" spans="1:3" x14ac:dyDescent="0.25">
      <c r="B6" s="27">
        <v>0.04</v>
      </c>
      <c r="C6" s="29"/>
    </row>
    <row r="7" spans="1:3" x14ac:dyDescent="0.25">
      <c r="B7" s="27">
        <v>0.05</v>
      </c>
      <c r="C7" s="31"/>
    </row>
    <row r="8" spans="1:3" x14ac:dyDescent="0.25">
      <c r="B8" s="27"/>
    </row>
    <row r="9" spans="1:3" x14ac:dyDescent="0.25">
      <c r="B9" s="27"/>
    </row>
    <row r="10" spans="1:3" x14ac:dyDescent="0.25">
      <c r="B10" s="27"/>
    </row>
    <row r="11" spans="1:3" x14ac:dyDescent="0.25">
      <c r="B11" s="27"/>
    </row>
    <row r="12" spans="1:3" x14ac:dyDescent="0.25">
      <c r="B12" s="27"/>
    </row>
    <row r="13" spans="1:3" x14ac:dyDescent="0.25">
      <c r="B13" s="27"/>
    </row>
    <row r="14" spans="1:3" x14ac:dyDescent="0.25">
      <c r="B14" s="27"/>
    </row>
  </sheetData>
  <phoneticPr fontId="2" type="noConversion"/>
  <pageMargins left="0.75" right="0.75" top="1" bottom="1" header="0.5" footer="0.5"/>
  <pageSetup orientation="portrait" r:id="rId1"/>
  <headerFooter alignWithMargins="0">
    <oddFooter>&amp;R&amp;F
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G45"/>
  <sheetViews>
    <sheetView zoomScale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5" x14ac:dyDescent="0.25"/>
  <cols>
    <col min="1" max="1" width="29.26953125" bestFit="1" customWidth="1"/>
    <col min="2" max="5" width="12.1796875" bestFit="1" customWidth="1"/>
    <col min="6" max="6" width="1.4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ht="13" x14ac:dyDescent="0.3">
      <c r="A3" s="2" t="s">
        <v>143</v>
      </c>
      <c r="B3" s="14"/>
      <c r="C3" s="14"/>
      <c r="D3" s="14"/>
      <c r="E3" s="14"/>
      <c r="F3" s="14"/>
      <c r="G3" s="14"/>
    </row>
    <row r="4" spans="1:7" x14ac:dyDescent="0.25">
      <c r="A4" s="32" t="s">
        <v>29</v>
      </c>
      <c r="B4" s="50">
        <f>Screen1Q</f>
        <v>75000</v>
      </c>
      <c r="C4" s="50">
        <f>Screen2Q</f>
        <v>108000</v>
      </c>
      <c r="D4" s="50">
        <f>Screen3Q</f>
        <v>136500</v>
      </c>
      <c r="E4" s="50">
        <f>Screen4Q</f>
        <v>168000</v>
      </c>
      <c r="F4" s="53"/>
      <c r="G4" s="50">
        <f>ScreenX4</f>
        <v>487500</v>
      </c>
    </row>
    <row r="5" spans="1:7" x14ac:dyDescent="0.25">
      <c r="A5" s="32" t="s">
        <v>35</v>
      </c>
      <c r="B5" s="3">
        <f>Casing1Q</f>
        <v>75000</v>
      </c>
      <c r="C5" s="3">
        <f>Casing2Q</f>
        <v>108000</v>
      </c>
      <c r="D5" s="3">
        <f>Casing3Q</f>
        <v>136500</v>
      </c>
      <c r="E5" s="3">
        <f>Casing4Q</f>
        <v>168000</v>
      </c>
      <c r="F5" s="4"/>
      <c r="G5" s="3">
        <f>CasingX4</f>
        <v>487500</v>
      </c>
    </row>
    <row r="6" spans="1:7" x14ac:dyDescent="0.25">
      <c r="A6" s="32" t="s">
        <v>36</v>
      </c>
      <c r="B6" s="3">
        <f>Labor1Q</f>
        <v>50000</v>
      </c>
      <c r="C6" s="3">
        <f>Labor2Q</f>
        <v>75000</v>
      </c>
      <c r="D6" s="3">
        <f>Labor3Q</f>
        <v>100800</v>
      </c>
      <c r="E6" s="3">
        <f>Labor4Q</f>
        <v>126000</v>
      </c>
      <c r="F6" s="4"/>
      <c r="G6" s="3">
        <f>LaborX4</f>
        <v>351800</v>
      </c>
    </row>
    <row r="7" spans="1:7" x14ac:dyDescent="0.25">
      <c r="A7" t="s">
        <v>49</v>
      </c>
      <c r="B7" s="3">
        <f>MiscExp1Q</f>
        <v>30000</v>
      </c>
      <c r="C7" s="3">
        <f>MiscExp2Q</f>
        <v>43200</v>
      </c>
      <c r="D7" s="3">
        <f>MiscExp3Q</f>
        <v>57960</v>
      </c>
      <c r="E7" s="3">
        <f>MiscExp4Q</f>
        <v>75600</v>
      </c>
      <c r="F7" s="4"/>
      <c r="G7" s="3">
        <f>MiscExpX4</f>
        <v>206760</v>
      </c>
    </row>
    <row r="8" spans="1:7" x14ac:dyDescent="0.25">
      <c r="A8" t="s">
        <v>50</v>
      </c>
      <c r="B8" s="5">
        <f>RDExp1Q</f>
        <v>70000</v>
      </c>
      <c r="C8" s="5">
        <f>RDExp2Q</f>
        <v>100800.00000000001</v>
      </c>
      <c r="D8" s="5">
        <f>RDExp3Q</f>
        <v>154560</v>
      </c>
      <c r="E8" s="5">
        <f>RDExp4Q</f>
        <v>201600</v>
      </c>
      <c r="F8" s="4"/>
      <c r="G8" s="5">
        <f>RDExpX4</f>
        <v>526960</v>
      </c>
    </row>
    <row r="9" spans="1:7" x14ac:dyDescent="0.25">
      <c r="A9" s="6" t="s">
        <v>144</v>
      </c>
      <c r="B9" s="50">
        <f>SUM(B4:B8)</f>
        <v>300000</v>
      </c>
      <c r="C9" s="50">
        <f>SUM(C4:C8)</f>
        <v>435000</v>
      </c>
      <c r="D9" s="50">
        <f>SUM(D4:D8)</f>
        <v>586320</v>
      </c>
      <c r="E9" s="50">
        <f>SUM(E4:E8)</f>
        <v>739200</v>
      </c>
      <c r="F9" s="53"/>
      <c r="G9" s="50">
        <f>SUM(G4:G8)</f>
        <v>2060520</v>
      </c>
    </row>
    <row r="10" spans="1:7" x14ac:dyDescent="0.25">
      <c r="B10" s="4"/>
      <c r="C10" s="4"/>
      <c r="D10" s="4"/>
      <c r="E10" s="4"/>
      <c r="F10" s="4"/>
      <c r="G10" s="4"/>
    </row>
    <row r="11" spans="1:7" ht="13" x14ac:dyDescent="0.3">
      <c r="A11" s="2" t="s">
        <v>145</v>
      </c>
      <c r="B11" s="4"/>
      <c r="C11" s="4"/>
      <c r="D11" s="4"/>
      <c r="E11" s="4"/>
      <c r="F11" s="4"/>
      <c r="G11" s="4"/>
    </row>
    <row r="12" spans="1:7" x14ac:dyDescent="0.25">
      <c r="A12" t="s">
        <v>48</v>
      </c>
      <c r="B12" s="50">
        <f>SalExp1Q</f>
        <v>470400.00000000006</v>
      </c>
      <c r="C12" s="50">
        <f>SalExp2Q</f>
        <v>470400.00000000006</v>
      </c>
      <c r="D12" s="50">
        <f>SalExp3Q</f>
        <v>663600.00000000012</v>
      </c>
      <c r="E12" s="50">
        <f>SalExp4Q</f>
        <v>697200.00000000012</v>
      </c>
      <c r="F12" s="53"/>
      <c r="G12" s="50">
        <f>SalExpX4</f>
        <v>2301600.0000000005</v>
      </c>
    </row>
    <row r="13" spans="1:7" x14ac:dyDescent="0.25">
      <c r="A13" t="s">
        <v>51</v>
      </c>
      <c r="B13" s="3">
        <f>RentExp1Q</f>
        <v>20000</v>
      </c>
      <c r="C13" s="3">
        <f>RentExp2Q</f>
        <v>20000</v>
      </c>
      <c r="D13" s="3">
        <f>RentExp3Q</f>
        <v>20000</v>
      </c>
      <c r="E13" s="3">
        <f>RentExp4Q</f>
        <v>20000</v>
      </c>
      <c r="F13" s="4"/>
      <c r="G13" s="3">
        <f>RentExpX4</f>
        <v>80000</v>
      </c>
    </row>
    <row r="14" spans="1:7" x14ac:dyDescent="0.25">
      <c r="A14" t="s">
        <v>52</v>
      </c>
      <c r="B14" s="5">
        <f>Dep1Q</f>
        <v>2312.5</v>
      </c>
      <c r="C14" s="5">
        <f>Dep2Q</f>
        <v>4625</v>
      </c>
      <c r="D14" s="5">
        <f>Dep3Q</f>
        <v>6937.5</v>
      </c>
      <c r="E14" s="5">
        <f>Dep4Q</f>
        <v>9250</v>
      </c>
      <c r="F14" s="4"/>
      <c r="G14" s="5">
        <f>DepX4</f>
        <v>23125</v>
      </c>
    </row>
    <row r="15" spans="1:7" x14ac:dyDescent="0.25">
      <c r="A15" s="6" t="s">
        <v>146</v>
      </c>
      <c r="B15" s="50">
        <f>SUM(B12:B14)</f>
        <v>492712.50000000006</v>
      </c>
      <c r="C15" s="50">
        <f>SUM(C12:C14)</f>
        <v>495025.00000000006</v>
      </c>
      <c r="D15" s="50">
        <f>SUM(D12:D14)</f>
        <v>690537.50000000012</v>
      </c>
      <c r="E15" s="50">
        <f>SUM(E12:E14)</f>
        <v>726450.00000000012</v>
      </c>
      <c r="F15" s="53"/>
      <c r="G15" s="50">
        <f>SUM(G12:G14)</f>
        <v>2404725.0000000005</v>
      </c>
    </row>
    <row r="16" spans="1:7" x14ac:dyDescent="0.25">
      <c r="B16" s="4"/>
      <c r="C16" s="4"/>
      <c r="D16" s="4"/>
      <c r="E16" s="4"/>
      <c r="F16" s="4"/>
      <c r="G16" s="4"/>
    </row>
    <row r="17" spans="1:7" ht="13" x14ac:dyDescent="0.3">
      <c r="A17" s="2" t="s">
        <v>147</v>
      </c>
      <c r="B17" s="4"/>
      <c r="C17" s="4"/>
      <c r="D17" s="4"/>
      <c r="E17" s="4"/>
      <c r="F17" s="4"/>
      <c r="G17" s="4"/>
    </row>
    <row r="18" spans="1:7" x14ac:dyDescent="0.25">
      <c r="A18" t="s">
        <v>59</v>
      </c>
      <c r="B18" s="50">
        <f>Sales1Q</f>
        <v>1000000</v>
      </c>
      <c r="C18" s="50">
        <f>Sales2Q</f>
        <v>1440000</v>
      </c>
      <c r="D18" s="50">
        <f>Sales3Q</f>
        <v>1932000</v>
      </c>
      <c r="E18" s="50">
        <f>Sales4Q</f>
        <v>2520000</v>
      </c>
      <c r="F18" s="53"/>
      <c r="G18" s="50">
        <f>SalesX4</f>
        <v>6892000</v>
      </c>
    </row>
    <row r="19" spans="1:7" x14ac:dyDescent="0.25">
      <c r="A19" s="33" t="s">
        <v>148</v>
      </c>
      <c r="B19" s="5">
        <f>VarCosts1Q</f>
        <v>300000</v>
      </c>
      <c r="C19" s="5">
        <f>VarCosts2Q</f>
        <v>435000</v>
      </c>
      <c r="D19" s="5">
        <f>VarCosts3Q</f>
        <v>586320</v>
      </c>
      <c r="E19" s="5">
        <f>VarCosts4Q</f>
        <v>739200</v>
      </c>
      <c r="F19" s="4"/>
      <c r="G19" s="5">
        <f>VarCostsX4</f>
        <v>2060520</v>
      </c>
    </row>
    <row r="20" spans="1:7" x14ac:dyDescent="0.25">
      <c r="A20" s="8" t="s">
        <v>149</v>
      </c>
      <c r="B20" s="50">
        <f>Sales1Q-VarCosts1Q</f>
        <v>700000</v>
      </c>
      <c r="C20" s="50">
        <f>Sales2Q-VarCosts2Q</f>
        <v>1005000</v>
      </c>
      <c r="D20" s="50">
        <f>Sales3Q-VarCosts3Q</f>
        <v>1345680</v>
      </c>
      <c r="E20" s="50">
        <f>Sales4Q-VarCosts4Q</f>
        <v>1780800</v>
      </c>
      <c r="F20" s="53"/>
      <c r="G20" s="50">
        <f>SalesX4-VarCostsX4</f>
        <v>4831480</v>
      </c>
    </row>
    <row r="21" spans="1:7" x14ac:dyDescent="0.25">
      <c r="A21" s="33" t="s">
        <v>150</v>
      </c>
      <c r="B21" s="96">
        <f>FixCosts1Q</f>
        <v>492712.50000000006</v>
      </c>
      <c r="C21" s="96">
        <f>FixCosts2Q</f>
        <v>495025.00000000006</v>
      </c>
      <c r="D21" s="96">
        <f>FixCosts3Q</f>
        <v>690537.50000000012</v>
      </c>
      <c r="E21" s="96">
        <f>FixCosts4Q</f>
        <v>726450.00000000012</v>
      </c>
      <c r="F21" s="97"/>
      <c r="G21" s="96">
        <f>FixCostsX4</f>
        <v>2404725.0000000005</v>
      </c>
    </row>
    <row r="22" spans="1:7" x14ac:dyDescent="0.25">
      <c r="A22" s="33" t="s">
        <v>302</v>
      </c>
      <c r="B22" s="96">
        <f>-IntExp1Q</f>
        <v>0</v>
      </c>
      <c r="C22" s="96">
        <f>-IntExp2Q</f>
        <v>875.00000000000011</v>
      </c>
      <c r="D22" s="96">
        <f>-IntExp3Q</f>
        <v>0</v>
      </c>
      <c r="E22" s="96">
        <f>-IntExp4Q</f>
        <v>0</v>
      </c>
      <c r="F22" s="4"/>
      <c r="G22" s="96">
        <f>-IntExpX4</f>
        <v>875.00000000000011</v>
      </c>
    </row>
    <row r="23" spans="1:7" x14ac:dyDescent="0.25">
      <c r="A23" s="33" t="s">
        <v>303</v>
      </c>
      <c r="B23" s="5">
        <f>TaxExp1Q</f>
        <v>72550.625</v>
      </c>
      <c r="C23" s="5">
        <f>TaxExp2Q</f>
        <v>178184.99999999994</v>
      </c>
      <c r="D23" s="5">
        <f>TaxExp3Q</f>
        <v>229299.87499999994</v>
      </c>
      <c r="E23" s="5">
        <f>TaxExp4Q</f>
        <v>369022.5</v>
      </c>
      <c r="F23" s="4"/>
      <c r="G23" s="5">
        <f>TaxExpX4</f>
        <v>849057.99999999988</v>
      </c>
    </row>
    <row r="24" spans="1:7" x14ac:dyDescent="0.25">
      <c r="A24" s="8" t="s">
        <v>151</v>
      </c>
      <c r="B24" s="50">
        <f>CM1Q-FixCosts1Q+IntExp1Q-TaxExp1Q</f>
        <v>134736.87499999994</v>
      </c>
      <c r="C24" s="50">
        <f>CM2Q-FixCosts2Q+IntExp2Q-TaxExp2Q</f>
        <v>330915</v>
      </c>
      <c r="D24" s="50">
        <f>CM3Q-FixCosts3Q+IntExp3Q-TaxExp3Q</f>
        <v>425842.62499999994</v>
      </c>
      <c r="E24" s="50">
        <f>CM4Q-FixCosts4Q+IntExp4Q-TaxExp4Q</f>
        <v>685327.5</v>
      </c>
      <c r="F24" s="53"/>
      <c r="G24" s="50">
        <f>CM_X4-FixCostsX4+IntExpX4-TaxExpX4</f>
        <v>1576821.9999999995</v>
      </c>
    </row>
    <row r="26" spans="1:7" ht="13" x14ac:dyDescent="0.3">
      <c r="A26" s="2" t="s">
        <v>304</v>
      </c>
      <c r="B26" s="95"/>
      <c r="C26" s="95"/>
      <c r="D26" s="95"/>
      <c r="E26" s="95"/>
      <c r="G26" s="95"/>
    </row>
    <row r="27" spans="1:7" x14ac:dyDescent="0.25">
      <c r="A27" t="s">
        <v>305</v>
      </c>
      <c r="B27" s="50">
        <f>FixCosts1Q</f>
        <v>492712.50000000006</v>
      </c>
      <c r="C27" s="50">
        <f>FixCosts2Q</f>
        <v>495025.00000000006</v>
      </c>
      <c r="D27" s="50">
        <f>FixCosts3Q</f>
        <v>690537.50000000012</v>
      </c>
      <c r="E27" s="50">
        <f>FixCosts4Q</f>
        <v>726450.00000000012</v>
      </c>
      <c r="G27" s="50">
        <f>FixCostsX4</f>
        <v>2404725.0000000005</v>
      </c>
    </row>
    <row r="28" spans="1:7" x14ac:dyDescent="0.25">
      <c r="A28" t="s">
        <v>306</v>
      </c>
      <c r="B28" s="50">
        <f>FixCosts1Q+VarCosts1Q</f>
        <v>792712.5</v>
      </c>
      <c r="C28" s="50">
        <f>FixCosts2Q+VarCosts2Q</f>
        <v>930025</v>
      </c>
      <c r="D28" s="50">
        <f>FixCosts3Q+VarCosts3Q</f>
        <v>1276857.5</v>
      </c>
      <c r="E28" s="50">
        <f>FixCosts4Q+VarCosts4Q</f>
        <v>1465650</v>
      </c>
      <c r="G28" s="50">
        <f>FixCostsX4+VarCostsX4</f>
        <v>4465245</v>
      </c>
    </row>
    <row r="29" spans="1:7" ht="7.5" customHeight="1" x14ac:dyDescent="0.25"/>
    <row r="30" spans="1:7" x14ac:dyDescent="0.25">
      <c r="A30" t="s">
        <v>307</v>
      </c>
      <c r="B30" s="72">
        <f>FixCosts1Q/TotCosts1Q</f>
        <v>0.6215525805383415</v>
      </c>
      <c r="C30" s="72">
        <f>FixCosts2Q/TotCosts2Q</f>
        <v>0.53227063788607842</v>
      </c>
      <c r="D30" s="72">
        <f>FixCosts3Q/TotCosts3Q</f>
        <v>0.54081015305153479</v>
      </c>
      <c r="E30" s="72">
        <f>FixCosts4Q/TotCosts4Q</f>
        <v>0.49565039402312977</v>
      </c>
      <c r="G30" s="72">
        <f>FixCostsX4/TotCostsX4</f>
        <v>0.53854267794936239</v>
      </c>
    </row>
    <row r="32" spans="1:7" ht="13" x14ac:dyDescent="0.3">
      <c r="A32" s="2" t="s">
        <v>308</v>
      </c>
    </row>
    <row r="33" spans="1:5" x14ac:dyDescent="0.25">
      <c r="A33" s="12" t="s">
        <v>309</v>
      </c>
    </row>
    <row r="34" spans="1:5" x14ac:dyDescent="0.25">
      <c r="A34" t="s">
        <v>186</v>
      </c>
      <c r="B34" s="58">
        <f>Price1Q</f>
        <v>1000</v>
      </c>
      <c r="C34" s="58">
        <f>Price2Q</f>
        <v>960</v>
      </c>
      <c r="D34" s="58">
        <f>Price3Q</f>
        <v>920</v>
      </c>
      <c r="E34" s="58">
        <f>Price4Q</f>
        <v>900</v>
      </c>
    </row>
    <row r="35" spans="1:5" x14ac:dyDescent="0.25">
      <c r="A35" s="7" t="s">
        <v>310</v>
      </c>
      <c r="B35" s="98">
        <f>VarCosts1Q/Units1Q</f>
        <v>300</v>
      </c>
      <c r="C35" s="98">
        <f>VarCosts2Q/Units2Q</f>
        <v>290</v>
      </c>
      <c r="D35" s="98">
        <f>VarCosts3Q/Units3Q</f>
        <v>279.2</v>
      </c>
      <c r="E35" s="98">
        <f>VarCosts4Q/Units4Q</f>
        <v>264</v>
      </c>
    </row>
    <row r="36" spans="1:5" x14ac:dyDescent="0.25">
      <c r="A36" s="8" t="s">
        <v>311</v>
      </c>
      <c r="B36" s="58">
        <f>Price1Q-VCperUnit1Q</f>
        <v>700</v>
      </c>
      <c r="C36" s="58">
        <f>Price2Q-VCperUnit2Q</f>
        <v>670</v>
      </c>
      <c r="D36" s="58">
        <f>Price3Q-VCperUnit3Q</f>
        <v>640.79999999999995</v>
      </c>
      <c r="E36" s="58">
        <f>Price4Q-VCperUnit4Q</f>
        <v>636</v>
      </c>
    </row>
    <row r="38" spans="1:5" x14ac:dyDescent="0.25">
      <c r="A38" t="s">
        <v>305</v>
      </c>
      <c r="B38" s="50">
        <f>FixCosts1Q</f>
        <v>492712.50000000006</v>
      </c>
      <c r="C38" s="50">
        <f>FixCosts2Q</f>
        <v>495025.00000000006</v>
      </c>
      <c r="D38" s="50">
        <f>FixCosts3Q</f>
        <v>690537.50000000012</v>
      </c>
      <c r="E38" s="50">
        <f>FixCosts4Q</f>
        <v>726450.00000000012</v>
      </c>
    </row>
    <row r="40" spans="1:5" x14ac:dyDescent="0.25">
      <c r="A40" t="s">
        <v>312</v>
      </c>
      <c r="B40" s="99">
        <f>FixCosts1Q/CMPU1Q</f>
        <v>703.87500000000011</v>
      </c>
      <c r="C40" s="99">
        <f>FixCosts2Q/CMPU2Q</f>
        <v>738.84328358208961</v>
      </c>
      <c r="D40" s="99">
        <f>FixCosts3Q/CMPU3Q</f>
        <v>1077.6178214731588</v>
      </c>
      <c r="E40" s="99">
        <f>FixCosts4Q/CMPU4Q</f>
        <v>1142.2169811320757</v>
      </c>
    </row>
    <row r="42" spans="1:5" ht="13" x14ac:dyDescent="0.3">
      <c r="A42" s="2" t="s">
        <v>313</v>
      </c>
    </row>
    <row r="43" spans="1:5" x14ac:dyDescent="0.25">
      <c r="A43" t="s">
        <v>312</v>
      </c>
      <c r="B43" s="99">
        <f>BEU1Q</f>
        <v>703.87500000000011</v>
      </c>
      <c r="C43" s="99">
        <f>BEU2Q</f>
        <v>738.84328358208961</v>
      </c>
      <c r="D43" s="99">
        <f>BEU3Q</f>
        <v>1077.6178214731588</v>
      </c>
      <c r="E43" s="99">
        <f>BEU4Q</f>
        <v>1142.2169811320757</v>
      </c>
    </row>
    <row r="44" spans="1:5" x14ac:dyDescent="0.25">
      <c r="A44" s="7" t="s">
        <v>315</v>
      </c>
      <c r="B44" s="100">
        <f>Price1Q</f>
        <v>1000</v>
      </c>
      <c r="C44" s="100">
        <f>Price2Q</f>
        <v>960</v>
      </c>
      <c r="D44" s="100">
        <f>Price3Q</f>
        <v>920</v>
      </c>
      <c r="E44" s="100">
        <f>Price4Q</f>
        <v>900</v>
      </c>
    </row>
    <row r="45" spans="1:5" x14ac:dyDescent="0.25">
      <c r="A45" s="8" t="s">
        <v>314</v>
      </c>
      <c r="B45" s="101">
        <f>BEU1Q*Price1Q</f>
        <v>703875.00000000012</v>
      </c>
      <c r="C45" s="101">
        <f>BEU2Q*Price2Q</f>
        <v>709289.55223880603</v>
      </c>
      <c r="D45" s="101">
        <f>BEU3Q*Price3Q</f>
        <v>991408.395755306</v>
      </c>
      <c r="E45" s="101">
        <f>BEU4Q*Price4Q</f>
        <v>1027995.2830188682</v>
      </c>
    </row>
  </sheetData>
  <mergeCells count="1">
    <mergeCell ref="B1:G1"/>
  </mergeCells>
  <phoneticPr fontId="2" type="noConversion"/>
  <pageMargins left="0.75" right="0.75" top="1" bottom="1" header="0.5" footer="0.5"/>
  <pageSetup orientation="portrait" r:id="rId1"/>
  <headerFooter alignWithMargins="0">
    <oddFooter>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I33"/>
  <sheetViews>
    <sheetView topLeftCell="A20" zoomScale="112" workbookViewId="0">
      <selection activeCell="A23" sqref="A23"/>
    </sheetView>
  </sheetViews>
  <sheetFormatPr defaultRowHeight="12.5" x14ac:dyDescent="0.25"/>
  <cols>
    <col min="1" max="1" width="33.1796875" bestFit="1" customWidth="1"/>
    <col min="2" max="2" width="11.1796875" bestFit="1" customWidth="1"/>
    <col min="3" max="5" width="12.1796875" bestFit="1" customWidth="1"/>
    <col min="6" max="6" width="1.453125" customWidth="1"/>
    <col min="7" max="7" width="12.1796875" bestFit="1" customWidth="1"/>
  </cols>
  <sheetData>
    <row r="1" spans="1:9" ht="13" x14ac:dyDescent="0.3">
      <c r="B1" s="110" t="s">
        <v>0</v>
      </c>
      <c r="C1" s="110"/>
      <c r="D1" s="110"/>
      <c r="E1" s="110"/>
      <c r="F1" s="110"/>
      <c r="G1" s="110"/>
    </row>
    <row r="2" spans="1:9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9" x14ac:dyDescent="0.25">
      <c r="A3" s="12" t="s">
        <v>152</v>
      </c>
    </row>
    <row r="4" spans="1:9" x14ac:dyDescent="0.25">
      <c r="A4" t="s">
        <v>153</v>
      </c>
      <c r="B4" s="72">
        <f>GrossP1Q/Sales1Q</f>
        <v>0.8</v>
      </c>
      <c r="C4" s="72">
        <f>GrossP2Q/Sales2Q</f>
        <v>0.79791666666666672</v>
      </c>
      <c r="D4" s="72">
        <f>GrossP3Q/Sales3Q</f>
        <v>0.80652173913043479</v>
      </c>
      <c r="E4" s="72">
        <f>GrossP4Q/Sales4Q</f>
        <v>0.81666666666666665</v>
      </c>
      <c r="G4" s="72">
        <f>GrossPX4/SalesX4</f>
        <v>0.80748694138131172</v>
      </c>
    </row>
    <row r="5" spans="1:9" x14ac:dyDescent="0.25">
      <c r="A5" t="s">
        <v>154</v>
      </c>
      <c r="B5" s="72">
        <f>TaxInc1Q/Sales1Q</f>
        <v>0.20728750000000001</v>
      </c>
      <c r="C5" s="72">
        <f>TaxInc2Q/Sales2Q</f>
        <v>0.35354166666666659</v>
      </c>
      <c r="D5" s="72">
        <f>TaxInc3Q/Sales3Q</f>
        <v>0.33910067287784673</v>
      </c>
      <c r="E5" s="72">
        <f>TaxInc4Q/Sales4Q</f>
        <v>0.41839285714285712</v>
      </c>
      <c r="G5" s="72">
        <f>TaxIncX4/SalesX4</f>
        <v>0.35198491004062676</v>
      </c>
    </row>
    <row r="6" spans="1:9" x14ac:dyDescent="0.25">
      <c r="A6" t="s">
        <v>155</v>
      </c>
      <c r="B6" s="72">
        <f>NetInc1Q/Sales1Q</f>
        <v>0.13473687500000001</v>
      </c>
      <c r="C6" s="72">
        <f>NetInc2Q/Sales2Q</f>
        <v>0.2298020833333333</v>
      </c>
      <c r="D6" s="72">
        <f>NetInc3Q/Sales3Q</f>
        <v>0.22041543737060038</v>
      </c>
      <c r="E6" s="72">
        <f>NetInc4Q/Sales4Q</f>
        <v>0.27195535714285712</v>
      </c>
      <c r="G6" s="72">
        <f>NetIncX4/SalesX4</f>
        <v>0.22879019152640737</v>
      </c>
    </row>
    <row r="7" spans="1:9" x14ac:dyDescent="0.25">
      <c r="B7" s="27"/>
      <c r="C7" s="27"/>
      <c r="D7" s="27"/>
      <c r="E7" s="27"/>
      <c r="F7" s="27"/>
      <c r="G7" s="27"/>
    </row>
    <row r="8" spans="1:9" x14ac:dyDescent="0.25">
      <c r="A8" s="12" t="s">
        <v>319</v>
      </c>
      <c r="B8" s="27"/>
      <c r="C8" s="27"/>
      <c r="D8" s="27"/>
      <c r="E8" s="27"/>
      <c r="F8" s="27"/>
      <c r="G8" s="27"/>
    </row>
    <row r="9" spans="1:9" x14ac:dyDescent="0.25">
      <c r="A9" t="s">
        <v>156</v>
      </c>
      <c r="B9" s="72">
        <f>(NetInc1Q/TotOE1Q)*QtrsYr</f>
        <v>0.47495371999786296</v>
      </c>
      <c r="C9" s="72">
        <f>(NetInc2Q/TotOE2Q)*QtrsYr</f>
        <v>0.90312032657823316</v>
      </c>
      <c r="D9" s="72">
        <f>(NetInc3Q/TotOE3Q)*QtrsYr</f>
        <v>0.9005421374473993</v>
      </c>
      <c r="E9" s="72">
        <f>(NetInc4Q/TotOE4Q)*QtrsYr</f>
        <v>1.0638336679832756</v>
      </c>
      <c r="G9" s="72">
        <f>NetIncX4/TotOEX4</f>
        <v>0.61192507670300844</v>
      </c>
      <c r="I9" s="67"/>
    </row>
    <row r="10" spans="1:9" x14ac:dyDescent="0.25">
      <c r="A10" t="s">
        <v>157</v>
      </c>
      <c r="B10" s="72">
        <f>(NetInc1Q/TotAssets1Q)*QtrsYr</f>
        <v>0.44069135363900774</v>
      </c>
      <c r="C10" s="72">
        <f>(NetInc2Q/TotAssets2Q)*QtrsYr</f>
        <v>0.81768723434458113</v>
      </c>
      <c r="D10" s="72">
        <f>(NetInc3Q/TotAssets3Q)*QtrsYr</f>
        <v>0.8421571541378472</v>
      </c>
      <c r="E10" s="72">
        <f>(NetInc4Q/TotAssets4Q)*QtrsYr</f>
        <v>1.0038406018407646</v>
      </c>
      <c r="G10" s="72">
        <f>NetIncX4/TotAssetsX4</f>
        <v>0.57741661668171695</v>
      </c>
    </row>
    <row r="11" spans="1:9" x14ac:dyDescent="0.25">
      <c r="A11" t="s">
        <v>158</v>
      </c>
      <c r="B11" s="72">
        <f>(NetInc1Q/(TotOE1Q+LoanVal1Q))*QtrsYr</f>
        <v>0.47495371999786296</v>
      </c>
      <c r="C11" s="72">
        <f>(NetInc2Q/(TotOE2Q+LoanVal2Q))*QtrsYr</f>
        <v>0.87332719461056962</v>
      </c>
      <c r="D11" s="72">
        <f>(NetInc3Q/(TotOE3Q+LoanVal3Q))*QtrsYr</f>
        <v>0.9005421374473993</v>
      </c>
      <c r="E11" s="72">
        <f>(NetInc4Q/(TotOE4Q+LoanVal4Q))*QtrsYr</f>
        <v>1.0638336679832756</v>
      </c>
      <c r="G11" s="72">
        <f>NetIncX4/(TotOEX4+LoanVal4Q)</f>
        <v>0.61192507670300844</v>
      </c>
    </row>
    <row r="13" spans="1:9" x14ac:dyDescent="0.25">
      <c r="A13" s="12" t="s">
        <v>321</v>
      </c>
    </row>
    <row r="14" spans="1:9" x14ac:dyDescent="0.25">
      <c r="A14" t="s">
        <v>159</v>
      </c>
      <c r="B14" s="50">
        <f>(NetInc1Q/NoEmp1Q)*QtrsYr</f>
        <v>35929.833333333336</v>
      </c>
      <c r="C14" s="50">
        <f>(NetInc2Q/NoEmp2Q)*QtrsYr</f>
        <v>88243.999999999985</v>
      </c>
      <c r="D14" s="50">
        <f>(NetInc3Q/NoEmp3Q)*QtrsYr</f>
        <v>77425.931818181809</v>
      </c>
      <c r="E14" s="50">
        <f>(NetInc4Q/NoEmp4Q)*QtrsYr</f>
        <v>119187.39130434782</v>
      </c>
      <c r="F14" s="53"/>
      <c r="G14" s="50">
        <f>NetIncX4/NoEmp4Q</f>
        <v>68557.478260869539</v>
      </c>
    </row>
    <row r="15" spans="1:9" x14ac:dyDescent="0.25">
      <c r="A15" t="s">
        <v>160</v>
      </c>
      <c r="B15" s="50">
        <f>(Sales1Q/NoEmp1Q)*QtrsYr</f>
        <v>266666.66666666669</v>
      </c>
      <c r="C15" s="50">
        <f>(Sales2Q/NoEmp2Q)*QtrsYr</f>
        <v>384000</v>
      </c>
      <c r="D15" s="50">
        <f>(Sales3Q/NoEmp3Q)*QtrsYr</f>
        <v>351272.72727272729</v>
      </c>
      <c r="E15" s="50">
        <f>(Sales4Q/NoEmp4Q)*QtrsYr</f>
        <v>438260.86956521741</v>
      </c>
      <c r="F15" s="53"/>
      <c r="G15" s="50">
        <f>SalesX4/NoEmp4Q</f>
        <v>299652.17391304346</v>
      </c>
    </row>
    <row r="16" spans="1:9" x14ac:dyDescent="0.25">
      <c r="A16" t="s">
        <v>161</v>
      </c>
      <c r="B16" s="102">
        <f>(Sales1Q/EndAR1Q)*QtrsYr</f>
        <v>30.000000000000004</v>
      </c>
      <c r="C16" s="102">
        <f>(Sales2Q/EndAR2Q)*QtrsYr</f>
        <v>30</v>
      </c>
      <c r="D16" s="102">
        <f>(Sales3Q/EndAR3Q)*QtrsYr</f>
        <v>30</v>
      </c>
      <c r="E16" s="102">
        <f>(Sales4Q/EndAR4Q)*QtrsYr</f>
        <v>30</v>
      </c>
      <c r="F16" s="34"/>
      <c r="G16" s="102">
        <f>SalesX4/EndARX4</f>
        <v>20.511904761904763</v>
      </c>
    </row>
    <row r="17" spans="1:7" x14ac:dyDescent="0.25">
      <c r="A17" t="s">
        <v>162</v>
      </c>
      <c r="B17" s="102">
        <f>(COGS1Q/EndInv1Q)*QtrsYr</f>
        <v>12.371134020618557</v>
      </c>
      <c r="C17" s="102">
        <f>(COGS2Q/EndInv2Q)*QtrsYr</f>
        <v>14.012841091492778</v>
      </c>
      <c r="D17" s="102">
        <f>(COGS3Q/EndInv3Q)*QtrsYr</f>
        <v>14.563636363636364</v>
      </c>
      <c r="E17" s="102">
        <f>(COGS4Q/EndInv4Q)*QtrsYr</f>
        <v>18</v>
      </c>
      <c r="F17" s="34"/>
      <c r="G17" s="102">
        <f>COGSX4/EndInvX4</f>
        <v>12.923376623376624</v>
      </c>
    </row>
    <row r="18" spans="1:7" x14ac:dyDescent="0.25">
      <c r="A18" t="s">
        <v>163</v>
      </c>
      <c r="B18" s="102">
        <f>(Sales1Q/TotAssets1Q)*QtrsYr</f>
        <v>3.2707553417652573</v>
      </c>
      <c r="C18" s="102">
        <f>(Sales2Q/TotAssets2Q)*QtrsYr</f>
        <v>3.5582237657893927</v>
      </c>
      <c r="D18" s="102">
        <f>(Sales3Q/TotAssets3Q)*QtrsYr</f>
        <v>3.8207721028262984</v>
      </c>
      <c r="E18" s="102">
        <f>(Sales4Q/TotAssets4Q)*QtrsYr</f>
        <v>3.6911962771648983</v>
      </c>
      <c r="F18" s="34"/>
      <c r="G18" s="102">
        <f>SalesX4/TotAssetsX4</f>
        <v>2.5237822164901269</v>
      </c>
    </row>
    <row r="21" spans="1:7" ht="13" x14ac:dyDescent="0.3">
      <c r="A21" s="2" t="s">
        <v>316</v>
      </c>
    </row>
    <row r="22" spans="1:7" ht="13" x14ac:dyDescent="0.3">
      <c r="A22" s="2" t="s">
        <v>317</v>
      </c>
    </row>
    <row r="23" spans="1:7" x14ac:dyDescent="0.25">
      <c r="A23" s="108" t="s">
        <v>66</v>
      </c>
      <c r="B23" s="50">
        <f>GrossP1Q</f>
        <v>800000</v>
      </c>
      <c r="C23" s="50">
        <f>GrossP2Q</f>
        <v>1149000</v>
      </c>
      <c r="D23" s="50">
        <f>GrossP3Q</f>
        <v>1558200</v>
      </c>
      <c r="E23" s="50">
        <f>GrossP4Q</f>
        <v>2058000</v>
      </c>
      <c r="F23" s="53"/>
      <c r="G23" s="50">
        <f>GrossPX4</f>
        <v>5565200</v>
      </c>
    </row>
    <row r="24" spans="1:7" x14ac:dyDescent="0.25">
      <c r="A24" t="s">
        <v>59</v>
      </c>
      <c r="B24" s="96">
        <f>Sales1Q</f>
        <v>1000000</v>
      </c>
      <c r="C24" s="96">
        <f>Sales2Q</f>
        <v>1440000</v>
      </c>
      <c r="D24" s="96">
        <f>Sales3Q</f>
        <v>1932000</v>
      </c>
      <c r="E24" s="96">
        <f>Sales4Q</f>
        <v>2520000</v>
      </c>
      <c r="F24" s="97"/>
      <c r="G24" s="96">
        <f>SalesX4</f>
        <v>6892000</v>
      </c>
    </row>
    <row r="25" spans="1:7" x14ac:dyDescent="0.25">
      <c r="A25" t="s">
        <v>63</v>
      </c>
      <c r="B25" s="96">
        <f>TaxInc1Q</f>
        <v>207287.5</v>
      </c>
      <c r="C25" s="96">
        <f>TaxInc2Q</f>
        <v>509099.99999999988</v>
      </c>
      <c r="D25" s="96">
        <f>TaxInc3Q</f>
        <v>655142.49999999988</v>
      </c>
      <c r="E25" s="96">
        <f>TaxInc4Q</f>
        <v>1054350</v>
      </c>
      <c r="F25" s="97"/>
      <c r="G25" s="96">
        <f>TaxIncX4</f>
        <v>2425879.9999999995</v>
      </c>
    </row>
    <row r="26" spans="1:7" x14ac:dyDescent="0.25">
      <c r="A26" t="s">
        <v>65</v>
      </c>
      <c r="B26" s="96">
        <f>NetInc1Q</f>
        <v>134736.875</v>
      </c>
      <c r="C26" s="96">
        <f>NetInc2Q</f>
        <v>330914.99999999994</v>
      </c>
      <c r="D26" s="96">
        <f>NetInc3Q</f>
        <v>425842.62499999994</v>
      </c>
      <c r="E26" s="96">
        <f>NetInc4Q</f>
        <v>685327.5</v>
      </c>
      <c r="F26" s="97"/>
      <c r="G26" s="96">
        <f>NetIncX4</f>
        <v>1576821.9999999995</v>
      </c>
    </row>
    <row r="27" spans="1:7" x14ac:dyDescent="0.25">
      <c r="A27" t="s">
        <v>106</v>
      </c>
      <c r="B27" s="96">
        <f>TotOE1Q</f>
        <v>1134736.875</v>
      </c>
      <c r="C27" s="96">
        <f>TotOE2Q</f>
        <v>1465651.875</v>
      </c>
      <c r="D27" s="96">
        <f>TotOE3Q</f>
        <v>1891494.5</v>
      </c>
      <c r="E27" s="96">
        <f>TotOE4Q</f>
        <v>2576822</v>
      </c>
      <c r="F27" s="97"/>
      <c r="G27" s="96">
        <f>TotOEX4</f>
        <v>2576822</v>
      </c>
    </row>
    <row r="28" spans="1:7" x14ac:dyDescent="0.25">
      <c r="A28" t="s">
        <v>96</v>
      </c>
      <c r="B28" s="96">
        <f>TotAssets1Q</f>
        <v>1222959.0972222222</v>
      </c>
      <c r="C28" s="96">
        <f>TotAssets2Q</f>
        <v>1618785.2083333333</v>
      </c>
      <c r="D28" s="96">
        <f>TotAssets3Q</f>
        <v>2022627.8333333333</v>
      </c>
      <c r="E28" s="96">
        <f>TotAssets4Q</f>
        <v>2730821.9999999995</v>
      </c>
      <c r="F28" s="97"/>
      <c r="G28" s="96">
        <f>TotAssetsX4</f>
        <v>2730821.9999999995</v>
      </c>
    </row>
    <row r="29" spans="1:7" x14ac:dyDescent="0.25">
      <c r="A29" t="s">
        <v>318</v>
      </c>
      <c r="B29" s="96">
        <f>TotOE1Q+LoanVal1Q</f>
        <v>1134736.875</v>
      </c>
      <c r="C29" s="96">
        <f>TotOE2Q+LoanVal2Q</f>
        <v>1515651.875</v>
      </c>
      <c r="D29" s="96">
        <f>TotOE3Q+LoanVal3Q</f>
        <v>1891494.5</v>
      </c>
      <c r="E29" s="96">
        <f>TotOE4Q+LoanVal4Q</f>
        <v>2576822</v>
      </c>
      <c r="F29" s="97"/>
      <c r="G29" s="96">
        <f>TotOEX4+LoanVal4Q</f>
        <v>2576822</v>
      </c>
    </row>
    <row r="30" spans="1:7" x14ac:dyDescent="0.25">
      <c r="A30" t="s">
        <v>320</v>
      </c>
      <c r="B30" s="96">
        <f>NoEmp1Q</f>
        <v>15</v>
      </c>
      <c r="C30" s="96">
        <f>NoEmp2Q</f>
        <v>15</v>
      </c>
      <c r="D30" s="96">
        <f>NoEmp3Q</f>
        <v>22</v>
      </c>
      <c r="E30" s="96">
        <f>NoEmp4Q</f>
        <v>23</v>
      </c>
      <c r="F30" s="97"/>
      <c r="G30" s="96">
        <f>NoEmp4Q</f>
        <v>23</v>
      </c>
    </row>
    <row r="31" spans="1:7" x14ac:dyDescent="0.25">
      <c r="A31" t="s">
        <v>98</v>
      </c>
      <c r="B31" s="96">
        <f>EndAR1Q</f>
        <v>133333.33333333331</v>
      </c>
      <c r="C31" s="96">
        <f>EndAR2Q</f>
        <v>192000</v>
      </c>
      <c r="D31" s="96">
        <f>EndAR3Q</f>
        <v>257600</v>
      </c>
      <c r="E31" s="96">
        <f>EndAR4Q</f>
        <v>336000</v>
      </c>
      <c r="F31" s="97"/>
      <c r="G31" s="96">
        <f>EndARX4</f>
        <v>336000</v>
      </c>
    </row>
    <row r="32" spans="1:7" x14ac:dyDescent="0.25">
      <c r="A32" t="s">
        <v>322</v>
      </c>
      <c r="B32" s="96">
        <f>COGS1Q</f>
        <v>200000</v>
      </c>
      <c r="C32" s="96">
        <f>COGS2Q</f>
        <v>291000</v>
      </c>
      <c r="D32" s="96">
        <f>COGS3Q</f>
        <v>373800</v>
      </c>
      <c r="E32" s="96">
        <f>COGS4Q</f>
        <v>462000</v>
      </c>
      <c r="F32" s="97"/>
      <c r="G32" s="96">
        <f>COGSX4</f>
        <v>1326800</v>
      </c>
    </row>
    <row r="33" spans="1:7" x14ac:dyDescent="0.25">
      <c r="A33" t="s">
        <v>99</v>
      </c>
      <c r="B33" s="96">
        <f>EndInv1Q</f>
        <v>64666.666666666664</v>
      </c>
      <c r="C33" s="96">
        <f>EndInv2Q</f>
        <v>83066.666666666657</v>
      </c>
      <c r="D33" s="96">
        <f>EndInv3Q</f>
        <v>102666.66666666666</v>
      </c>
      <c r="E33" s="96">
        <f>EndInv4Q</f>
        <v>102666.66666666666</v>
      </c>
      <c r="F33" s="97"/>
      <c r="G33" s="96">
        <f>EndInvX4</f>
        <v>102666.66666666666</v>
      </c>
    </row>
  </sheetData>
  <mergeCells count="1">
    <mergeCell ref="B1:G1"/>
  </mergeCells>
  <phoneticPr fontId="2" type="noConversion"/>
  <pageMargins left="0.75" right="0.75" top="1" bottom="1" header="0.5" footer="0.5"/>
  <pageSetup orientation="portrait" r:id="rId1"/>
  <headerFooter alignWithMargins="0">
    <oddFooter>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F6"/>
  <sheetViews>
    <sheetView zoomScale="166" zoomScaleNormal="100" workbookViewId="0">
      <selection activeCell="B16" sqref="B16"/>
    </sheetView>
  </sheetViews>
  <sheetFormatPr defaultRowHeight="12.5" x14ac:dyDescent="0.25"/>
  <cols>
    <col min="1" max="1" width="36" bestFit="1" customWidth="1"/>
    <col min="2" max="2" width="12.1796875" bestFit="1" customWidth="1"/>
    <col min="3" max="3" width="1.453125" customWidth="1"/>
    <col min="5" max="5" width="1.453125" customWidth="1"/>
    <col min="6" max="6" width="12.1796875" bestFit="1" customWidth="1"/>
  </cols>
  <sheetData>
    <row r="1" spans="1:6" ht="13" x14ac:dyDescent="0.3">
      <c r="A1" s="35" t="s">
        <v>164</v>
      </c>
      <c r="B1" s="35"/>
      <c r="C1" s="35"/>
      <c r="D1" s="35" t="s">
        <v>165</v>
      </c>
      <c r="E1" s="35"/>
      <c r="F1" s="35" t="s">
        <v>166</v>
      </c>
    </row>
    <row r="2" spans="1:6" ht="13" x14ac:dyDescent="0.3">
      <c r="A2" s="1" t="s">
        <v>167</v>
      </c>
      <c r="B2" s="1" t="s">
        <v>164</v>
      </c>
      <c r="C2" s="1"/>
      <c r="D2" s="1" t="s">
        <v>168</v>
      </c>
      <c r="E2" s="1"/>
      <c r="F2" s="1" t="s">
        <v>164</v>
      </c>
    </row>
    <row r="3" spans="1:6" x14ac:dyDescent="0.25">
      <c r="A3" t="s">
        <v>169</v>
      </c>
      <c r="B3" s="50">
        <f>NPV</f>
        <v>7601220.0117068533</v>
      </c>
      <c r="D3" s="66">
        <v>0.6</v>
      </c>
      <c r="F3" s="50">
        <f>DCFVal*DCFRW</f>
        <v>4560732.0070241122</v>
      </c>
    </row>
    <row r="4" spans="1:6" x14ac:dyDescent="0.25">
      <c r="A4" t="s">
        <v>170</v>
      </c>
      <c r="B4" s="50">
        <f>CompSalesVal</f>
        <v>4753103.4482758623</v>
      </c>
      <c r="D4" s="66">
        <v>0.2</v>
      </c>
      <c r="F4" s="50">
        <f>PCCVal*PCCRW</f>
        <v>950620.68965517252</v>
      </c>
    </row>
    <row r="5" spans="1:6" x14ac:dyDescent="0.25">
      <c r="A5" t="s">
        <v>171</v>
      </c>
      <c r="B5" s="50">
        <f>CoSalesVal</f>
        <v>5237920</v>
      </c>
      <c r="D5" s="106">
        <v>0.2</v>
      </c>
      <c r="F5" s="49">
        <f>MACVal*MACRW</f>
        <v>1047584</v>
      </c>
    </row>
    <row r="6" spans="1:6" x14ac:dyDescent="0.25">
      <c r="A6" s="6" t="s">
        <v>172</v>
      </c>
      <c r="D6" s="66">
        <f>SUM(D3:D5)</f>
        <v>1</v>
      </c>
      <c r="F6" s="50">
        <f>SUM(F3:F5)</f>
        <v>6558936.6966792848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>
    <oddFooter>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O42"/>
  <sheetViews>
    <sheetView topLeftCell="A24" zoomScale="107" workbookViewId="0">
      <selection activeCell="A37" sqref="A37"/>
    </sheetView>
  </sheetViews>
  <sheetFormatPr defaultRowHeight="12.5" x14ac:dyDescent="0.25"/>
  <cols>
    <col min="1" max="1" width="17.7265625" customWidth="1"/>
    <col min="2" max="2" width="16.1796875" bestFit="1" customWidth="1"/>
    <col min="3" max="3" width="1.26953125" customWidth="1"/>
    <col min="4" max="4" width="16.1796875" bestFit="1" customWidth="1"/>
    <col min="5" max="6" width="14.54296875" bestFit="1" customWidth="1"/>
    <col min="7" max="7" width="1.453125" customWidth="1"/>
    <col min="10" max="10" width="10.1796875" bestFit="1" customWidth="1"/>
  </cols>
  <sheetData>
    <row r="1" spans="1:15" ht="13" x14ac:dyDescent="0.3">
      <c r="A1" s="103" t="s">
        <v>326</v>
      </c>
      <c r="B1" s="104"/>
      <c r="C1" s="104"/>
      <c r="D1" s="104"/>
      <c r="E1" s="104"/>
      <c r="F1" s="104"/>
      <c r="G1" s="104"/>
      <c r="H1" s="104"/>
      <c r="I1" s="104"/>
      <c r="J1" s="104"/>
    </row>
    <row r="3" spans="1:15" ht="13" x14ac:dyDescent="0.3">
      <c r="H3" s="111" t="s">
        <v>338</v>
      </c>
      <c r="I3" s="112"/>
      <c r="J3" s="112"/>
    </row>
    <row r="4" spans="1:15" ht="13" x14ac:dyDescent="0.3">
      <c r="D4" s="110" t="s">
        <v>332</v>
      </c>
      <c r="E4" s="113"/>
      <c r="F4" s="113"/>
      <c r="H4" s="110" t="s">
        <v>339</v>
      </c>
      <c r="I4" s="113"/>
      <c r="J4" s="113"/>
    </row>
    <row r="5" spans="1:15" ht="13" x14ac:dyDescent="0.3">
      <c r="A5" s="35"/>
      <c r="B5" s="35" t="s">
        <v>164</v>
      </c>
      <c r="C5" s="35"/>
      <c r="D5" s="35"/>
      <c r="E5" s="35" t="s">
        <v>328</v>
      </c>
      <c r="F5" s="35" t="s">
        <v>330</v>
      </c>
      <c r="H5" s="35"/>
      <c r="I5" s="35" t="s">
        <v>328</v>
      </c>
      <c r="J5" s="35" t="s">
        <v>330</v>
      </c>
    </row>
    <row r="6" spans="1:15" ht="13" x14ac:dyDescent="0.3">
      <c r="A6" s="35"/>
      <c r="B6" s="1" t="s">
        <v>327</v>
      </c>
      <c r="C6" s="1"/>
      <c r="D6" s="1" t="s">
        <v>59</v>
      </c>
      <c r="E6" s="1" t="s">
        <v>329</v>
      </c>
      <c r="F6" s="1" t="s">
        <v>331</v>
      </c>
      <c r="H6" s="1" t="s">
        <v>59</v>
      </c>
      <c r="I6" s="1" t="s">
        <v>329</v>
      </c>
      <c r="J6" s="1" t="s">
        <v>331</v>
      </c>
    </row>
    <row r="7" spans="1:15" x14ac:dyDescent="0.25">
      <c r="A7" s="12" t="s">
        <v>333</v>
      </c>
    </row>
    <row r="8" spans="1:15" x14ac:dyDescent="0.25">
      <c r="A8" t="s">
        <v>334</v>
      </c>
      <c r="B8" s="61">
        <v>250000000</v>
      </c>
      <c r="D8" s="61">
        <v>300000000</v>
      </c>
      <c r="E8" s="61">
        <v>30000000</v>
      </c>
      <c r="F8" s="61">
        <v>30000000</v>
      </c>
      <c r="H8" s="65">
        <f>Comp1Val/Comp1Sales</f>
        <v>0.83333333333333337</v>
      </c>
      <c r="I8" s="65">
        <f>Comp1Val/Comp1NI</f>
        <v>8.3333333333333339</v>
      </c>
      <c r="J8" s="65">
        <f>Comp1Val/Comp1FCF</f>
        <v>8.3333333333333339</v>
      </c>
    </row>
    <row r="9" spans="1:15" x14ac:dyDescent="0.25">
      <c r="A9" t="s">
        <v>335</v>
      </c>
      <c r="B9" s="61">
        <v>200000000</v>
      </c>
      <c r="D9" s="61">
        <v>290000000</v>
      </c>
      <c r="E9" s="61">
        <v>25000000</v>
      </c>
      <c r="F9" s="61">
        <v>27500000</v>
      </c>
      <c r="H9" s="65">
        <f>Comp2Val/Comp2Sales</f>
        <v>0.68965517241379315</v>
      </c>
      <c r="I9" s="65">
        <f>Comp2Val/Comp2NI</f>
        <v>8</v>
      </c>
      <c r="J9" s="65">
        <f>Comp2Val/Comp2FCF</f>
        <v>7.2727272727272725</v>
      </c>
    </row>
    <row r="10" spans="1:15" x14ac:dyDescent="0.25">
      <c r="A10" t="s">
        <v>336</v>
      </c>
      <c r="B10" s="61">
        <v>150000000</v>
      </c>
      <c r="D10" s="61">
        <v>275000000</v>
      </c>
      <c r="E10" s="61">
        <v>30000000</v>
      </c>
      <c r="F10" s="61">
        <v>22000000</v>
      </c>
      <c r="H10" s="105">
        <f>Comp3Val/Comp3Sales</f>
        <v>0.54545454545454541</v>
      </c>
      <c r="I10" s="105">
        <f>Comp3Val/Comp3NI</f>
        <v>5</v>
      </c>
      <c r="J10" s="105">
        <f>Comp3Val/Comp3FCF</f>
        <v>6.8181818181818183</v>
      </c>
    </row>
    <row r="11" spans="1:15" x14ac:dyDescent="0.25">
      <c r="A11" s="6" t="s">
        <v>340</v>
      </c>
      <c r="B11" s="68">
        <f>MEDIAN(B8:B10)</f>
        <v>200000000</v>
      </c>
      <c r="D11" s="68">
        <f>MEDIAN(D8:D10)</f>
        <v>290000000</v>
      </c>
      <c r="E11" s="68">
        <f>MEDIAN(E8:E10)</f>
        <v>30000000</v>
      </c>
      <c r="F11" s="68">
        <f>MEDIAN(F8:F10)</f>
        <v>27500000</v>
      </c>
      <c r="H11" s="65">
        <f>MEDIAN(H8:H10)</f>
        <v>0.68965517241379315</v>
      </c>
      <c r="I11" s="65">
        <f>MEDIAN(I8:I10)</f>
        <v>8</v>
      </c>
      <c r="J11" s="65">
        <f>MEDIAN(J8:J10)</f>
        <v>7.2727272727272725</v>
      </c>
    </row>
    <row r="13" spans="1:15" x14ac:dyDescent="0.25">
      <c r="A13" s="12" t="s">
        <v>337</v>
      </c>
    </row>
    <row r="14" spans="1:15" x14ac:dyDescent="0.25">
      <c r="A14" t="s">
        <v>337</v>
      </c>
      <c r="B14" s="61">
        <v>1250000000</v>
      </c>
      <c r="D14" s="61">
        <v>1400000000</v>
      </c>
      <c r="E14" s="61">
        <v>160000000</v>
      </c>
      <c r="F14" s="61">
        <v>150000000</v>
      </c>
      <c r="H14" s="65">
        <f>SIVal/SISales</f>
        <v>0.8928571428571429</v>
      </c>
      <c r="I14" s="65">
        <f>SIVal/SINI</f>
        <v>7.8125</v>
      </c>
      <c r="J14" s="65">
        <f>SIVal/SIFCF</f>
        <v>8.3333333333333339</v>
      </c>
      <c r="L14">
        <v>4</v>
      </c>
      <c r="M14">
        <v>6</v>
      </c>
      <c r="N14">
        <v>8</v>
      </c>
      <c r="O14">
        <v>7</v>
      </c>
    </row>
    <row r="16" spans="1:15" ht="13" x14ac:dyDescent="0.3">
      <c r="D16" s="111" t="s">
        <v>342</v>
      </c>
      <c r="E16" s="112"/>
      <c r="F16" s="112"/>
      <c r="M16">
        <f>AVERAGE(L14:O14)</f>
        <v>6.25</v>
      </c>
    </row>
    <row r="17" spans="1:13" ht="13" x14ac:dyDescent="0.3">
      <c r="D17" s="110" t="s">
        <v>343</v>
      </c>
      <c r="E17" s="113"/>
      <c r="F17" s="113"/>
      <c r="M17">
        <f>MEDIAN(L14:O14)</f>
        <v>6.5</v>
      </c>
    </row>
    <row r="18" spans="1:13" ht="13" x14ac:dyDescent="0.3">
      <c r="D18" s="35"/>
      <c r="E18" s="35" t="s">
        <v>328</v>
      </c>
      <c r="F18" s="35" t="s">
        <v>330</v>
      </c>
    </row>
    <row r="19" spans="1:13" ht="13" x14ac:dyDescent="0.3">
      <c r="D19" s="1" t="s">
        <v>59</v>
      </c>
      <c r="E19" s="1" t="s">
        <v>329</v>
      </c>
      <c r="F19" s="1" t="s">
        <v>331</v>
      </c>
    </row>
    <row r="20" spans="1:13" x14ac:dyDescent="0.25">
      <c r="A20" s="12" t="s">
        <v>341</v>
      </c>
    </row>
    <row r="21" spans="1:13" x14ac:dyDescent="0.25">
      <c r="A21" t="s">
        <v>344</v>
      </c>
      <c r="D21" s="68">
        <f>SalesX4*MedCompPS</f>
        <v>4753103.4482758623</v>
      </c>
      <c r="E21" s="68">
        <f>NetIncX4*MedCompPNI</f>
        <v>12614575.999999996</v>
      </c>
      <c r="F21" s="68">
        <f>FCFX4*MedCompPFCF</f>
        <v>8260720.6060606074</v>
      </c>
    </row>
    <row r="22" spans="1:13" x14ac:dyDescent="0.25">
      <c r="A22" t="s">
        <v>345</v>
      </c>
      <c r="D22" s="68">
        <f>SalesX4*SIPS</f>
        <v>6153571.4285714291</v>
      </c>
      <c r="E22" s="68">
        <f>NetIncX4*SIPNI</f>
        <v>12318921.874999996</v>
      </c>
      <c r="F22" s="68">
        <f>FCFX4*SIPFCF</f>
        <v>9465409.0277777798</v>
      </c>
    </row>
    <row r="24" spans="1:13" x14ac:dyDescent="0.25">
      <c r="D24" s="95"/>
    </row>
    <row r="25" spans="1:13" ht="13" x14ac:dyDescent="0.3">
      <c r="A25" s="103" t="s">
        <v>346</v>
      </c>
      <c r="B25" s="104"/>
      <c r="C25" s="104"/>
      <c r="D25" s="104"/>
      <c r="E25" s="104"/>
      <c r="F25" s="104"/>
      <c r="G25" s="104"/>
      <c r="H25" s="104"/>
      <c r="I25" s="104"/>
      <c r="J25" s="104"/>
    </row>
    <row r="27" spans="1:13" ht="13" x14ac:dyDescent="0.3">
      <c r="H27" s="111" t="s">
        <v>338</v>
      </c>
      <c r="I27" s="112"/>
      <c r="J27" s="112"/>
    </row>
    <row r="28" spans="1:13" ht="13" x14ac:dyDescent="0.3">
      <c r="D28" s="110" t="s">
        <v>332</v>
      </c>
      <c r="E28" s="113"/>
      <c r="F28" s="113"/>
      <c r="H28" s="110" t="s">
        <v>339</v>
      </c>
      <c r="I28" s="113"/>
      <c r="J28" s="113"/>
    </row>
    <row r="29" spans="1:13" ht="13" x14ac:dyDescent="0.3">
      <c r="A29" s="35"/>
      <c r="B29" s="35" t="s">
        <v>164</v>
      </c>
      <c r="C29" s="35"/>
      <c r="D29" s="35"/>
      <c r="E29" s="35" t="s">
        <v>328</v>
      </c>
      <c r="F29" s="35"/>
      <c r="H29" s="35"/>
      <c r="I29" s="35" t="s">
        <v>328</v>
      </c>
      <c r="J29" s="35"/>
    </row>
    <row r="30" spans="1:13" ht="13" x14ac:dyDescent="0.3">
      <c r="A30" s="35"/>
      <c r="B30" s="1" t="s">
        <v>327</v>
      </c>
      <c r="C30" s="1"/>
      <c r="D30" s="1" t="s">
        <v>59</v>
      </c>
      <c r="E30" s="1" t="s">
        <v>329</v>
      </c>
      <c r="F30" s="1" t="s">
        <v>96</v>
      </c>
      <c r="H30" s="1" t="s">
        <v>59</v>
      </c>
      <c r="I30" s="1" t="s">
        <v>329</v>
      </c>
      <c r="J30" s="1" t="s">
        <v>96</v>
      </c>
    </row>
    <row r="31" spans="1:13" x14ac:dyDescent="0.25">
      <c r="A31" s="12" t="s">
        <v>347</v>
      </c>
    </row>
    <row r="32" spans="1:13" x14ac:dyDescent="0.25">
      <c r="A32" t="s">
        <v>348</v>
      </c>
      <c r="B32" s="61">
        <v>120000000</v>
      </c>
      <c r="D32" s="61">
        <v>150000000</v>
      </c>
      <c r="E32" s="61">
        <v>17000000</v>
      </c>
      <c r="F32" s="61">
        <v>125000000</v>
      </c>
      <c r="H32" s="65">
        <f>Co1Val/Co1Sales</f>
        <v>0.8</v>
      </c>
      <c r="I32" s="65">
        <f>Co1Val/Co1NI</f>
        <v>7.0588235294117645</v>
      </c>
      <c r="J32" s="65">
        <f>Co1Val/Co1Assets</f>
        <v>0.96</v>
      </c>
    </row>
    <row r="33" spans="1:10" x14ac:dyDescent="0.25">
      <c r="A33" t="s">
        <v>349</v>
      </c>
      <c r="B33" s="61">
        <v>95000000</v>
      </c>
      <c r="D33" s="61">
        <v>125000000</v>
      </c>
      <c r="E33" s="61">
        <v>15000000</v>
      </c>
      <c r="F33" s="61">
        <v>100000000</v>
      </c>
      <c r="H33" s="65">
        <f>Co2Val/Co2Sales</f>
        <v>0.76</v>
      </c>
      <c r="I33" s="65">
        <f>Co2Val/Co2NI</f>
        <v>6.333333333333333</v>
      </c>
      <c r="J33" s="65">
        <f>Co2Val/Co2Assets</f>
        <v>0.95</v>
      </c>
    </row>
    <row r="34" spans="1:10" x14ac:dyDescent="0.25">
      <c r="A34" t="s">
        <v>350</v>
      </c>
      <c r="B34" s="61">
        <v>85000000</v>
      </c>
      <c r="D34" s="61">
        <v>115000000</v>
      </c>
      <c r="E34" s="61">
        <v>14000000</v>
      </c>
      <c r="F34" s="61">
        <v>92000000</v>
      </c>
      <c r="H34" s="105">
        <f>Co3Val/Co3Sales</f>
        <v>0.73913043478260865</v>
      </c>
      <c r="I34" s="105">
        <f>Co3Val/Co3NI</f>
        <v>6.0714285714285712</v>
      </c>
      <c r="J34" s="105">
        <f>Co3Val/Co3Assets</f>
        <v>0.92391304347826086</v>
      </c>
    </row>
    <row r="35" spans="1:10" x14ac:dyDescent="0.25">
      <c r="A35" s="6" t="s">
        <v>340</v>
      </c>
      <c r="B35" s="68">
        <f>MEDIAN(B32:B34)</f>
        <v>95000000</v>
      </c>
      <c r="D35" s="68">
        <f>MEDIAN(D32:D34)</f>
        <v>125000000</v>
      </c>
      <c r="E35" s="68">
        <f>MEDIAN(E32:E34)</f>
        <v>15000000</v>
      </c>
      <c r="F35" s="68">
        <f>MEDIAN(F32:F34)</f>
        <v>100000000</v>
      </c>
      <c r="H35" s="65">
        <f>MEDIAN(H32:H34)</f>
        <v>0.76</v>
      </c>
      <c r="I35" s="65">
        <f>MEDIAN(I32:I34)</f>
        <v>6.333333333333333</v>
      </c>
      <c r="J35" s="65">
        <f>MEDIAN(J32:J34)</f>
        <v>0.95</v>
      </c>
    </row>
    <row r="37" spans="1:10" ht="13" x14ac:dyDescent="0.3">
      <c r="D37" s="111" t="s">
        <v>342</v>
      </c>
      <c r="E37" s="112"/>
      <c r="F37" s="112"/>
    </row>
    <row r="38" spans="1:10" ht="13" x14ac:dyDescent="0.3">
      <c r="D38" s="110" t="s">
        <v>343</v>
      </c>
      <c r="E38" s="113"/>
      <c r="F38" s="113"/>
    </row>
    <row r="39" spans="1:10" ht="13" x14ac:dyDescent="0.3">
      <c r="D39" s="35"/>
      <c r="E39" s="35" t="s">
        <v>328</v>
      </c>
      <c r="F39" s="35"/>
    </row>
    <row r="40" spans="1:10" ht="13" x14ac:dyDescent="0.3">
      <c r="D40" s="1" t="s">
        <v>59</v>
      </c>
      <c r="E40" s="1" t="s">
        <v>329</v>
      </c>
      <c r="F40" s="1" t="s">
        <v>96</v>
      </c>
    </row>
    <row r="41" spans="1:10" x14ac:dyDescent="0.25">
      <c r="A41" s="12" t="s">
        <v>341</v>
      </c>
    </row>
    <row r="42" spans="1:10" x14ac:dyDescent="0.25">
      <c r="A42" t="s">
        <v>351</v>
      </c>
      <c r="D42" s="68">
        <f>SalesX4*MedCoPS</f>
        <v>5237920</v>
      </c>
      <c r="E42" s="68">
        <f>NetIncX4*MedCoPNI</f>
        <v>9986539.3333333302</v>
      </c>
      <c r="F42" s="68">
        <f>TotAssetsX4*MedCoPA</f>
        <v>2594280.8999999994</v>
      </c>
    </row>
  </sheetData>
  <mergeCells count="10">
    <mergeCell ref="D37:F37"/>
    <mergeCell ref="D38:F38"/>
    <mergeCell ref="H3:J3"/>
    <mergeCell ref="D17:F17"/>
    <mergeCell ref="D16:F16"/>
    <mergeCell ref="D28:F28"/>
    <mergeCell ref="H27:J27"/>
    <mergeCell ref="H28:J28"/>
    <mergeCell ref="D4:F4"/>
    <mergeCell ref="H4:J4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>
    <oddFooter>&amp;R&amp;F
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G10"/>
  <sheetViews>
    <sheetView zoomScale="90" workbookViewId="0"/>
  </sheetViews>
  <sheetFormatPr defaultRowHeight="12.5" x14ac:dyDescent="0.25"/>
  <cols>
    <col min="2" max="2" width="7.453125" bestFit="1" customWidth="1"/>
    <col min="3" max="3" width="10.54296875" bestFit="1" customWidth="1"/>
    <col min="4" max="4" width="2.1796875" customWidth="1"/>
    <col min="5" max="5" width="7.81640625" bestFit="1" customWidth="1"/>
    <col min="6" max="6" width="9" bestFit="1" customWidth="1"/>
    <col min="7" max="7" width="10.54296875" bestFit="1" customWidth="1"/>
  </cols>
  <sheetData>
    <row r="1" spans="1:7" x14ac:dyDescent="0.25">
      <c r="B1" s="114" t="s">
        <v>173</v>
      </c>
      <c r="C1" s="114"/>
      <c r="E1" s="114" t="s">
        <v>174</v>
      </c>
      <c r="F1" s="114"/>
      <c r="G1" s="114"/>
    </row>
    <row r="2" spans="1:7" x14ac:dyDescent="0.25">
      <c r="C2" s="25" t="s">
        <v>175</v>
      </c>
      <c r="D2" s="25"/>
      <c r="F2" s="36" t="s">
        <v>176</v>
      </c>
      <c r="G2" s="25" t="s">
        <v>175</v>
      </c>
    </row>
    <row r="3" spans="1:7" x14ac:dyDescent="0.25">
      <c r="B3" s="37" t="s">
        <v>177</v>
      </c>
      <c r="C3" s="37" t="s">
        <v>178</v>
      </c>
      <c r="D3" s="37"/>
      <c r="E3" s="37" t="s">
        <v>179</v>
      </c>
      <c r="F3" s="37" t="s">
        <v>179</v>
      </c>
      <c r="G3" s="37" t="s">
        <v>178</v>
      </c>
    </row>
    <row r="4" spans="1:7" x14ac:dyDescent="0.25">
      <c r="A4" t="s">
        <v>180</v>
      </c>
      <c r="B4" s="38"/>
      <c r="C4" s="23"/>
      <c r="D4" s="27"/>
      <c r="E4" s="38"/>
      <c r="F4" s="39"/>
      <c r="G4" s="23"/>
    </row>
    <row r="5" spans="1:7" x14ac:dyDescent="0.25">
      <c r="A5" t="s">
        <v>181</v>
      </c>
      <c r="B5" s="38"/>
      <c r="C5" s="23"/>
      <c r="D5" s="27"/>
      <c r="E5" s="38"/>
      <c r="F5" s="39"/>
      <c r="G5" s="23"/>
    </row>
    <row r="6" spans="1:7" x14ac:dyDescent="0.25">
      <c r="A6" t="s">
        <v>182</v>
      </c>
      <c r="B6" s="38"/>
      <c r="C6" s="23"/>
      <c r="D6" s="27"/>
      <c r="E6" s="38"/>
      <c r="F6" s="39"/>
      <c r="G6" s="23"/>
    </row>
    <row r="7" spans="1:7" x14ac:dyDescent="0.25">
      <c r="A7" t="s">
        <v>183</v>
      </c>
      <c r="B7" s="38"/>
      <c r="C7" s="23"/>
      <c r="D7" s="27"/>
      <c r="E7" s="38"/>
      <c r="F7" s="39"/>
      <c r="G7" s="23"/>
    </row>
    <row r="8" spans="1:7" x14ac:dyDescent="0.25">
      <c r="A8" t="s">
        <v>184</v>
      </c>
      <c r="B8" s="38"/>
      <c r="C8" s="23"/>
      <c r="D8" s="27"/>
      <c r="E8" s="38"/>
      <c r="F8" s="39"/>
      <c r="G8" s="23"/>
    </row>
    <row r="9" spans="1:7" x14ac:dyDescent="0.25">
      <c r="A9" t="s">
        <v>185</v>
      </c>
      <c r="B9" s="40"/>
      <c r="C9" s="23"/>
      <c r="D9" s="41"/>
      <c r="E9" s="38"/>
      <c r="F9" s="39"/>
      <c r="G9" s="23"/>
    </row>
    <row r="10" spans="1:7" x14ac:dyDescent="0.25">
      <c r="A10" s="6" t="s">
        <v>172</v>
      </c>
      <c r="B10" s="42"/>
      <c r="C10" s="43"/>
      <c r="D10" s="41"/>
      <c r="E10" s="42"/>
      <c r="F10" s="42"/>
      <c r="G10" s="43"/>
    </row>
  </sheetData>
  <mergeCells count="2">
    <mergeCell ref="B1:C1"/>
    <mergeCell ref="E1:G1"/>
  </mergeCells>
  <phoneticPr fontId="2" type="noConversion"/>
  <pageMargins left="0.75" right="0.75" top="1" bottom="1" header="0.5" footer="0.5"/>
  <pageSetup orientation="portrait" r:id="rId1"/>
  <headerFooter alignWithMargins="0">
    <oddFooter>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24"/>
  <sheetViews>
    <sheetView zoomScale="90" workbookViewId="0">
      <selection activeCell="A6" sqref="A6"/>
    </sheetView>
  </sheetViews>
  <sheetFormatPr defaultRowHeight="12.5" x14ac:dyDescent="0.25"/>
  <cols>
    <col min="1" max="1" width="38.54296875" bestFit="1" customWidth="1"/>
    <col min="2" max="5" width="12.1796875" bestFit="1" customWidth="1"/>
    <col min="6" max="6" width="1.269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ht="13" x14ac:dyDescent="0.3">
      <c r="A3" s="2" t="s">
        <v>30</v>
      </c>
    </row>
    <row r="4" spans="1:7" x14ac:dyDescent="0.25">
      <c r="A4" s="11" t="s">
        <v>31</v>
      </c>
    </row>
    <row r="5" spans="1:7" x14ac:dyDescent="0.25">
      <c r="A5" s="108" t="s">
        <v>12</v>
      </c>
      <c r="B5" s="3">
        <f>Units1Q</f>
        <v>1000</v>
      </c>
      <c r="C5" s="3">
        <f>Units2Q</f>
        <v>1500</v>
      </c>
      <c r="D5" s="3">
        <f>Units3Q</f>
        <v>2100</v>
      </c>
      <c r="E5" s="3">
        <f>Units4Q</f>
        <v>2800</v>
      </c>
      <c r="F5" s="4"/>
      <c r="G5" s="3">
        <f>SUM(B5:E5)</f>
        <v>7400</v>
      </c>
    </row>
    <row r="6" spans="1:7" x14ac:dyDescent="0.25">
      <c r="A6" s="9" t="s">
        <v>14</v>
      </c>
      <c r="B6" s="49">
        <f>Price1Q</f>
        <v>1000</v>
      </c>
      <c r="C6" s="49">
        <f>Price2Q</f>
        <v>960</v>
      </c>
      <c r="D6" s="49">
        <f>Price3Q</f>
        <v>920</v>
      </c>
      <c r="E6" s="49">
        <f>Price4Q</f>
        <v>900</v>
      </c>
      <c r="F6" s="4"/>
      <c r="G6" s="51" t="s">
        <v>194</v>
      </c>
    </row>
    <row r="7" spans="1:7" x14ac:dyDescent="0.25">
      <c r="A7" s="8" t="s">
        <v>13</v>
      </c>
      <c r="B7" s="50">
        <f>B5*B6</f>
        <v>1000000</v>
      </c>
      <c r="C7" s="50">
        <f>C5*C6</f>
        <v>1440000</v>
      </c>
      <c r="D7" s="50">
        <f>D5*D6</f>
        <v>1932000</v>
      </c>
      <c r="E7" s="50">
        <f>E5*E6</f>
        <v>2520000</v>
      </c>
      <c r="F7" s="4"/>
      <c r="G7" s="50">
        <f>SUM(B7:E7)</f>
        <v>6892000</v>
      </c>
    </row>
    <row r="8" spans="1:7" x14ac:dyDescent="0.25">
      <c r="B8" s="4"/>
      <c r="C8" s="4"/>
      <c r="D8" s="4"/>
      <c r="E8" s="4"/>
      <c r="F8" s="4"/>
      <c r="G8" s="4"/>
    </row>
    <row r="9" spans="1:7" x14ac:dyDescent="0.25">
      <c r="A9" s="12" t="s">
        <v>32</v>
      </c>
      <c r="B9" s="4"/>
      <c r="C9" s="4"/>
      <c r="D9" s="4"/>
      <c r="E9" s="4"/>
      <c r="F9" s="4"/>
      <c r="G9" s="4"/>
    </row>
    <row r="10" spans="1:7" x14ac:dyDescent="0.25">
      <c r="A10" t="s">
        <v>6</v>
      </c>
      <c r="B10" s="50">
        <f>Sales1Q*CashPct1Q</f>
        <v>600000</v>
      </c>
      <c r="C10" s="50">
        <f>Sales2Q*CashPct2Q</f>
        <v>864000</v>
      </c>
      <c r="D10" s="50">
        <f>Sales3Q*CashPct3Q</f>
        <v>1159200</v>
      </c>
      <c r="E10" s="50">
        <f>Sales4Q*CashPct4Q</f>
        <v>1512000</v>
      </c>
      <c r="F10" s="53"/>
      <c r="G10" s="50">
        <f>SUM(B10:E10)</f>
        <v>4135200</v>
      </c>
    </row>
    <row r="11" spans="1:7" x14ac:dyDescent="0.25">
      <c r="A11" s="7" t="s">
        <v>15</v>
      </c>
      <c r="B11" s="5">
        <f>Sales1Q*CreditPctQ1</f>
        <v>400000</v>
      </c>
      <c r="C11" s="5">
        <f>Sales2Q*CreditPctQ2</f>
        <v>576000</v>
      </c>
      <c r="D11" s="5">
        <f>Sales3Q*CreditPctQ3</f>
        <v>772800</v>
      </c>
      <c r="E11" s="5">
        <f>Sales4Q*CreditPctQ4</f>
        <v>1008000</v>
      </c>
      <c r="F11" s="4"/>
      <c r="G11" s="5">
        <f>SUM(B11:E11)</f>
        <v>2756800</v>
      </c>
    </row>
    <row r="12" spans="1:7" x14ac:dyDescent="0.25">
      <c r="A12" s="8" t="s">
        <v>13</v>
      </c>
      <c r="B12" s="50">
        <f>SUM(B10:B11)</f>
        <v>1000000</v>
      </c>
      <c r="C12" s="50">
        <f>SUM(C10:C11)</f>
        <v>1440000</v>
      </c>
      <c r="D12" s="50">
        <f>SUM(D10:D11)</f>
        <v>1932000</v>
      </c>
      <c r="E12" s="50">
        <f>SUM(E10:E11)</f>
        <v>2520000</v>
      </c>
      <c r="F12" s="53"/>
      <c r="G12" s="50">
        <f>SUM(G10:G11)</f>
        <v>6892000</v>
      </c>
    </row>
    <row r="13" spans="1:7" x14ac:dyDescent="0.25">
      <c r="B13" s="4"/>
      <c r="C13" s="4"/>
      <c r="D13" s="4"/>
      <c r="E13" s="4"/>
      <c r="F13" s="4"/>
      <c r="G13" s="4"/>
    </row>
    <row r="14" spans="1:7" ht="13" x14ac:dyDescent="0.3">
      <c r="A14" s="2" t="s">
        <v>33</v>
      </c>
      <c r="B14" s="4"/>
      <c r="C14" s="4"/>
      <c r="D14" s="4"/>
      <c r="E14" s="4"/>
      <c r="F14" s="4"/>
      <c r="G14" s="4"/>
    </row>
    <row r="15" spans="1:7" x14ac:dyDescent="0.25">
      <c r="A15" s="11" t="s">
        <v>34</v>
      </c>
      <c r="B15" s="4"/>
      <c r="C15" s="4"/>
      <c r="D15" s="4"/>
      <c r="E15" s="4"/>
      <c r="F15" s="4"/>
      <c r="G15" s="4"/>
    </row>
    <row r="16" spans="1:7" x14ac:dyDescent="0.25">
      <c r="A16" t="s">
        <v>7</v>
      </c>
      <c r="B16" s="50">
        <f>CashSls1Q</f>
        <v>600000</v>
      </c>
      <c r="C16" s="50">
        <f>CashSls2Q</f>
        <v>864000</v>
      </c>
      <c r="D16" s="50">
        <f>CashSls3Q</f>
        <v>1159200</v>
      </c>
      <c r="E16" s="50">
        <f>CashSls4Q</f>
        <v>1512000</v>
      </c>
      <c r="F16" s="53"/>
      <c r="G16" s="50">
        <f>SUM(B16:E16)</f>
        <v>4135200</v>
      </c>
    </row>
    <row r="17" spans="1:7" x14ac:dyDescent="0.25">
      <c r="A17" s="7" t="s">
        <v>8</v>
      </c>
      <c r="B17" s="5">
        <f>((DaysQtr1Q-DSO1Q)/DaysQtr1Q)*CreditSls1Q+SubAR1Q</f>
        <v>266666.66666666663</v>
      </c>
      <c r="C17" s="5">
        <f>((DaysQtr2Q-DSO2Q)/DaysQtr2Q)*CreditSls2Q+SubAR2Q</f>
        <v>517333.33333333331</v>
      </c>
      <c r="D17" s="5">
        <f>((DaysQtr3Q-DSO3Q)/DaysQtr3Q)*CreditSls3Q+SubAR3Q</f>
        <v>707200</v>
      </c>
      <c r="E17" s="5">
        <f>((DaysQtr4Q-DSO4Q)/DaysQtr4Q)*CreditSls4Q+SubAR4Q</f>
        <v>929600</v>
      </c>
      <c r="F17" s="4"/>
      <c r="G17" s="5">
        <f>SUM(B17:E17)</f>
        <v>2420800</v>
      </c>
    </row>
    <row r="18" spans="1:7" x14ac:dyDescent="0.25">
      <c r="A18" s="8" t="s">
        <v>16</v>
      </c>
      <c r="B18" s="50">
        <f>SUM(B16:B17)</f>
        <v>866666.66666666663</v>
      </c>
      <c r="C18" s="50">
        <f>SUM(C16:C17)</f>
        <v>1381333.3333333333</v>
      </c>
      <c r="D18" s="50">
        <f>SUM(D16:D17)</f>
        <v>1866400</v>
      </c>
      <c r="E18" s="50">
        <f>SUM(E16:E17)</f>
        <v>2441600</v>
      </c>
      <c r="F18" s="53"/>
      <c r="G18" s="50">
        <f>SUM(G16:G17)</f>
        <v>6556000</v>
      </c>
    </row>
    <row r="19" spans="1:7" x14ac:dyDescent="0.25">
      <c r="A19" s="7"/>
      <c r="B19" s="4"/>
      <c r="C19" s="4"/>
      <c r="D19" s="4"/>
      <c r="E19" s="4"/>
      <c r="F19" s="4"/>
      <c r="G19" s="4"/>
    </row>
    <row r="20" spans="1:7" x14ac:dyDescent="0.25">
      <c r="A20" s="13" t="s">
        <v>46</v>
      </c>
      <c r="B20" s="4"/>
      <c r="C20" s="4"/>
      <c r="D20" s="4"/>
      <c r="E20" s="4"/>
      <c r="F20" s="4"/>
      <c r="G20" s="4"/>
    </row>
    <row r="21" spans="1:7" x14ac:dyDescent="0.25">
      <c r="A21" s="7" t="s">
        <v>9</v>
      </c>
      <c r="B21" s="50">
        <v>0</v>
      </c>
      <c r="C21" s="50">
        <f>EndAR1Q</f>
        <v>133333.33333333331</v>
      </c>
      <c r="D21" s="50">
        <f>EndAR2Q</f>
        <v>192000</v>
      </c>
      <c r="E21" s="55">
        <f>EndAR3Q</f>
        <v>257600</v>
      </c>
      <c r="F21" s="53"/>
      <c r="G21" s="50">
        <f>BegAR1Q</f>
        <v>0</v>
      </c>
    </row>
    <row r="22" spans="1:7" x14ac:dyDescent="0.25">
      <c r="A22" s="7" t="s">
        <v>10</v>
      </c>
      <c r="B22" s="3">
        <f>(DSO1Q/DaysQtr1Q)*CreditSls1Q</f>
        <v>133333.33333333331</v>
      </c>
      <c r="C22" s="3">
        <f>(DSO2Q/DaysQtr2Q)*CreditSls2Q</f>
        <v>192000</v>
      </c>
      <c r="D22" s="3">
        <f>(DSO3Q/DaysQtr3Q)*CreditSls3Q</f>
        <v>257600</v>
      </c>
      <c r="E22" s="3">
        <f>(DSO4Q/DaysQtr4Q)*CreditSls4Q</f>
        <v>336000</v>
      </c>
      <c r="F22" s="4"/>
      <c r="G22" s="3">
        <f>SUM(B22:E22)</f>
        <v>918933.33333333326</v>
      </c>
    </row>
    <row r="23" spans="1:7" x14ac:dyDescent="0.25">
      <c r="A23" s="7" t="s">
        <v>11</v>
      </c>
      <c r="B23" s="5">
        <v>0</v>
      </c>
      <c r="C23" s="5">
        <f>AddAR1Q</f>
        <v>133333.33333333331</v>
      </c>
      <c r="D23" s="5">
        <f>AddAR2Q</f>
        <v>192000</v>
      </c>
      <c r="E23" s="5">
        <f>AddAR3Q</f>
        <v>257600</v>
      </c>
      <c r="F23" s="4"/>
      <c r="G23" s="5">
        <f>SUM(B23:E23)</f>
        <v>582933.33333333326</v>
      </c>
    </row>
    <row r="24" spans="1:7" x14ac:dyDescent="0.25">
      <c r="A24" s="8" t="s">
        <v>17</v>
      </c>
      <c r="B24" s="50">
        <f>BegAR1Q+AddAR1Q-SubAR1Q</f>
        <v>133333.33333333331</v>
      </c>
      <c r="C24" s="50">
        <f>BegAR2Q+AddAR2Q-SubAR2Q</f>
        <v>192000</v>
      </c>
      <c r="D24" s="50">
        <f>BegAR3Q+AddAR3Q-SubAR3Q</f>
        <v>257600</v>
      </c>
      <c r="E24" s="50">
        <f>BegAR4Q+AddAR4Q-SubAR4Q</f>
        <v>336000</v>
      </c>
      <c r="F24" s="53"/>
      <c r="G24" s="50">
        <f>BegARX4+AddARX4-SubARX4</f>
        <v>336000</v>
      </c>
    </row>
  </sheetData>
  <mergeCells count="1">
    <mergeCell ref="B1:G1"/>
  </mergeCells>
  <phoneticPr fontId="2" type="noConversion"/>
  <pageMargins left="0.75" right="0.75" top="1" bottom="1" header="0.5" footer="0.5"/>
  <pageSetup scale="90" orientation="portrait" horizontalDpi="1200" verticalDpi="1200" r:id="rId1"/>
  <headerFooter alignWithMargins="0">
    <oddFooter>&amp;R&amp;F
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8"/>
  <sheetViews>
    <sheetView zoomScale="90" workbookViewId="0"/>
  </sheetViews>
  <sheetFormatPr defaultRowHeight="12.5" x14ac:dyDescent="0.25"/>
  <cols>
    <col min="1" max="1" width="31.26953125" bestFit="1" customWidth="1"/>
    <col min="2" max="5" width="10.54296875" bestFit="1" customWidth="1"/>
    <col min="6" max="6" width="1.4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ht="13" x14ac:dyDescent="0.3">
      <c r="A3" s="2" t="s">
        <v>38</v>
      </c>
    </row>
    <row r="4" spans="1:7" x14ac:dyDescent="0.25">
      <c r="A4" s="11" t="s">
        <v>28</v>
      </c>
    </row>
    <row r="5" spans="1:7" x14ac:dyDescent="0.25">
      <c r="A5" t="s">
        <v>29</v>
      </c>
      <c r="B5" s="50">
        <f>Units1Q*ScreenCPU1Q</f>
        <v>75000</v>
      </c>
      <c r="C5" s="50">
        <f>Units2Q*ScreenCPU2Q</f>
        <v>108000</v>
      </c>
      <c r="D5" s="50">
        <f>Units3Q*ScreenCPU3Q</f>
        <v>136500</v>
      </c>
      <c r="E5" s="50">
        <f>Units4Q*ScreenCPU4Q</f>
        <v>168000</v>
      </c>
      <c r="F5" s="53"/>
      <c r="G5" s="50">
        <f>SUM(B5:E5)</f>
        <v>487500</v>
      </c>
    </row>
    <row r="6" spans="1:7" x14ac:dyDescent="0.25">
      <c r="A6" s="7" t="s">
        <v>35</v>
      </c>
      <c r="B6" s="3">
        <f>Units1Q*CasingCPU1Q</f>
        <v>75000</v>
      </c>
      <c r="C6" s="3">
        <f>Units2Q*CasingCPU2Q</f>
        <v>108000</v>
      </c>
      <c r="D6" s="3">
        <f>Units3Q*CasingCPU3Q</f>
        <v>136500</v>
      </c>
      <c r="E6" s="3">
        <f>Units4Q*CasingCPU4Q</f>
        <v>168000</v>
      </c>
      <c r="F6" s="4"/>
      <c r="G6" s="3">
        <f>SUM(B6:E6)</f>
        <v>487500</v>
      </c>
    </row>
    <row r="7" spans="1:7" x14ac:dyDescent="0.25">
      <c r="A7" s="7" t="s">
        <v>36</v>
      </c>
      <c r="B7" s="5">
        <f>Units1Q*LaborCPU1Q</f>
        <v>50000</v>
      </c>
      <c r="C7" s="5">
        <f>Units2Q*LaborCPU2Q</f>
        <v>75000</v>
      </c>
      <c r="D7" s="5">
        <f>Units3Q*LaborCPU3Q</f>
        <v>100800</v>
      </c>
      <c r="E7" s="5">
        <f>Units4Q*LaborCPU4Q</f>
        <v>126000</v>
      </c>
      <c r="F7" s="4"/>
      <c r="G7" s="5">
        <f>SUM(B7:E7)</f>
        <v>351800</v>
      </c>
    </row>
    <row r="8" spans="1:7" x14ac:dyDescent="0.25">
      <c r="A8" s="8" t="s">
        <v>37</v>
      </c>
      <c r="B8" s="50">
        <f>SUM(B5:B7)</f>
        <v>200000</v>
      </c>
      <c r="C8" s="50">
        <f>SUM(C5:C7)</f>
        <v>291000</v>
      </c>
      <c r="D8" s="50">
        <f>SUM(D5:D7)</f>
        <v>373800</v>
      </c>
      <c r="E8" s="50">
        <f>SUM(E5:E7)</f>
        <v>462000</v>
      </c>
      <c r="F8" s="53"/>
      <c r="G8" s="50">
        <f>SUM(G5:G7)</f>
        <v>1326800</v>
      </c>
    </row>
  </sheetData>
  <mergeCells count="1">
    <mergeCell ref="B1:G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23"/>
  <sheetViews>
    <sheetView zoomScale="90" workbookViewId="0"/>
  </sheetViews>
  <sheetFormatPr defaultRowHeight="12.5" x14ac:dyDescent="0.25"/>
  <cols>
    <col min="1" max="1" width="34.81640625" bestFit="1" customWidth="1"/>
    <col min="2" max="5" width="11.453125" customWidth="1"/>
    <col min="6" max="6" width="1.4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ht="13" x14ac:dyDescent="0.3">
      <c r="A3" s="2" t="s">
        <v>39</v>
      </c>
    </row>
    <row r="4" spans="1:7" x14ac:dyDescent="0.25">
      <c r="A4" s="11" t="s">
        <v>40</v>
      </c>
    </row>
    <row r="5" spans="1:7" x14ac:dyDescent="0.25">
      <c r="A5" s="10" t="s">
        <v>18</v>
      </c>
      <c r="B5" s="50">
        <f>COGS2Q*(DaysInv1Q/DaysQtr1Q)</f>
        <v>64666.666666666664</v>
      </c>
      <c r="C5" s="50">
        <f>COGS3Q*(DaysInv2Q/DaysQtr2Q)</f>
        <v>83066.666666666657</v>
      </c>
      <c r="D5" s="50">
        <f>COGS4Q*(DaysInv3Q/DaysQtr3Q)</f>
        <v>102666.66666666666</v>
      </c>
      <c r="E5" s="50">
        <f>EndInv3Q</f>
        <v>102666.66666666666</v>
      </c>
      <c r="F5" s="53"/>
      <c r="G5" s="50">
        <f>EndInv4Q</f>
        <v>102666.66666666666</v>
      </c>
    </row>
    <row r="6" spans="1:7" x14ac:dyDescent="0.25">
      <c r="A6" s="10" t="s">
        <v>19</v>
      </c>
      <c r="B6" s="5">
        <f>COGS1Q</f>
        <v>200000</v>
      </c>
      <c r="C6" s="5">
        <f>COGS2Q</f>
        <v>291000</v>
      </c>
      <c r="D6" s="5">
        <f>COGS3Q</f>
        <v>373800</v>
      </c>
      <c r="E6" s="5">
        <f>COGS4Q</f>
        <v>462000</v>
      </c>
      <c r="F6" s="4"/>
      <c r="G6" s="5">
        <f>SUM(B6:E6)</f>
        <v>1326800</v>
      </c>
    </row>
    <row r="7" spans="1:7" x14ac:dyDescent="0.25">
      <c r="A7" s="10" t="s">
        <v>41</v>
      </c>
      <c r="B7" s="50">
        <f>EndInv1Q+B6</f>
        <v>264666.66666666669</v>
      </c>
      <c r="C7" s="50">
        <f>EndInv2Q+C6</f>
        <v>374066.66666666663</v>
      </c>
      <c r="D7" s="50">
        <f>EndInv3Q+D6</f>
        <v>476466.66666666663</v>
      </c>
      <c r="E7" s="50">
        <f>EndInv4Q+E6</f>
        <v>564666.66666666663</v>
      </c>
      <c r="F7" s="53"/>
      <c r="G7" s="50">
        <f>EndInvX4+G6</f>
        <v>1429466.6666666667</v>
      </c>
    </row>
    <row r="8" spans="1:7" x14ac:dyDescent="0.25">
      <c r="A8" s="10"/>
      <c r="B8" s="14"/>
      <c r="C8" s="14"/>
      <c r="D8" s="14"/>
      <c r="E8" s="14"/>
      <c r="F8" s="14"/>
      <c r="G8" s="14"/>
    </row>
    <row r="9" spans="1:7" ht="13" x14ac:dyDescent="0.3">
      <c r="A9" s="16" t="s">
        <v>45</v>
      </c>
      <c r="B9" s="14"/>
      <c r="C9" s="14"/>
      <c r="D9" s="14"/>
      <c r="E9" s="14"/>
      <c r="F9" s="14"/>
      <c r="G9" s="14"/>
    </row>
    <row r="10" spans="1:7" x14ac:dyDescent="0.25">
      <c r="A10" s="15" t="s">
        <v>42</v>
      </c>
      <c r="B10" s="14"/>
      <c r="C10" s="14"/>
      <c r="D10" s="14"/>
      <c r="E10" s="14"/>
      <c r="F10" s="14"/>
      <c r="G10" s="14"/>
    </row>
    <row r="11" spans="1:7" x14ac:dyDescent="0.25">
      <c r="A11" s="10" t="s">
        <v>43</v>
      </c>
      <c r="B11" s="50">
        <f>InvNeed1Q</f>
        <v>264666.66666666669</v>
      </c>
      <c r="C11" s="50">
        <f>InvNeed2Q</f>
        <v>374066.66666666663</v>
      </c>
      <c r="D11" s="50">
        <f>InvNeed3Q</f>
        <v>476466.66666666663</v>
      </c>
      <c r="E11" s="50">
        <f>InvNeed4Q</f>
        <v>564666.66666666663</v>
      </c>
      <c r="F11" s="59"/>
      <c r="G11" s="52" t="s">
        <v>194</v>
      </c>
    </row>
    <row r="12" spans="1:7" x14ac:dyDescent="0.25">
      <c r="A12" s="10" t="s">
        <v>20</v>
      </c>
      <c r="B12" s="5">
        <v>0</v>
      </c>
      <c r="C12" s="5">
        <f>EndInv1Q</f>
        <v>64666.666666666664</v>
      </c>
      <c r="D12" s="5">
        <f>EndInv2Q</f>
        <v>83066.666666666657</v>
      </c>
      <c r="E12" s="5">
        <f>EndInv3Q</f>
        <v>102666.66666666666</v>
      </c>
      <c r="F12" s="4"/>
      <c r="G12" s="5">
        <f>B12</f>
        <v>0</v>
      </c>
    </row>
    <row r="13" spans="1:7" x14ac:dyDescent="0.25">
      <c r="A13" s="8" t="s">
        <v>21</v>
      </c>
      <c r="B13" s="50">
        <f>B11-B12</f>
        <v>264666.66666666669</v>
      </c>
      <c r="C13" s="50">
        <f>C11-C12</f>
        <v>309399.99999999994</v>
      </c>
      <c r="D13" s="50">
        <f>D11-D12</f>
        <v>393400</v>
      </c>
      <c r="E13" s="50">
        <f>E11-E12</f>
        <v>462000</v>
      </c>
      <c r="F13" s="53"/>
      <c r="G13" s="52" t="s">
        <v>194</v>
      </c>
    </row>
    <row r="14" spans="1:7" x14ac:dyDescent="0.25">
      <c r="B14" s="4"/>
      <c r="C14" s="4"/>
      <c r="D14" s="4"/>
      <c r="E14" s="4"/>
      <c r="F14" s="4"/>
      <c r="G14" s="4"/>
    </row>
    <row r="15" spans="1:7" x14ac:dyDescent="0.25">
      <c r="A15" s="11" t="s">
        <v>44</v>
      </c>
      <c r="B15" s="4"/>
      <c r="C15" s="4"/>
      <c r="D15" s="4"/>
      <c r="E15" s="4"/>
      <c r="F15" s="4"/>
      <c r="G15" s="4"/>
    </row>
    <row r="16" spans="1:7" x14ac:dyDescent="0.25">
      <c r="A16" t="s">
        <v>22</v>
      </c>
      <c r="B16" s="49">
        <f>((DaysQtr1Q-DaysPay1Q)/DaysQtr1Q)*Purch1Q+SubAP1Q</f>
        <v>176444.44444444444</v>
      </c>
      <c r="C16" s="49">
        <f>((DaysQtr2Q-DaysPay2Q)/DaysQtr2Q)*Purch2Q+SubAP2Q</f>
        <v>294488.88888888888</v>
      </c>
      <c r="D16" s="49">
        <f>((DaysQtr3Q-DaysPay3Q)/DaysQtr3Q)*Purch3Q+SubAP3Q</f>
        <v>365399.99999999994</v>
      </c>
      <c r="E16" s="49">
        <f>((DaysQtr4Q-DaysPay4Q)/DaysQtr4Q)*Purch4Q+SubAP4Q</f>
        <v>439133.33333333331</v>
      </c>
      <c r="F16" s="53"/>
      <c r="G16" s="49">
        <f>SUM(B16:E16)</f>
        <v>1275466.6666666665</v>
      </c>
    </row>
    <row r="17" spans="1:7" x14ac:dyDescent="0.25">
      <c r="A17" s="6" t="s">
        <v>23</v>
      </c>
      <c r="B17" s="50">
        <f>Payment1Q</f>
        <v>176444.44444444444</v>
      </c>
      <c r="C17" s="50">
        <f>Payment2Q</f>
        <v>294488.88888888888</v>
      </c>
      <c r="D17" s="50">
        <f>Payment3Q</f>
        <v>365399.99999999994</v>
      </c>
      <c r="E17" s="50">
        <f>Payment4Q</f>
        <v>439133.33333333331</v>
      </c>
      <c r="F17" s="53"/>
      <c r="G17" s="50">
        <f>PaymentX4</f>
        <v>1275466.6666666665</v>
      </c>
    </row>
    <row r="18" spans="1:7" x14ac:dyDescent="0.25">
      <c r="B18" s="4"/>
      <c r="C18" s="4"/>
      <c r="D18" s="4"/>
      <c r="E18" s="4"/>
      <c r="F18" s="4"/>
      <c r="G18" s="4"/>
    </row>
    <row r="19" spans="1:7" x14ac:dyDescent="0.25">
      <c r="A19" s="12" t="s">
        <v>47</v>
      </c>
      <c r="B19" s="4"/>
      <c r="C19" s="4"/>
      <c r="D19" s="4"/>
      <c r="E19" s="4"/>
      <c r="F19" s="4"/>
      <c r="G19" s="4"/>
    </row>
    <row r="20" spans="1:7" x14ac:dyDescent="0.25">
      <c r="A20" t="s">
        <v>24</v>
      </c>
      <c r="B20" s="50">
        <v>0</v>
      </c>
      <c r="C20" s="50">
        <f>EndAP1Q</f>
        <v>88222.222222222219</v>
      </c>
      <c r="D20" s="50">
        <f>EndAP2Q</f>
        <v>103133.33333333331</v>
      </c>
      <c r="E20" s="50">
        <f>EndAP3Q</f>
        <v>131133.33333333331</v>
      </c>
      <c r="F20" s="53"/>
      <c r="G20" s="50">
        <f>BegAP1Q</f>
        <v>0</v>
      </c>
    </row>
    <row r="21" spans="1:7" x14ac:dyDescent="0.25">
      <c r="A21" s="7" t="s">
        <v>25</v>
      </c>
      <c r="B21" s="3">
        <f>(DaysPay1Q/DaysQtr1Q)*Purch1Q</f>
        <v>88222.222222222219</v>
      </c>
      <c r="C21" s="3">
        <f>(DaysPay2Q/DaysQtr2Q)*Purch2Q</f>
        <v>103133.33333333331</v>
      </c>
      <c r="D21" s="3">
        <f>(DaysPay3Q/DaysQtr3Q)*Purch3Q</f>
        <v>131133.33333333331</v>
      </c>
      <c r="E21" s="3">
        <f>(DaysPay4Q/DaysQtr4Q)*Purch4Q</f>
        <v>154000</v>
      </c>
      <c r="F21" s="4"/>
      <c r="G21" s="3">
        <f>SUM(B21:E21)</f>
        <v>476488.88888888888</v>
      </c>
    </row>
    <row r="22" spans="1:7" x14ac:dyDescent="0.25">
      <c r="A22" s="7" t="s">
        <v>26</v>
      </c>
      <c r="B22" s="5">
        <v>0</v>
      </c>
      <c r="C22" s="5">
        <f>AddAP1Q</f>
        <v>88222.222222222219</v>
      </c>
      <c r="D22" s="5">
        <f>AddAP2Q</f>
        <v>103133.33333333331</v>
      </c>
      <c r="E22" s="5">
        <f>AddAP3Q</f>
        <v>131133.33333333331</v>
      </c>
      <c r="F22" s="4"/>
      <c r="G22" s="5">
        <f>SUM(B22:E22)</f>
        <v>322488.88888888888</v>
      </c>
    </row>
    <row r="23" spans="1:7" x14ac:dyDescent="0.25">
      <c r="A23" s="6" t="s">
        <v>27</v>
      </c>
      <c r="B23" s="50">
        <f>BegAP1Q+AddAP1Q-SubAP1Q</f>
        <v>88222.222222222219</v>
      </c>
      <c r="C23" s="50">
        <f>BegAP2Q+AddAP2Q-SubAP2Q</f>
        <v>103133.33333333331</v>
      </c>
      <c r="D23" s="50">
        <f>BegAP3Q+AddAP3Q-SubAP3Q</f>
        <v>131133.33333333331</v>
      </c>
      <c r="E23" s="50">
        <f>BegAP4Q+AddAP4Q-SubAP4Q</f>
        <v>154000</v>
      </c>
      <c r="F23" s="53"/>
      <c r="G23" s="50">
        <f>BegAPX4+AddAPX4-SubAPX4</f>
        <v>154000</v>
      </c>
    </row>
  </sheetData>
  <mergeCells count="1">
    <mergeCell ref="B1:G1"/>
  </mergeCells>
  <phoneticPr fontId="2" type="noConversion"/>
  <pageMargins left="0.75" right="0.75" top="1" bottom="1" header="0.5" footer="0.5"/>
  <pageSetup scale="97" orientation="portrait" horizontalDpi="1200" verticalDpi="1200" r:id="rId1"/>
  <headerFooter alignWithMargins="0">
    <oddFooter>&amp;R&amp;F
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G27"/>
  <sheetViews>
    <sheetView topLeftCell="A4" zoomScale="107" workbookViewId="0">
      <selection activeCell="E15" sqref="E15"/>
    </sheetView>
  </sheetViews>
  <sheetFormatPr defaultRowHeight="12.5" x14ac:dyDescent="0.25"/>
  <cols>
    <col min="1" max="1" width="27.1796875" bestFit="1" customWidth="1"/>
    <col min="2" max="5" width="10.54296875" bestFit="1" customWidth="1"/>
    <col min="6" max="6" width="1.4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ht="13" x14ac:dyDescent="0.3">
      <c r="A3" s="2" t="s">
        <v>206</v>
      </c>
    </row>
    <row r="4" spans="1:7" x14ac:dyDescent="0.25">
      <c r="A4" s="12" t="s">
        <v>207</v>
      </c>
    </row>
    <row r="5" spans="1:7" x14ac:dyDescent="0.25">
      <c r="A5" t="s">
        <v>209</v>
      </c>
    </row>
    <row r="6" spans="1:7" x14ac:dyDescent="0.25">
      <c r="A6" s="6" t="s">
        <v>210</v>
      </c>
      <c r="B6" s="19">
        <f>NoCEO1Q</f>
        <v>1</v>
      </c>
      <c r="C6" s="19">
        <f>NoCEO2Q</f>
        <v>1</v>
      </c>
      <c r="D6" s="19">
        <f>NoCEO3Q</f>
        <v>1</v>
      </c>
      <c r="E6" s="19">
        <f>NoCEO4Q</f>
        <v>1</v>
      </c>
      <c r="F6" s="18"/>
    </row>
    <row r="7" spans="1:7" x14ac:dyDescent="0.25">
      <c r="A7" s="6" t="s">
        <v>211</v>
      </c>
      <c r="B7" s="19">
        <f>NoCFO1Q</f>
        <v>1</v>
      </c>
      <c r="C7" s="19">
        <f>NoCFO2Q</f>
        <v>1</v>
      </c>
      <c r="D7" s="19">
        <f>NoCFO3Q</f>
        <v>1</v>
      </c>
      <c r="E7" s="19">
        <f>NoCFO4Q</f>
        <v>1</v>
      </c>
      <c r="F7" s="18"/>
    </row>
    <row r="8" spans="1:7" x14ac:dyDescent="0.25">
      <c r="A8" s="6" t="s">
        <v>212</v>
      </c>
      <c r="B8" s="19">
        <f>NoVPE1Q</f>
        <v>1</v>
      </c>
      <c r="C8" s="19">
        <f>NoVPE2Q</f>
        <v>1</v>
      </c>
      <c r="D8" s="19">
        <f>NoVPE3Q</f>
        <v>1</v>
      </c>
      <c r="E8" s="19">
        <f>NoVPE4Q</f>
        <v>1</v>
      </c>
      <c r="F8" s="18"/>
    </row>
    <row r="9" spans="1:7" x14ac:dyDescent="0.25">
      <c r="A9" s="6" t="s">
        <v>213</v>
      </c>
      <c r="B9" s="19">
        <f>NoVPSM1Q</f>
        <v>1</v>
      </c>
      <c r="C9" s="19">
        <f>NoVPSM2Q</f>
        <v>1</v>
      </c>
      <c r="D9" s="19">
        <f>NoVPSM3Q</f>
        <v>1</v>
      </c>
      <c r="E9" s="19">
        <f>NoVPSM4Q</f>
        <v>1</v>
      </c>
      <c r="F9" s="18"/>
    </row>
    <row r="10" spans="1:7" x14ac:dyDescent="0.25">
      <c r="A10" s="6" t="s">
        <v>214</v>
      </c>
      <c r="B10" s="19">
        <f>NoVPBD1Q</f>
        <v>0</v>
      </c>
      <c r="C10" s="19">
        <f>NoVPBD2Q</f>
        <v>0</v>
      </c>
      <c r="D10" s="19">
        <f>NoVPBD3Q</f>
        <v>1</v>
      </c>
      <c r="E10" s="19">
        <f>NoVPBD4Q</f>
        <v>1</v>
      </c>
      <c r="F10" s="18"/>
    </row>
    <row r="11" spans="1:7" x14ac:dyDescent="0.25">
      <c r="A11" s="6" t="s">
        <v>215</v>
      </c>
      <c r="B11" s="19">
        <f>NoSP1Q</f>
        <v>5</v>
      </c>
      <c r="C11" s="19">
        <f>NoSP2Q</f>
        <v>5</v>
      </c>
      <c r="D11" s="19">
        <f>NoSP3Q</f>
        <v>7</v>
      </c>
      <c r="E11" s="19">
        <f>NoSP4Q</f>
        <v>8</v>
      </c>
      <c r="F11" s="18"/>
    </row>
    <row r="12" spans="1:7" x14ac:dyDescent="0.25">
      <c r="A12" s="6" t="s">
        <v>220</v>
      </c>
      <c r="B12" s="19">
        <f>NoHE1Q</f>
        <v>2</v>
      </c>
      <c r="C12" s="19">
        <f>NoHE2Q</f>
        <v>2</v>
      </c>
      <c r="D12" s="19">
        <f>NoHE3Q</f>
        <v>4</v>
      </c>
      <c r="E12" s="19">
        <f>NoHE4Q</f>
        <v>4</v>
      </c>
      <c r="F12" s="18"/>
    </row>
    <row r="13" spans="1:7" x14ac:dyDescent="0.25">
      <c r="A13" s="6" t="s">
        <v>216</v>
      </c>
      <c r="B13" s="19">
        <f>NoCA1Q</f>
        <v>1</v>
      </c>
      <c r="C13" s="19">
        <f>NoCA2Q</f>
        <v>1</v>
      </c>
      <c r="D13" s="19">
        <f>NoCA3Q</f>
        <v>2</v>
      </c>
      <c r="E13" s="19">
        <f>NoCA4Q</f>
        <v>2</v>
      </c>
      <c r="F13" s="18"/>
    </row>
    <row r="14" spans="1:7" x14ac:dyDescent="0.25">
      <c r="A14" s="6" t="s">
        <v>217</v>
      </c>
      <c r="B14" s="20">
        <f>NoAA1Q</f>
        <v>3</v>
      </c>
      <c r="C14" s="20">
        <f>NoAA2Q</f>
        <v>3</v>
      </c>
      <c r="D14" s="20">
        <f>NoAA3Q</f>
        <v>4</v>
      </c>
      <c r="E14" s="20">
        <f>NoAA4Q</f>
        <v>4</v>
      </c>
      <c r="F14" s="18"/>
    </row>
    <row r="15" spans="1:7" x14ac:dyDescent="0.25">
      <c r="A15" s="17" t="s">
        <v>172</v>
      </c>
      <c r="B15" s="19">
        <f>NoEmp1Q</f>
        <v>15</v>
      </c>
      <c r="C15" s="19">
        <f>NoEmp2Q</f>
        <v>15</v>
      </c>
      <c r="D15" s="19">
        <f>NoEmp3Q</f>
        <v>22</v>
      </c>
      <c r="E15" s="19">
        <f>NoEmp4Q</f>
        <v>23</v>
      </c>
      <c r="F15" s="18"/>
    </row>
    <row r="17" spans="1:7" x14ac:dyDescent="0.25">
      <c r="A17" s="32" t="s">
        <v>218</v>
      </c>
    </row>
    <row r="18" spans="1:7" x14ac:dyDescent="0.25">
      <c r="A18" s="6" t="s">
        <v>210</v>
      </c>
      <c r="B18" s="62">
        <f>SalCEOX4/4</f>
        <v>50000</v>
      </c>
      <c r="C18" s="62">
        <f>SalCEOX4/4</f>
        <v>50000</v>
      </c>
      <c r="D18" s="62">
        <f>SalCEOX4/4</f>
        <v>50000</v>
      </c>
      <c r="E18" s="62">
        <f>SalCEOX4/4</f>
        <v>50000</v>
      </c>
      <c r="F18" s="63"/>
      <c r="G18" s="62">
        <f>SalCEOX4</f>
        <v>200000</v>
      </c>
    </row>
    <row r="19" spans="1:7" x14ac:dyDescent="0.25">
      <c r="A19" s="6" t="s">
        <v>211</v>
      </c>
      <c r="B19" s="19">
        <f>SalCFOX4/4</f>
        <v>43750</v>
      </c>
      <c r="C19" s="19">
        <f>SalCFOX4/4</f>
        <v>43750</v>
      </c>
      <c r="D19" s="19">
        <f>SalCFOX4/4</f>
        <v>43750</v>
      </c>
      <c r="E19" s="19">
        <f>SalCFOX4/4</f>
        <v>43750</v>
      </c>
      <c r="F19" s="63"/>
      <c r="G19" s="19">
        <f>SalCFOX4</f>
        <v>175000</v>
      </c>
    </row>
    <row r="20" spans="1:7" x14ac:dyDescent="0.25">
      <c r="A20" s="6" t="s">
        <v>212</v>
      </c>
      <c r="B20" s="19">
        <f>SalVPEX4/4</f>
        <v>43750</v>
      </c>
      <c r="C20" s="19">
        <f>SalVPEX4/4</f>
        <v>43750</v>
      </c>
      <c r="D20" s="19">
        <f>SalVPEX4/4</f>
        <v>43750</v>
      </c>
      <c r="E20" s="19">
        <f>SalVPEX4/4</f>
        <v>43750</v>
      </c>
      <c r="F20" s="63"/>
      <c r="G20" s="19">
        <f>SalVPEX4</f>
        <v>175000</v>
      </c>
    </row>
    <row r="21" spans="1:7" x14ac:dyDescent="0.25">
      <c r="A21" s="6" t="s">
        <v>213</v>
      </c>
      <c r="B21" s="19">
        <f>SalVPSMX4/4</f>
        <v>37500</v>
      </c>
      <c r="C21" s="19">
        <f>SalVPSMX4/4</f>
        <v>37500</v>
      </c>
      <c r="D21" s="19">
        <f>SalVPSMX4/4</f>
        <v>37500</v>
      </c>
      <c r="E21" s="19">
        <f>SalVPSMX4/4</f>
        <v>37500</v>
      </c>
      <c r="F21" s="63"/>
      <c r="G21" s="19">
        <f>SalVPSMX4</f>
        <v>150000</v>
      </c>
    </row>
    <row r="22" spans="1:7" x14ac:dyDescent="0.25">
      <c r="A22" s="6" t="s">
        <v>214</v>
      </c>
      <c r="B22" s="19">
        <f>SalVPBDX4/4</f>
        <v>35000</v>
      </c>
      <c r="C22" s="19">
        <f>SalVPBDX4/4</f>
        <v>35000</v>
      </c>
      <c r="D22" s="19">
        <f>SalVPBDX4/4</f>
        <v>35000</v>
      </c>
      <c r="E22" s="19">
        <f>SalVPBDX4/4</f>
        <v>35000</v>
      </c>
      <c r="F22" s="63"/>
      <c r="G22" s="19">
        <f>SalVPBDX4</f>
        <v>140000</v>
      </c>
    </row>
    <row r="23" spans="1:7" x14ac:dyDescent="0.25">
      <c r="A23" s="6" t="s">
        <v>215</v>
      </c>
      <c r="B23" s="19">
        <f>SalSPX4/4</f>
        <v>30000</v>
      </c>
      <c r="C23" s="19">
        <f>SalSPX4/4</f>
        <v>30000</v>
      </c>
      <c r="D23" s="19">
        <f>SalSPX4/4</f>
        <v>30000</v>
      </c>
      <c r="E23" s="19">
        <f>SalSPX4/4</f>
        <v>30000</v>
      </c>
      <c r="F23" s="63"/>
      <c r="G23" s="19">
        <f>SalSPX4</f>
        <v>120000</v>
      </c>
    </row>
    <row r="24" spans="1:7" x14ac:dyDescent="0.25">
      <c r="A24" s="6" t="s">
        <v>220</v>
      </c>
      <c r="B24" s="19">
        <f>SalHEX4/4</f>
        <v>27500</v>
      </c>
      <c r="C24" s="19">
        <f>SalHEX4/4</f>
        <v>27500</v>
      </c>
      <c r="D24" s="19">
        <f>SalHEX4/4</f>
        <v>27500</v>
      </c>
      <c r="E24" s="19">
        <f>SalHEX4/4</f>
        <v>27500</v>
      </c>
      <c r="F24" s="63"/>
      <c r="G24" s="19">
        <f>SalHEX4</f>
        <v>110000</v>
      </c>
    </row>
    <row r="25" spans="1:7" x14ac:dyDescent="0.25">
      <c r="A25" s="6" t="s">
        <v>216</v>
      </c>
      <c r="B25" s="19">
        <f>SalCAX4/4</f>
        <v>13750</v>
      </c>
      <c r="C25" s="19">
        <f>SalCAX4/4</f>
        <v>13750</v>
      </c>
      <c r="D25" s="19">
        <f>SalCAX4/4</f>
        <v>13750</v>
      </c>
      <c r="E25" s="19">
        <f>SalCAX4/4</f>
        <v>13750</v>
      </c>
      <c r="F25" s="63"/>
      <c r="G25" s="19">
        <f>SalCAX4</f>
        <v>55000</v>
      </c>
    </row>
    <row r="26" spans="1:7" x14ac:dyDescent="0.25">
      <c r="A26" s="6" t="s">
        <v>217</v>
      </c>
      <c r="B26" s="20">
        <f>SalAAX4/4</f>
        <v>8750</v>
      </c>
      <c r="C26" s="20">
        <f>SalAAX4/4</f>
        <v>8750</v>
      </c>
      <c r="D26" s="20">
        <f>SalAAX4/4</f>
        <v>8750</v>
      </c>
      <c r="E26" s="20">
        <f>SalAAX4/4</f>
        <v>8750</v>
      </c>
      <c r="F26" s="63"/>
      <c r="G26" s="20">
        <f>SalAAX4</f>
        <v>35000</v>
      </c>
    </row>
    <row r="27" spans="1:7" x14ac:dyDescent="0.25">
      <c r="A27" s="17" t="s">
        <v>172</v>
      </c>
      <c r="B27" s="62">
        <f>SUM(B18:B26)</f>
        <v>290000</v>
      </c>
      <c r="C27" s="62">
        <f>SUM(C18:C26)</f>
        <v>290000</v>
      </c>
      <c r="D27" s="62">
        <f>SUM(D18:D26)</f>
        <v>290000</v>
      </c>
      <c r="E27" s="62">
        <f>SUM(E18:E26)</f>
        <v>290000</v>
      </c>
      <c r="F27" s="63"/>
      <c r="G27" s="62">
        <f>SUM(B27:E27)</f>
        <v>1160000</v>
      </c>
    </row>
  </sheetData>
  <mergeCells count="1">
    <mergeCell ref="B1:G1"/>
  </mergeCells>
  <phoneticPr fontId="2" type="noConversion"/>
  <pageMargins left="0.75" right="0.75" top="1" bottom="1" header="0.5" footer="0.5"/>
  <pageSetup orientation="portrait" r:id="rId1"/>
  <headerFooter alignWithMargins="0">
    <oddFooter>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G17"/>
  <sheetViews>
    <sheetView zoomScale="90" workbookViewId="0"/>
  </sheetViews>
  <sheetFormatPr defaultRowHeight="12.5" x14ac:dyDescent="0.25"/>
  <cols>
    <col min="1" max="1" width="28.7265625" bestFit="1" customWidth="1"/>
    <col min="2" max="5" width="10.54296875" bestFit="1" customWidth="1"/>
    <col min="6" max="6" width="1.4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ht="13" x14ac:dyDescent="0.3">
      <c r="A3" s="2" t="s">
        <v>206</v>
      </c>
    </row>
    <row r="4" spans="1:7" x14ac:dyDescent="0.25">
      <c r="A4" s="12" t="s">
        <v>207</v>
      </c>
    </row>
    <row r="5" spans="1:7" x14ac:dyDescent="0.25">
      <c r="A5" t="s">
        <v>225</v>
      </c>
    </row>
    <row r="6" spans="1:7" x14ac:dyDescent="0.25">
      <c r="A6" s="6" t="s">
        <v>210</v>
      </c>
      <c r="B6" s="62">
        <f>NoCEO1Q*SalCEO1Q</f>
        <v>50000</v>
      </c>
      <c r="C6" s="62">
        <f>NoCEO2Q*SalCEO2Q</f>
        <v>50000</v>
      </c>
      <c r="D6" s="62">
        <f>NoCEO3Q*SalCEO3Q</f>
        <v>50000</v>
      </c>
      <c r="E6" s="62">
        <f>NoCEO4Q*SalCEO4Q</f>
        <v>50000</v>
      </c>
      <c r="F6" s="63"/>
      <c r="G6" s="62">
        <f t="shared" ref="G6:G14" si="0">SUM(B6:E6)</f>
        <v>200000</v>
      </c>
    </row>
    <row r="7" spans="1:7" x14ac:dyDescent="0.25">
      <c r="A7" s="6" t="s">
        <v>211</v>
      </c>
      <c r="B7" s="19">
        <f>NoCFO1Q*SalCFO1Q</f>
        <v>43750</v>
      </c>
      <c r="C7" s="19">
        <f>NoCFO2Q*SalCFO2Q</f>
        <v>43750</v>
      </c>
      <c r="D7" s="19">
        <f>NoCFO3Q*SalCFO3Q</f>
        <v>43750</v>
      </c>
      <c r="E7" s="19">
        <f>NoCFO4Q*SalCFO4Q</f>
        <v>43750</v>
      </c>
      <c r="F7" s="63"/>
      <c r="G7" s="19">
        <f t="shared" si="0"/>
        <v>175000</v>
      </c>
    </row>
    <row r="8" spans="1:7" x14ac:dyDescent="0.25">
      <c r="A8" s="6" t="s">
        <v>212</v>
      </c>
      <c r="B8" s="19">
        <f>NoVPE1Q*SalVPE1Q</f>
        <v>43750</v>
      </c>
      <c r="C8" s="19">
        <f>NoVPE2Q*SalVPE2Q</f>
        <v>43750</v>
      </c>
      <c r="D8" s="19">
        <f>NoVPE3Q*SalVPE3Q</f>
        <v>43750</v>
      </c>
      <c r="E8" s="19">
        <f>NoVPE4Q*SalVPE4Q</f>
        <v>43750</v>
      </c>
      <c r="F8" s="63"/>
      <c r="G8" s="19">
        <f t="shared" si="0"/>
        <v>175000</v>
      </c>
    </row>
    <row r="9" spans="1:7" x14ac:dyDescent="0.25">
      <c r="A9" s="6" t="s">
        <v>213</v>
      </c>
      <c r="B9" s="19">
        <f>NoVPSM1Q*SalVPSM1Q</f>
        <v>37500</v>
      </c>
      <c r="C9" s="19">
        <f>NoVPSM2Q*SalVPSM2Q</f>
        <v>37500</v>
      </c>
      <c r="D9" s="19">
        <f>NoVPSM3Q*SalVPSM3Q</f>
        <v>37500</v>
      </c>
      <c r="E9" s="19">
        <f>NoVPSM4Q*SalVPSM4Q</f>
        <v>37500</v>
      </c>
      <c r="F9" s="63"/>
      <c r="G9" s="19">
        <f t="shared" si="0"/>
        <v>150000</v>
      </c>
    </row>
    <row r="10" spans="1:7" x14ac:dyDescent="0.25">
      <c r="A10" s="6" t="s">
        <v>214</v>
      </c>
      <c r="B10" s="19">
        <f>NoVPBD1Q*SalVPBD1Q</f>
        <v>0</v>
      </c>
      <c r="C10" s="19">
        <f>NoVPBD2Q*SalVPBD2Q</f>
        <v>0</v>
      </c>
      <c r="D10" s="19">
        <f>NoVPBD3Q*SalVPBD3Q</f>
        <v>35000</v>
      </c>
      <c r="E10" s="19">
        <f>NoVPBD4Q*SalVPBD4Q</f>
        <v>35000</v>
      </c>
      <c r="F10" s="63"/>
      <c r="G10" s="19">
        <f t="shared" si="0"/>
        <v>70000</v>
      </c>
    </row>
    <row r="11" spans="1:7" x14ac:dyDescent="0.25">
      <c r="A11" s="6" t="s">
        <v>215</v>
      </c>
      <c r="B11" s="19">
        <f>NoSP1Q*SalSP1Q</f>
        <v>150000</v>
      </c>
      <c r="C11" s="19">
        <f>NoSP2Q*SalSP2Q</f>
        <v>150000</v>
      </c>
      <c r="D11" s="19">
        <f>NoSP3Q*SalSP3Q</f>
        <v>210000</v>
      </c>
      <c r="E11" s="19">
        <f>NoSP4Q*SalSP4Q</f>
        <v>240000</v>
      </c>
      <c r="F11" s="63"/>
      <c r="G11" s="19">
        <f t="shared" si="0"/>
        <v>750000</v>
      </c>
    </row>
    <row r="12" spans="1:7" x14ac:dyDescent="0.25">
      <c r="A12" s="6" t="s">
        <v>220</v>
      </c>
      <c r="B12" s="19">
        <f>NoHE1Q*SalHE1Q</f>
        <v>55000</v>
      </c>
      <c r="C12" s="19">
        <f>NoHE2Q*SalHE2Q</f>
        <v>55000</v>
      </c>
      <c r="D12" s="19">
        <f>NoHE3Q*SalHE3Q</f>
        <v>110000</v>
      </c>
      <c r="E12" s="19">
        <f>NoHE4Q*SalHE4Q</f>
        <v>110000</v>
      </c>
      <c r="F12" s="63"/>
      <c r="G12" s="19">
        <f t="shared" si="0"/>
        <v>330000</v>
      </c>
    </row>
    <row r="13" spans="1:7" x14ac:dyDescent="0.25">
      <c r="A13" s="6" t="s">
        <v>216</v>
      </c>
      <c r="B13" s="19">
        <f>NoCA1Q*SalCA1Q</f>
        <v>13750</v>
      </c>
      <c r="C13" s="19">
        <f>NoCA2Q*SalCA2Q</f>
        <v>13750</v>
      </c>
      <c r="D13" s="19">
        <f>NoCA3Q*SalCA3Q</f>
        <v>27500</v>
      </c>
      <c r="E13" s="19">
        <f>NoCA4Q*SalCA4Q</f>
        <v>27500</v>
      </c>
      <c r="F13" s="63"/>
      <c r="G13" s="19">
        <f t="shared" si="0"/>
        <v>82500</v>
      </c>
    </row>
    <row r="14" spans="1:7" x14ac:dyDescent="0.25">
      <c r="A14" s="6" t="s">
        <v>217</v>
      </c>
      <c r="B14" s="20">
        <f>NoAA1Q*SalAA1Q</f>
        <v>26250</v>
      </c>
      <c r="C14" s="20">
        <f>NoAA2Q*SalAA2Q</f>
        <v>26250</v>
      </c>
      <c r="D14" s="20">
        <f>NoAA3Q*SalAA3Q</f>
        <v>35000</v>
      </c>
      <c r="E14" s="20">
        <f>NoAA4Q*SalAA4Q</f>
        <v>35000</v>
      </c>
      <c r="F14" s="63"/>
      <c r="G14" s="20">
        <f t="shared" si="0"/>
        <v>122500</v>
      </c>
    </row>
    <row r="15" spans="1:7" x14ac:dyDescent="0.25">
      <c r="A15" s="17" t="s">
        <v>172</v>
      </c>
      <c r="B15" s="62">
        <f>SUM(B6:B14)</f>
        <v>420000</v>
      </c>
      <c r="C15" s="62">
        <f>SUM(C6:C14)</f>
        <v>420000</v>
      </c>
      <c r="D15" s="62">
        <f>SUM(D6:D14)</f>
        <v>592500</v>
      </c>
      <c r="E15" s="62">
        <f>SUM(E6:E14)</f>
        <v>622500</v>
      </c>
      <c r="F15" s="63"/>
      <c r="G15" s="62">
        <f>SUM(G6:G14)</f>
        <v>2055000</v>
      </c>
    </row>
    <row r="17" spans="1:7" x14ac:dyDescent="0.25">
      <c r="A17" s="17" t="s">
        <v>226</v>
      </c>
      <c r="B17" s="62">
        <f>BaseSal1Q*BeneFactor</f>
        <v>470400.00000000006</v>
      </c>
      <c r="C17" s="62">
        <f>BaseSal2Q*BeneFactor</f>
        <v>470400.00000000006</v>
      </c>
      <c r="D17" s="62">
        <f>BaseSal3Q*BeneFactor</f>
        <v>663600.00000000012</v>
      </c>
      <c r="E17" s="62">
        <f>BaseSal4Q*BeneFactor</f>
        <v>697200.00000000012</v>
      </c>
      <c r="F17" s="63"/>
      <c r="G17" s="62">
        <f>SUM(B17:E17)</f>
        <v>2301600.0000000005</v>
      </c>
    </row>
  </sheetData>
  <mergeCells count="1">
    <mergeCell ref="B1:G1"/>
  </mergeCells>
  <phoneticPr fontId="0" type="noConversion"/>
  <pageMargins left="0.75" right="0.75" top="1" bottom="1" header="0.5" footer="0.5"/>
  <pageSetup orientation="portrait" r:id="rId1"/>
  <headerFooter alignWithMargins="0">
    <oddFooter>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G19"/>
  <sheetViews>
    <sheetView zoomScale="90" workbookViewId="0">
      <selection activeCell="G34" sqref="G34"/>
    </sheetView>
  </sheetViews>
  <sheetFormatPr defaultRowHeight="12.5" x14ac:dyDescent="0.25"/>
  <cols>
    <col min="1" max="1" width="50.26953125" customWidth="1"/>
    <col min="2" max="2" width="13.26953125" bestFit="1" customWidth="1"/>
    <col min="3" max="4" width="10.54296875" bestFit="1" customWidth="1"/>
    <col min="5" max="5" width="12.1796875" bestFit="1" customWidth="1"/>
    <col min="6" max="6" width="1.453125" customWidth="1"/>
    <col min="7" max="7" width="12.17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ht="13" x14ac:dyDescent="0.3">
      <c r="A3" s="2" t="s">
        <v>55</v>
      </c>
    </row>
    <row r="4" spans="1:7" x14ac:dyDescent="0.25">
      <c r="A4" s="11" t="s">
        <v>57</v>
      </c>
    </row>
    <row r="5" spans="1:7" x14ac:dyDescent="0.25">
      <c r="A5" t="s">
        <v>48</v>
      </c>
      <c r="B5" s="50">
        <f>SalExp1Q</f>
        <v>470400.00000000006</v>
      </c>
      <c r="C5" s="50">
        <f>SalExp2Q</f>
        <v>470400.00000000006</v>
      </c>
      <c r="D5" s="50">
        <f>SalExp3Q</f>
        <v>663600.00000000012</v>
      </c>
      <c r="E5" s="50">
        <f>SalExp4Q</f>
        <v>697200.00000000012</v>
      </c>
      <c r="F5" s="53"/>
      <c r="G5" s="50">
        <f>SUM(B5:E5)</f>
        <v>2301600.0000000005</v>
      </c>
    </row>
    <row r="6" spans="1:7" x14ac:dyDescent="0.25">
      <c r="A6" t="s">
        <v>49</v>
      </c>
      <c r="B6" s="3">
        <f>Sales1Q*MiscPct1Q</f>
        <v>30000</v>
      </c>
      <c r="C6" s="3">
        <f>Sales2Q*MiscPct2Q</f>
        <v>43200</v>
      </c>
      <c r="D6" s="3">
        <f>Sales3Q*MiscPct3Q</f>
        <v>57960</v>
      </c>
      <c r="E6" s="3">
        <f>Sales4Q*MiscPct4Q</f>
        <v>75600</v>
      </c>
      <c r="F6" s="4"/>
      <c r="G6" s="3">
        <f>SUM(B6:E6)</f>
        <v>206760</v>
      </c>
    </row>
    <row r="7" spans="1:7" x14ac:dyDescent="0.25">
      <c r="A7" t="s">
        <v>50</v>
      </c>
      <c r="B7" s="3">
        <f>Sales1Q*RDPct1Q</f>
        <v>70000</v>
      </c>
      <c r="C7" s="3">
        <f>Sales2Q*RDPct2Q</f>
        <v>100800.00000000001</v>
      </c>
      <c r="D7" s="3">
        <f>Sales3Q*RDPct3Q</f>
        <v>154560</v>
      </c>
      <c r="E7" s="3">
        <f>Sales4Q*RDPct4Q</f>
        <v>201600</v>
      </c>
      <c r="F7" s="4"/>
      <c r="G7" s="3">
        <f>SUM(B7:E7)</f>
        <v>526960</v>
      </c>
    </row>
    <row r="8" spans="1:7" x14ac:dyDescent="0.25">
      <c r="A8" t="s">
        <v>51</v>
      </c>
      <c r="B8" s="3">
        <f>RentExp1Q</f>
        <v>20000</v>
      </c>
      <c r="C8" s="3">
        <f>RentExp2Q</f>
        <v>20000</v>
      </c>
      <c r="D8" s="3">
        <f>RentExp3Q</f>
        <v>20000</v>
      </c>
      <c r="E8" s="3">
        <f>RentExp4Q</f>
        <v>20000</v>
      </c>
      <c r="F8" s="4"/>
      <c r="G8" s="3">
        <f>SUM(B8:E8)</f>
        <v>80000</v>
      </c>
    </row>
    <row r="9" spans="1:7" x14ac:dyDescent="0.25">
      <c r="A9" t="s">
        <v>52</v>
      </c>
      <c r="B9" s="5">
        <f>Dep1Q</f>
        <v>2312.5</v>
      </c>
      <c r="C9" s="5">
        <f>Dep2Q</f>
        <v>4625</v>
      </c>
      <c r="D9" s="5">
        <f>Dep3Q</f>
        <v>6937.5</v>
      </c>
      <c r="E9" s="5">
        <f>Dep4Q</f>
        <v>9250</v>
      </c>
      <c r="F9" s="4"/>
      <c r="G9" s="5">
        <f>SUM(B9:E9)</f>
        <v>23125</v>
      </c>
    </row>
    <row r="10" spans="1:7" x14ac:dyDescent="0.25">
      <c r="A10" s="6" t="s">
        <v>53</v>
      </c>
      <c r="B10" s="50">
        <f>SUM(B5:B9)</f>
        <v>592712.5</v>
      </c>
      <c r="C10" s="50">
        <f>SUM(C5:C9)</f>
        <v>639025.00000000012</v>
      </c>
      <c r="D10" s="50">
        <f>SUM(D5:D9)</f>
        <v>903057.50000000012</v>
      </c>
      <c r="E10" s="50">
        <f>SUM(E5:E9)</f>
        <v>1003650.0000000001</v>
      </c>
      <c r="F10" s="53"/>
      <c r="G10" s="50">
        <f>SUM(G5:G9)</f>
        <v>3138445.0000000005</v>
      </c>
    </row>
    <row r="11" spans="1:7" x14ac:dyDescent="0.25">
      <c r="B11" s="4"/>
      <c r="C11" s="4"/>
      <c r="D11" s="4"/>
      <c r="E11" s="4"/>
      <c r="F11" s="4"/>
      <c r="G11" s="4"/>
    </row>
    <row r="12" spans="1:7" ht="13" x14ac:dyDescent="0.3">
      <c r="A12" s="2" t="s">
        <v>56</v>
      </c>
      <c r="B12" s="4"/>
      <c r="C12" s="4"/>
      <c r="D12" s="4"/>
      <c r="E12" s="4"/>
      <c r="F12" s="4"/>
      <c r="G12" s="4"/>
    </row>
    <row r="13" spans="1:7" x14ac:dyDescent="0.25">
      <c r="A13" s="11" t="s">
        <v>58</v>
      </c>
      <c r="B13" s="4"/>
      <c r="C13" s="4"/>
      <c r="D13" s="4"/>
      <c r="E13" s="4"/>
      <c r="F13" s="4"/>
      <c r="G13" s="4"/>
    </row>
    <row r="14" spans="1:7" x14ac:dyDescent="0.25">
      <c r="A14" t="s">
        <v>48</v>
      </c>
      <c r="B14" s="50">
        <f t="shared" ref="B14:E17" si="0">B5</f>
        <v>470400.00000000006</v>
      </c>
      <c r="C14" s="50">
        <f t="shared" si="0"/>
        <v>470400.00000000006</v>
      </c>
      <c r="D14" s="50">
        <f t="shared" si="0"/>
        <v>663600.00000000012</v>
      </c>
      <c r="E14" s="50">
        <f t="shared" si="0"/>
        <v>697200.00000000012</v>
      </c>
      <c r="F14" s="53"/>
      <c r="G14" s="50">
        <f>SUM(B14:E14)</f>
        <v>2301600.0000000005</v>
      </c>
    </row>
    <row r="15" spans="1:7" x14ac:dyDescent="0.25">
      <c r="A15" t="s">
        <v>49</v>
      </c>
      <c r="B15" s="3">
        <f t="shared" si="0"/>
        <v>30000</v>
      </c>
      <c r="C15" s="3">
        <f t="shared" si="0"/>
        <v>43200</v>
      </c>
      <c r="D15" s="3">
        <f t="shared" si="0"/>
        <v>57960</v>
      </c>
      <c r="E15" s="3">
        <f t="shared" si="0"/>
        <v>75600</v>
      </c>
      <c r="F15" s="4"/>
      <c r="G15" s="3">
        <f>SUM(B15:E15)</f>
        <v>206760</v>
      </c>
    </row>
    <row r="16" spans="1:7" x14ac:dyDescent="0.25">
      <c r="A16" t="s">
        <v>50</v>
      </c>
      <c r="B16" s="3">
        <f t="shared" si="0"/>
        <v>70000</v>
      </c>
      <c r="C16" s="3">
        <f t="shared" si="0"/>
        <v>100800.00000000001</v>
      </c>
      <c r="D16" s="3">
        <f t="shared" si="0"/>
        <v>154560</v>
      </c>
      <c r="E16" s="3">
        <f t="shared" si="0"/>
        <v>201600</v>
      </c>
      <c r="F16" s="4"/>
      <c r="G16" s="3">
        <f>SUM(B16:E16)</f>
        <v>526960</v>
      </c>
    </row>
    <row r="17" spans="1:7" x14ac:dyDescent="0.25">
      <c r="A17" t="s">
        <v>51</v>
      </c>
      <c r="B17" s="3">
        <f t="shared" si="0"/>
        <v>20000</v>
      </c>
      <c r="C17" s="3">
        <f t="shared" si="0"/>
        <v>20000</v>
      </c>
      <c r="D17" s="3">
        <f t="shared" si="0"/>
        <v>20000</v>
      </c>
      <c r="E17" s="3">
        <f t="shared" si="0"/>
        <v>20000</v>
      </c>
      <c r="F17" s="4"/>
      <c r="G17" s="3">
        <f>SUM(B17:E17)</f>
        <v>80000</v>
      </c>
    </row>
    <row r="18" spans="1:7" x14ac:dyDescent="0.25">
      <c r="A18" t="s">
        <v>52</v>
      </c>
      <c r="B18" s="5">
        <v>0</v>
      </c>
      <c r="C18" s="5">
        <v>0</v>
      </c>
      <c r="D18" s="5">
        <v>0</v>
      </c>
      <c r="E18" s="5">
        <v>0</v>
      </c>
      <c r="F18" s="4"/>
      <c r="G18" s="5">
        <f>SUM(B18:E18)</f>
        <v>0</v>
      </c>
    </row>
    <row r="19" spans="1:7" x14ac:dyDescent="0.25">
      <c r="A19" s="6" t="s">
        <v>54</v>
      </c>
      <c r="B19" s="50">
        <f>SUM(B14:B18)</f>
        <v>590400</v>
      </c>
      <c r="C19" s="50">
        <f>SUM(C14:C18)</f>
        <v>634400.00000000012</v>
      </c>
      <c r="D19" s="50">
        <f>SUM(D14:D18)</f>
        <v>896120.00000000012</v>
      </c>
      <c r="E19" s="50">
        <f>SUM(E14:E18)</f>
        <v>994400.00000000012</v>
      </c>
      <c r="F19" s="53"/>
      <c r="G19" s="50">
        <f>SUM(G14:G18)</f>
        <v>3115320.0000000005</v>
      </c>
    </row>
  </sheetData>
  <mergeCells count="1">
    <mergeCell ref="B1:G1"/>
  </mergeCells>
  <phoneticPr fontId="2" type="noConversion"/>
  <pageMargins left="0.75" right="0.75" top="1" bottom="1" header="0.5" footer="0.5"/>
  <pageSetup scale="83" orientation="portrait" horizontalDpi="1200" verticalDpi="1200" r:id="rId1"/>
  <headerFooter alignWithMargins="0">
    <oddFooter>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L26"/>
  <sheetViews>
    <sheetView zoomScale="90" workbookViewId="0">
      <selection activeCell="B26" sqref="B26"/>
    </sheetView>
  </sheetViews>
  <sheetFormatPr defaultRowHeight="12.5" x14ac:dyDescent="0.25"/>
  <cols>
    <col min="1" max="1" width="45.7265625" bestFit="1" customWidth="1"/>
    <col min="2" max="5" width="12.1796875" bestFit="1" customWidth="1"/>
    <col min="6" max="6" width="1.453125" customWidth="1"/>
    <col min="7" max="7" width="12.1796875" bestFit="1" customWidth="1"/>
    <col min="11" max="11" width="10.1796875" bestFit="1" customWidth="1"/>
    <col min="12" max="12" width="11.1796875" bestFit="1" customWidth="1"/>
  </cols>
  <sheetData>
    <row r="1" spans="1:12" ht="13" x14ac:dyDescent="0.3">
      <c r="B1" s="110" t="s">
        <v>0</v>
      </c>
      <c r="C1" s="110"/>
      <c r="D1" s="110"/>
      <c r="E1" s="110"/>
      <c r="F1" s="110"/>
      <c r="G1" s="110"/>
    </row>
    <row r="2" spans="1:12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12" ht="13" x14ac:dyDescent="0.3">
      <c r="A3" s="2" t="s">
        <v>77</v>
      </c>
    </row>
    <row r="4" spans="1:12" x14ac:dyDescent="0.25">
      <c r="A4" t="s">
        <v>78</v>
      </c>
      <c r="B4" s="62">
        <v>0</v>
      </c>
      <c r="C4" s="62">
        <f>EndCash1Q</f>
        <v>982271.59722222213</v>
      </c>
      <c r="D4" s="62">
        <f>EndCash2Q</f>
        <v>1260656.0416666665</v>
      </c>
      <c r="E4" s="62">
        <f>EndCash3Q</f>
        <v>1541236.1666666665</v>
      </c>
      <c r="F4" s="63"/>
      <c r="G4" s="62">
        <f>BegCash1Q</f>
        <v>0</v>
      </c>
    </row>
    <row r="5" spans="1:12" x14ac:dyDescent="0.25">
      <c r="A5" t="s">
        <v>79</v>
      </c>
      <c r="B5" s="18"/>
      <c r="C5" s="18"/>
      <c r="D5" s="18"/>
      <c r="E5" s="18"/>
      <c r="F5" s="18"/>
      <c r="G5" s="18"/>
    </row>
    <row r="6" spans="1:12" x14ac:dyDescent="0.25">
      <c r="A6" s="6" t="s">
        <v>80</v>
      </c>
      <c r="B6" s="20">
        <f>Collections1Q</f>
        <v>866666.66666666663</v>
      </c>
      <c r="C6" s="20">
        <f>Collections2Q</f>
        <v>1381333.3333333333</v>
      </c>
      <c r="D6" s="20">
        <f>Collections3Q</f>
        <v>1866400</v>
      </c>
      <c r="E6" s="20">
        <f>Collections4Q</f>
        <v>2441600</v>
      </c>
      <c r="F6" s="18"/>
      <c r="G6" s="20">
        <f>SUM(B6:E6)</f>
        <v>6556000</v>
      </c>
    </row>
    <row r="7" spans="1:12" x14ac:dyDescent="0.25">
      <c r="A7" s="17" t="s">
        <v>81</v>
      </c>
      <c r="B7" s="62">
        <f>BegCash1Q+Collections1Q</f>
        <v>866666.66666666663</v>
      </c>
      <c r="C7" s="62">
        <f>BegCash2Q+Collections2Q</f>
        <v>2363604.9305555555</v>
      </c>
      <c r="D7" s="62">
        <f>BegCash3Q+Collections3Q</f>
        <v>3127056.0416666665</v>
      </c>
      <c r="E7" s="62">
        <f>BegCash4Q+Collections4Q</f>
        <v>3982836.1666666665</v>
      </c>
      <c r="F7" s="63"/>
      <c r="G7" s="74" t="s">
        <v>194</v>
      </c>
    </row>
    <row r="8" spans="1:12" x14ac:dyDescent="0.25">
      <c r="A8" t="s">
        <v>82</v>
      </c>
      <c r="B8" s="63"/>
      <c r="C8" s="63"/>
      <c r="D8" s="63"/>
      <c r="E8" s="63"/>
      <c r="F8" s="63"/>
      <c r="G8" s="63"/>
    </row>
    <row r="9" spans="1:12" x14ac:dyDescent="0.25">
      <c r="A9" s="6" t="s">
        <v>83</v>
      </c>
      <c r="B9" s="62">
        <f>Disburse1Q</f>
        <v>176444.44444444444</v>
      </c>
      <c r="C9" s="62">
        <f>Disburse2Q</f>
        <v>294488.88888888888</v>
      </c>
      <c r="D9" s="62">
        <f>Disburse3Q</f>
        <v>365399.99999999994</v>
      </c>
      <c r="E9" s="62">
        <f>Disburse4Q</f>
        <v>439133.33333333331</v>
      </c>
      <c r="F9" s="63"/>
      <c r="G9" s="62">
        <f>DisburseX4</f>
        <v>1275466.6666666665</v>
      </c>
    </row>
    <row r="10" spans="1:12" x14ac:dyDescent="0.25">
      <c r="A10" s="6" t="s">
        <v>84</v>
      </c>
      <c r="B10" s="19">
        <f>DOE1Q</f>
        <v>590400</v>
      </c>
      <c r="C10" s="19">
        <f>DOE2Q</f>
        <v>634400.00000000012</v>
      </c>
      <c r="D10" s="19">
        <f>DOE3Q</f>
        <v>896120.00000000012</v>
      </c>
      <c r="E10" s="19">
        <f>DOE4Q</f>
        <v>994400.00000000012</v>
      </c>
      <c r="F10" s="18"/>
      <c r="G10" s="19">
        <f>DOEX4</f>
        <v>3115320.0000000005</v>
      </c>
    </row>
    <row r="11" spans="1:12" x14ac:dyDescent="0.25">
      <c r="A11" s="6" t="s">
        <v>64</v>
      </c>
      <c r="B11" s="19">
        <f>TaxExp1Q</f>
        <v>72550.625</v>
      </c>
      <c r="C11" s="19">
        <f>TaxExp2Q</f>
        <v>178184.99999999994</v>
      </c>
      <c r="D11" s="19">
        <f>TaxExp3Q</f>
        <v>229299.87499999994</v>
      </c>
      <c r="E11" s="19">
        <f>TaxExp4Q</f>
        <v>369022.5</v>
      </c>
      <c r="F11" s="18"/>
      <c r="G11" s="19">
        <f>TaxExpX4</f>
        <v>849057.99999999988</v>
      </c>
    </row>
    <row r="12" spans="1:12" x14ac:dyDescent="0.25">
      <c r="A12" s="6" t="s">
        <v>85</v>
      </c>
      <c r="B12" s="20">
        <f>CAPEXDis1Q</f>
        <v>45000</v>
      </c>
      <c r="C12" s="20">
        <f>CAPEXDis2Q</f>
        <v>45000</v>
      </c>
      <c r="D12" s="20">
        <f>CAPEXDis3Q</f>
        <v>45000</v>
      </c>
      <c r="E12" s="20">
        <f>CAPEXDis4Q</f>
        <v>45000</v>
      </c>
      <c r="F12" s="18"/>
      <c r="G12" s="20">
        <f>CAPEXDisX4</f>
        <v>180000</v>
      </c>
    </row>
    <row r="13" spans="1:12" x14ac:dyDescent="0.25">
      <c r="A13" s="17" t="s">
        <v>86</v>
      </c>
      <c r="B13" s="19">
        <f>SUM(B9:B12)</f>
        <v>884395.0694444445</v>
      </c>
      <c r="C13" s="19">
        <f>SUM(C9:C12)</f>
        <v>1152073.888888889</v>
      </c>
      <c r="D13" s="19">
        <f>SUM(D9:D12)</f>
        <v>1535819.875</v>
      </c>
      <c r="E13" s="19">
        <f>SUM(E9:E12)</f>
        <v>1847555.8333333335</v>
      </c>
      <c r="F13" s="18"/>
      <c r="G13" s="19">
        <f>SUM(G9:G12)</f>
        <v>5419844.666666667</v>
      </c>
      <c r="K13" s="95"/>
      <c r="L13" s="95"/>
    </row>
    <row r="14" spans="1:12" x14ac:dyDescent="0.25">
      <c r="A14" s="17"/>
      <c r="B14" s="75"/>
      <c r="C14" s="75"/>
      <c r="D14" s="75"/>
      <c r="E14" s="75"/>
      <c r="F14" s="75"/>
      <c r="G14" s="75"/>
      <c r="K14">
        <f>50000*1.75%</f>
        <v>875.00000000000011</v>
      </c>
    </row>
    <row r="15" spans="1:12" x14ac:dyDescent="0.25">
      <c r="A15" t="s">
        <v>87</v>
      </c>
      <c r="B15" s="77">
        <f>MinCash1Q</f>
        <v>250000</v>
      </c>
      <c r="C15" s="77">
        <f>MinCash2Q</f>
        <v>250000</v>
      </c>
      <c r="D15" s="77">
        <f>MinCash3Q</f>
        <v>250000</v>
      </c>
      <c r="E15" s="77">
        <f>MinCash4Q</f>
        <v>250000</v>
      </c>
      <c r="F15" s="18"/>
      <c r="G15" s="76" t="s">
        <v>194</v>
      </c>
    </row>
    <row r="16" spans="1:12" x14ac:dyDescent="0.25">
      <c r="A16" t="s">
        <v>88</v>
      </c>
      <c r="B16" s="62">
        <f>TotalDis1Q+MinCash1Q</f>
        <v>1134395.0694444445</v>
      </c>
      <c r="C16" s="62">
        <f>TotalDis2Q+MinCash2Q</f>
        <v>1402073.888888889</v>
      </c>
      <c r="D16" s="62">
        <f>TotalDis3Q+MinCash3Q</f>
        <v>1785819.875</v>
      </c>
      <c r="E16" s="62">
        <f>TotalDis4Q+MinCash4Q</f>
        <v>2097555.8333333335</v>
      </c>
      <c r="F16" s="73"/>
      <c r="G16" s="74" t="s">
        <v>194</v>
      </c>
    </row>
    <row r="17" spans="1:7" x14ac:dyDescent="0.25">
      <c r="A17" t="s">
        <v>89</v>
      </c>
      <c r="B17" s="73"/>
      <c r="C17" s="73"/>
      <c r="D17" s="73"/>
      <c r="E17" s="73"/>
      <c r="F17" s="73"/>
      <c r="G17" s="73"/>
    </row>
    <row r="18" spans="1:7" x14ac:dyDescent="0.25">
      <c r="A18" s="6" t="s">
        <v>90</v>
      </c>
      <c r="B18" s="62">
        <f>CBF1Q-TotalDis1Q-MinCash1Q</f>
        <v>-267728.40277777787</v>
      </c>
      <c r="C18" s="62">
        <f>CBF2Q-TotalDis2Q-MinCash2Q</f>
        <v>961531.04166666651</v>
      </c>
      <c r="D18" s="62">
        <f>CBF3Q-TotalDis3Q-MinCash3Q</f>
        <v>1341236.1666666665</v>
      </c>
      <c r="E18" s="62">
        <f>CBF4Q-TotalDis4Q-MinCash4Q</f>
        <v>1885280.333333333</v>
      </c>
      <c r="F18" s="63"/>
      <c r="G18" s="74" t="s">
        <v>194</v>
      </c>
    </row>
    <row r="19" spans="1:7" x14ac:dyDescent="0.25">
      <c r="A19" t="s">
        <v>91</v>
      </c>
      <c r="B19" s="73"/>
      <c r="C19" s="73"/>
      <c r="D19" s="73"/>
      <c r="E19" s="73"/>
      <c r="F19" s="73"/>
      <c r="G19" s="73"/>
    </row>
    <row r="20" spans="1:7" x14ac:dyDescent="0.25">
      <c r="A20" s="6" t="s">
        <v>92</v>
      </c>
      <c r="B20" s="62">
        <f>EqtInv1Q</f>
        <v>1000000</v>
      </c>
      <c r="C20" s="62">
        <f>EqtInv2Q</f>
        <v>0</v>
      </c>
      <c r="D20" s="62">
        <f>EqtInv3Q</f>
        <v>0</v>
      </c>
      <c r="E20" s="62">
        <f>EqtInv4Q</f>
        <v>0</v>
      </c>
      <c r="F20" s="63"/>
      <c r="G20" s="62">
        <f>SUM(B20:E20)</f>
        <v>1000000</v>
      </c>
    </row>
    <row r="21" spans="1:7" x14ac:dyDescent="0.25">
      <c r="A21" s="6" t="s">
        <v>259</v>
      </c>
      <c r="B21" s="19">
        <f>Loan1Q</f>
        <v>0</v>
      </c>
      <c r="C21" s="19">
        <f>Loan2Q</f>
        <v>50000</v>
      </c>
      <c r="D21" s="19">
        <f>Loan3Q</f>
        <v>0</v>
      </c>
      <c r="E21" s="19">
        <f>Loan4Q</f>
        <v>0</v>
      </c>
      <c r="F21" s="18"/>
      <c r="G21" s="19">
        <f>SUM(B21:E21)</f>
        <v>50000</v>
      </c>
    </row>
    <row r="22" spans="1:7" x14ac:dyDescent="0.25">
      <c r="A22" s="109" t="s">
        <v>352</v>
      </c>
      <c r="B22" s="19">
        <f>-Repay1Q</f>
        <v>0</v>
      </c>
      <c r="C22" s="19">
        <f>-Repay2Q</f>
        <v>0</v>
      </c>
      <c r="D22" s="19">
        <f>-Repay3Q</f>
        <v>-50000</v>
      </c>
      <c r="E22" s="19">
        <f>-Repay4Q</f>
        <v>0</v>
      </c>
      <c r="F22" s="18"/>
      <c r="G22" s="19">
        <f>SUM(B22:E22)</f>
        <v>-50000</v>
      </c>
    </row>
    <row r="23" spans="1:7" x14ac:dyDescent="0.25">
      <c r="A23" s="6" t="s">
        <v>93</v>
      </c>
      <c r="B23" s="20">
        <f>-(LoanVal1Q*IntPer1Q)</f>
        <v>0</v>
      </c>
      <c r="C23" s="20">
        <f>-(LoanVal2Q*IntPer2Q)</f>
        <v>-875.00000000000011</v>
      </c>
      <c r="D23" s="20">
        <f>-(LoanVal3Q*IntPer3Q)</f>
        <v>0</v>
      </c>
      <c r="E23" s="20">
        <f>-(LoanVal4Q*IntPer4Q)</f>
        <v>0</v>
      </c>
      <c r="F23" s="18"/>
      <c r="G23" s="20">
        <f>SUM(B23:E23)</f>
        <v>-875.00000000000011</v>
      </c>
    </row>
    <row r="24" spans="1:7" x14ac:dyDescent="0.25">
      <c r="A24" s="17" t="s">
        <v>94</v>
      </c>
      <c r="B24" s="78">
        <f>SUM(B20:B23)</f>
        <v>1000000</v>
      </c>
      <c r="C24" s="78">
        <f>SUM(C20:C23)</f>
        <v>49125</v>
      </c>
      <c r="D24" s="78">
        <f>SUM(D20:D23)</f>
        <v>-50000</v>
      </c>
      <c r="E24" s="78">
        <f>SUM(E20:E23)</f>
        <v>0</v>
      </c>
      <c r="F24" s="63"/>
      <c r="G24" s="78">
        <f>SUM(G20:G23)</f>
        <v>999125</v>
      </c>
    </row>
    <row r="25" spans="1:7" x14ac:dyDescent="0.25">
      <c r="A25" s="17"/>
      <c r="B25" s="80"/>
      <c r="C25" s="80"/>
      <c r="D25" s="80"/>
      <c r="E25" s="80"/>
      <c r="F25" s="75"/>
      <c r="G25" s="80"/>
    </row>
    <row r="26" spans="1:7" x14ac:dyDescent="0.25">
      <c r="A26" t="s">
        <v>95</v>
      </c>
      <c r="B26" s="78">
        <f>CBF1Q-TotalDis1Q+FinCashChg1Q</f>
        <v>982271.59722222213</v>
      </c>
      <c r="C26" s="78">
        <f>CBF2Q-TotalDis2Q+FinCashChg2Q</f>
        <v>1260656.0416666665</v>
      </c>
      <c r="D26" s="78">
        <f>CBF3Q-TotalDis3Q+FinCashChg3Q</f>
        <v>1541236.1666666665</v>
      </c>
      <c r="E26" s="78">
        <f>CBF4Q-TotalDis4Q+FinCashChg4Q</f>
        <v>2135280.333333333</v>
      </c>
      <c r="F26" s="79"/>
      <c r="G26" s="78">
        <f>EndCash4Q</f>
        <v>2135280.333333333</v>
      </c>
    </row>
  </sheetData>
  <mergeCells count="1">
    <mergeCell ref="B1:G1"/>
  </mergeCells>
  <phoneticPr fontId="2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G28"/>
  <sheetViews>
    <sheetView tabSelected="1" zoomScale="90" workbookViewId="0">
      <selection activeCell="B14" sqref="B14"/>
    </sheetView>
  </sheetViews>
  <sheetFormatPr defaultRowHeight="12.5" x14ac:dyDescent="0.25"/>
  <cols>
    <col min="1" max="1" width="45" bestFit="1" customWidth="1"/>
    <col min="2" max="3" width="9.54296875" bestFit="1" customWidth="1"/>
    <col min="4" max="5" width="10.54296875" bestFit="1" customWidth="1"/>
    <col min="6" max="6" width="1.453125" customWidth="1"/>
    <col min="7" max="7" width="10.54296875" bestFit="1" customWidth="1"/>
  </cols>
  <sheetData>
    <row r="1" spans="1:7" ht="13" x14ac:dyDescent="0.3">
      <c r="B1" s="110" t="s">
        <v>0</v>
      </c>
      <c r="C1" s="110"/>
      <c r="D1" s="110"/>
      <c r="E1" s="110"/>
      <c r="F1" s="110"/>
      <c r="G1" s="110"/>
    </row>
    <row r="2" spans="1:7" ht="13" x14ac:dyDescent="0.3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ht="13" x14ac:dyDescent="0.3">
      <c r="A3" s="2" t="s">
        <v>72</v>
      </c>
    </row>
    <row r="4" spans="1:7" x14ac:dyDescent="0.25">
      <c r="A4" s="11" t="s">
        <v>73</v>
      </c>
    </row>
    <row r="5" spans="1:7" x14ac:dyDescent="0.25">
      <c r="A5" t="s">
        <v>67</v>
      </c>
      <c r="B5" s="50">
        <f>EqptPur1Q</f>
        <v>30000</v>
      </c>
      <c r="C5" s="50">
        <f>EqptPur2Q</f>
        <v>30000</v>
      </c>
      <c r="D5" s="50">
        <f>EqptPur3Q</f>
        <v>30000</v>
      </c>
      <c r="E5" s="50">
        <f>EqptPur4Q</f>
        <v>30000</v>
      </c>
      <c r="F5" s="53"/>
      <c r="G5" s="50">
        <f>SUM(B5:E5)</f>
        <v>120000</v>
      </c>
    </row>
    <row r="6" spans="1:7" x14ac:dyDescent="0.25">
      <c r="A6" t="s">
        <v>68</v>
      </c>
      <c r="B6" s="3">
        <f>FurnPur1Q</f>
        <v>10000</v>
      </c>
      <c r="C6" s="3">
        <f>FurnPur2Q</f>
        <v>10000</v>
      </c>
      <c r="D6" s="3">
        <f>FurnPur3Q</f>
        <v>10000</v>
      </c>
      <c r="E6" s="3">
        <f>FurnPur4Q</f>
        <v>10000</v>
      </c>
      <c r="F6" s="4"/>
      <c r="G6" s="3">
        <f>SUM(B6:E6)</f>
        <v>40000</v>
      </c>
    </row>
    <row r="7" spans="1:7" x14ac:dyDescent="0.25">
      <c r="A7" t="s">
        <v>69</v>
      </c>
      <c r="B7" s="5">
        <f>FixPur1Q</f>
        <v>5000</v>
      </c>
      <c r="C7" s="5">
        <f>FixPur2Q</f>
        <v>5000</v>
      </c>
      <c r="D7" s="5">
        <f>FixPur3Q</f>
        <v>5000</v>
      </c>
      <c r="E7" s="5">
        <f>FixPur4Q</f>
        <v>5000</v>
      </c>
      <c r="F7" s="4"/>
      <c r="G7" s="5">
        <f>SUM(B7:E7)</f>
        <v>20000</v>
      </c>
    </row>
    <row r="8" spans="1:7" x14ac:dyDescent="0.25">
      <c r="A8" s="6" t="s">
        <v>70</v>
      </c>
      <c r="B8" s="50">
        <f>CAPEXPur1Q</f>
        <v>45000</v>
      </c>
      <c r="C8" s="50">
        <f>CAPEXPur2Q</f>
        <v>45000</v>
      </c>
      <c r="D8" s="50">
        <f>CAPEXPur3Q</f>
        <v>45000</v>
      </c>
      <c r="E8" s="50">
        <f>CAPEXPur4Q</f>
        <v>45000</v>
      </c>
      <c r="F8" s="53"/>
      <c r="G8" s="50">
        <f>SUM(G5:G7)</f>
        <v>180000</v>
      </c>
    </row>
    <row r="9" spans="1:7" x14ac:dyDescent="0.25">
      <c r="B9" s="4"/>
      <c r="C9" s="4"/>
      <c r="D9" s="4"/>
      <c r="E9" s="4"/>
      <c r="F9" s="4"/>
      <c r="G9" s="4"/>
    </row>
    <row r="10" spans="1:7" x14ac:dyDescent="0.25">
      <c r="A10" s="11" t="s">
        <v>74</v>
      </c>
      <c r="B10" s="4"/>
      <c r="C10" s="4"/>
      <c r="D10" s="4"/>
      <c r="E10" s="4"/>
      <c r="F10" s="4"/>
      <c r="G10" s="4"/>
    </row>
    <row r="11" spans="1:7" x14ac:dyDescent="0.25">
      <c r="A11" t="s">
        <v>67</v>
      </c>
      <c r="B11" s="50">
        <f>EqptPur1Q*CAPEXPct1Q</f>
        <v>30000</v>
      </c>
      <c r="C11" s="50">
        <f>(EqptPur2Q*CAPEXPct2Q)+((1-CAPEXPct1Q)*EqptPur1Q)</f>
        <v>30000</v>
      </c>
      <c r="D11" s="50">
        <f>(EqptPur3Q*CAPEXPct3Q)+((1-CAPEXPct2Q)*EqptPur2Q)</f>
        <v>30000</v>
      </c>
      <c r="E11" s="50">
        <f>(EqptPur4Q*CAPEXPct4Q)+((1-CAPEXPct3Q)*EqptPur3Q)</f>
        <v>30000</v>
      </c>
      <c r="F11" s="53"/>
      <c r="G11" s="50">
        <f>SUM(B11:E11)</f>
        <v>120000</v>
      </c>
    </row>
    <row r="12" spans="1:7" x14ac:dyDescent="0.25">
      <c r="A12" t="s">
        <v>68</v>
      </c>
      <c r="B12" s="3">
        <f>FurnPur1Q*CAPEXPct1Q</f>
        <v>10000</v>
      </c>
      <c r="C12" s="3">
        <f>(FurnPur2Q*CAPEXPct2Q)+((1-CAPEXPct1Q)*FurnPur1Q)</f>
        <v>10000</v>
      </c>
      <c r="D12" s="3">
        <f>(FurnPur3Q*CAPEXPct3Q)+((1-CAPEXPct2Q)*FurnPur2Q)</f>
        <v>10000</v>
      </c>
      <c r="E12" s="3">
        <f>(FurnPur4Q*CAPEXPct4Q)+((1-CAPEXPct3Q)*FurnPur3Q)</f>
        <v>10000</v>
      </c>
      <c r="F12" s="4"/>
      <c r="G12" s="3">
        <f>SUM(B12:E12)</f>
        <v>40000</v>
      </c>
    </row>
    <row r="13" spans="1:7" x14ac:dyDescent="0.25">
      <c r="A13" t="s">
        <v>69</v>
      </c>
      <c r="B13" s="5">
        <f>FixPur1Q*CAPEXPct1Q</f>
        <v>5000</v>
      </c>
      <c r="C13" s="5">
        <f>(FixPur2Q*CAPEXPct2Q)+((1-CAPEXPct1Q)*FixPur1Q)</f>
        <v>5000</v>
      </c>
      <c r="D13" s="5">
        <f>(FixPur3Q*CAPEXPct3Q)+((1-CAPEXPct2Q)*FixPur2Q)</f>
        <v>5000</v>
      </c>
      <c r="E13" s="5">
        <f>(FixPur4Q*CAPEXPct4Q)+((1-CAPEXPct3Q)*FixPur3Q)</f>
        <v>5000</v>
      </c>
      <c r="F13" s="4"/>
      <c r="G13" s="5">
        <f>SUM(B13:E13)</f>
        <v>20000</v>
      </c>
    </row>
    <row r="14" spans="1:7" x14ac:dyDescent="0.25">
      <c r="A14" s="6" t="s">
        <v>76</v>
      </c>
      <c r="B14" s="50">
        <f>SUM(B11:B13)</f>
        <v>45000</v>
      </c>
      <c r="C14" s="50">
        <f>SUM(C11:C13)</f>
        <v>45000</v>
      </c>
      <c r="D14" s="50">
        <f>SUM(D11:D13)</f>
        <v>45000</v>
      </c>
      <c r="E14" s="50">
        <f>SUM(E11:E13)</f>
        <v>45000</v>
      </c>
      <c r="F14" s="53"/>
      <c r="G14" s="50">
        <f>SUM(G11:G13)</f>
        <v>180000</v>
      </c>
    </row>
    <row r="15" spans="1:7" x14ac:dyDescent="0.25">
      <c r="B15" s="4"/>
      <c r="C15" s="4"/>
      <c r="D15" s="4"/>
      <c r="E15" s="4"/>
      <c r="F15" s="4"/>
      <c r="G15" s="4"/>
    </row>
    <row r="16" spans="1:7" x14ac:dyDescent="0.25">
      <c r="A16" s="11" t="s">
        <v>75</v>
      </c>
      <c r="B16" s="4"/>
      <c r="C16" s="4"/>
      <c r="D16" s="4"/>
      <c r="E16" s="4"/>
      <c r="F16" s="4"/>
      <c r="G16" s="4"/>
    </row>
    <row r="17" spans="1:7" x14ac:dyDescent="0.25">
      <c r="A17" t="s">
        <v>67</v>
      </c>
      <c r="B17" s="50">
        <f>EqptPur1Q*EqptDM1Q</f>
        <v>1500</v>
      </c>
      <c r="C17" s="50">
        <f>(EqptPur2Q*EqptDM2Q)+EqptDep1Q</f>
        <v>3000</v>
      </c>
      <c r="D17" s="50">
        <f>(EqptPur3Q*EqptDM3Q)+EqptDep2Q</f>
        <v>4500</v>
      </c>
      <c r="E17" s="50">
        <f>(EqptPur4Q*EqptDM4Q)+EqptDep3Q</f>
        <v>6000</v>
      </c>
      <c r="F17" s="53"/>
      <c r="G17" s="50">
        <f>SUM(B17:E17)</f>
        <v>15000</v>
      </c>
    </row>
    <row r="18" spans="1:7" x14ac:dyDescent="0.25">
      <c r="A18" t="s">
        <v>68</v>
      </c>
      <c r="B18" s="3">
        <f>FurnPur1Q*FurnDM1Q</f>
        <v>500</v>
      </c>
      <c r="C18" s="3">
        <f>(FurnPur2Q*FurnDM2Q)+FurnDep1Q</f>
        <v>1000</v>
      </c>
      <c r="D18" s="3">
        <f>(FurnPur3Q*FurnDM3Q)+FurnDep2Q</f>
        <v>1500</v>
      </c>
      <c r="E18" s="3">
        <f>(FurnPur4Q*FurnDM4Q)+FurnDep3Q</f>
        <v>2000</v>
      </c>
      <c r="F18" s="4"/>
      <c r="G18" s="3">
        <f>SUM(B18:E18)</f>
        <v>5000</v>
      </c>
    </row>
    <row r="19" spans="1:7" x14ac:dyDescent="0.25">
      <c r="A19" t="s">
        <v>69</v>
      </c>
      <c r="B19" s="5">
        <f>FixPur1Q*FixDM1Q</f>
        <v>312.5</v>
      </c>
      <c r="C19" s="5">
        <f>(FixPur2Q*FixDM2Q)+FixDep1Q</f>
        <v>625</v>
      </c>
      <c r="D19" s="5">
        <f>(FixPur3Q*FixDM3Q)+FixDep2Q</f>
        <v>937.5</v>
      </c>
      <c r="E19" s="5">
        <f>(FixPur4Q*FixDM4Q)+FixDep3Q</f>
        <v>1250</v>
      </c>
      <c r="F19" s="4"/>
      <c r="G19" s="5">
        <f>SUM(B19:E19)</f>
        <v>3125</v>
      </c>
    </row>
    <row r="20" spans="1:7" x14ac:dyDescent="0.25">
      <c r="A20" s="6" t="s">
        <v>71</v>
      </c>
      <c r="B20" s="50">
        <f>SUM(B17:B19)</f>
        <v>2312.5</v>
      </c>
      <c r="C20" s="50">
        <f>SUM(C17:C19)</f>
        <v>4625</v>
      </c>
      <c r="D20" s="50">
        <f>SUM(D17:D19)</f>
        <v>6937.5</v>
      </c>
      <c r="E20" s="50">
        <f>SUM(E17:E19)</f>
        <v>9250</v>
      </c>
      <c r="F20" s="53"/>
      <c r="G20" s="50">
        <f>SUM(G17:G19)</f>
        <v>23125</v>
      </c>
    </row>
    <row r="22" spans="1:7" x14ac:dyDescent="0.25">
      <c r="A22" s="7" t="s">
        <v>251</v>
      </c>
      <c r="B22" s="50">
        <f>CAPEXPur1Q</f>
        <v>45000</v>
      </c>
      <c r="C22" s="50">
        <f>CAPEXPur2Q+CumCAPEX1Q</f>
        <v>90000</v>
      </c>
      <c r="D22" s="50">
        <f>CAPEXPur3Q+CumCAPEX2Q</f>
        <v>135000</v>
      </c>
      <c r="E22" s="50">
        <f>CAPEXPur4Q+CumCAPEX3Q</f>
        <v>180000</v>
      </c>
    </row>
    <row r="23" spans="1:7" x14ac:dyDescent="0.25">
      <c r="A23" s="7" t="s">
        <v>252</v>
      </c>
      <c r="B23" s="5">
        <f>Dep1Q</f>
        <v>2312.5</v>
      </c>
      <c r="C23" s="5">
        <f>Dep2Q+AccDep1Q</f>
        <v>6937.5</v>
      </c>
      <c r="D23" s="5">
        <f>Dep3Q+AccDep2Q</f>
        <v>13875</v>
      </c>
      <c r="E23" s="5">
        <f>Dep4Q+AccDep3Q</f>
        <v>23125</v>
      </c>
    </row>
    <row r="24" spans="1:7" x14ac:dyDescent="0.25">
      <c r="A24" s="8" t="s">
        <v>253</v>
      </c>
      <c r="B24" s="50">
        <f>CumCAPEX1Q-AccDep1Q</f>
        <v>42687.5</v>
      </c>
      <c r="C24" s="50">
        <f>CumCAPEX2Q-AccDep2Q</f>
        <v>83062.5</v>
      </c>
      <c r="D24" s="50">
        <f>CumCAPEX3Q-AccDep3Q</f>
        <v>121125</v>
      </c>
      <c r="E24" s="50">
        <f>CumCAPEX4Q-AccDep4Q</f>
        <v>156875</v>
      </c>
    </row>
    <row r="25" spans="1:7" x14ac:dyDescent="0.25">
      <c r="A25" s="7"/>
    </row>
    <row r="27" spans="1:7" x14ac:dyDescent="0.25">
      <c r="A27" s="7" t="s">
        <v>270</v>
      </c>
      <c r="B27" s="50">
        <f>CAPEXDis1Q</f>
        <v>45000</v>
      </c>
      <c r="C27" s="50">
        <f>CAPEXDis2Q+CDCAPEX1Q</f>
        <v>90000</v>
      </c>
      <c r="D27" s="50">
        <f>CAPEXDis3Q+CDCAPEX2Q</f>
        <v>135000</v>
      </c>
      <c r="E27" s="50">
        <f>CAPEXDis4Q+CDCAPEX3Q</f>
        <v>180000</v>
      </c>
    </row>
    <row r="28" spans="1:7" x14ac:dyDescent="0.25">
      <c r="A28" s="7" t="s">
        <v>271</v>
      </c>
      <c r="B28" s="50">
        <f>IF(CumCAPEX1Q&gt;CDCAPEX1Q,CumCAPEX1Q-CDCAPEX1Q,0)</f>
        <v>0</v>
      </c>
      <c r="C28" s="50">
        <f>IF(CumCAPEX2Q&gt;CDCAPEX2Q,CumCAPEX2Q-CDCAPEX2Q,0)</f>
        <v>0</v>
      </c>
      <c r="D28" s="50">
        <f>IF(CumCAPEX3Q&gt;CDCAPEX3Q,CumCAPEX3Q-CDCAPEX3Q,0)</f>
        <v>0</v>
      </c>
      <c r="E28" s="50">
        <f>IF(CumCAPEX4Q&gt;CDCAPEX4Q,CumCAPEX4Q-CDCAPEX4Q,0)</f>
        <v>0</v>
      </c>
    </row>
  </sheetData>
  <mergeCells count="1">
    <mergeCell ref="B1:G1"/>
  </mergeCells>
  <phoneticPr fontId="2" type="noConversion"/>
  <pageMargins left="0.75" right="0.75" top="1" bottom="1" header="0.5" footer="0.5"/>
  <pageSetup scale="93" orientation="portrait" horizontalDpi="1200" verticalDpi="1200" r:id="rId1"/>
  <headerFooter alignWithMargins="0">
    <oddFooter>&amp;R&amp;F
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847</vt:i4>
      </vt:variant>
    </vt:vector>
  </HeadingPairs>
  <TitlesOfParts>
    <vt:vector size="866" baseType="lpstr">
      <vt:lpstr>Assumptions and Dashboard</vt:lpstr>
      <vt:lpstr>Sales and Collections</vt:lpstr>
      <vt:lpstr>COGS</vt:lpstr>
      <vt:lpstr>Inventory and Purchases</vt:lpstr>
      <vt:lpstr>Headcount Overview</vt:lpstr>
      <vt:lpstr>Headcount Cost</vt:lpstr>
      <vt:lpstr>Operating Expenses</vt:lpstr>
      <vt:lpstr>Cash</vt:lpstr>
      <vt:lpstr>Capital</vt:lpstr>
      <vt:lpstr>Balance Sheet</vt:lpstr>
      <vt:lpstr>Income Statement</vt:lpstr>
      <vt:lpstr>Cash Flows</vt:lpstr>
      <vt:lpstr>Free Cash Flows</vt:lpstr>
      <vt:lpstr>Sensitivity</vt:lpstr>
      <vt:lpstr>Contribution Margin</vt:lpstr>
      <vt:lpstr>Financial Ratios</vt:lpstr>
      <vt:lpstr>Valuation</vt:lpstr>
      <vt:lpstr>Comparables</vt:lpstr>
      <vt:lpstr>Capitalization</vt:lpstr>
      <vt:lpstr>AccDep1Q</vt:lpstr>
      <vt:lpstr>AccDep2Q</vt:lpstr>
      <vt:lpstr>AccDep3Q</vt:lpstr>
      <vt:lpstr>AccDep4Q</vt:lpstr>
      <vt:lpstr>AddAP1Q</vt:lpstr>
      <vt:lpstr>AddAP2Q</vt:lpstr>
      <vt:lpstr>AddAP3Q</vt:lpstr>
      <vt:lpstr>AddAP4Q</vt:lpstr>
      <vt:lpstr>AddAPX4</vt:lpstr>
      <vt:lpstr>AddAR1Q</vt:lpstr>
      <vt:lpstr>AddAR2Q</vt:lpstr>
      <vt:lpstr>AddAR3Q</vt:lpstr>
      <vt:lpstr>AddAR4Q</vt:lpstr>
      <vt:lpstr>AddARX4</vt:lpstr>
      <vt:lpstr>AssetTurn1Q</vt:lpstr>
      <vt:lpstr>AssetTurn2Q</vt:lpstr>
      <vt:lpstr>AssetTurn3Q</vt:lpstr>
      <vt:lpstr>AssetTurn4Q</vt:lpstr>
      <vt:lpstr>AssetTurnX4</vt:lpstr>
      <vt:lpstr>ATEBIT1Q</vt:lpstr>
      <vt:lpstr>ATEBIT2Q</vt:lpstr>
      <vt:lpstr>ATEBIT3Q</vt:lpstr>
      <vt:lpstr>ATEBIT4Q</vt:lpstr>
      <vt:lpstr>ATEBITX4</vt:lpstr>
      <vt:lpstr>BaseSal1Q</vt:lpstr>
      <vt:lpstr>BaseSal2Q</vt:lpstr>
      <vt:lpstr>BaseSal3Q</vt:lpstr>
      <vt:lpstr>BaseSal4Q</vt:lpstr>
      <vt:lpstr>BaseSalX4</vt:lpstr>
      <vt:lpstr>BED1Q</vt:lpstr>
      <vt:lpstr>BED2Q</vt:lpstr>
      <vt:lpstr>BED3Q</vt:lpstr>
      <vt:lpstr>BED4Q</vt:lpstr>
      <vt:lpstr>BegAP1Q</vt:lpstr>
      <vt:lpstr>BegAP2Q</vt:lpstr>
      <vt:lpstr>BegAP3Q</vt:lpstr>
      <vt:lpstr>BegAP4Q</vt:lpstr>
      <vt:lpstr>BegAPX4</vt:lpstr>
      <vt:lpstr>BegAR1Q</vt:lpstr>
      <vt:lpstr>BegAR2Q</vt:lpstr>
      <vt:lpstr>BegAR3Q</vt:lpstr>
      <vt:lpstr>BegAR4Q</vt:lpstr>
      <vt:lpstr>BegARX4</vt:lpstr>
      <vt:lpstr>BegCash1Q</vt:lpstr>
      <vt:lpstr>BegCash2Q</vt:lpstr>
      <vt:lpstr>BegCash3Q</vt:lpstr>
      <vt:lpstr>BegCash4Q</vt:lpstr>
      <vt:lpstr>BegCashX4</vt:lpstr>
      <vt:lpstr>BegInv1Q</vt:lpstr>
      <vt:lpstr>BegInv2Q</vt:lpstr>
      <vt:lpstr>BegInv3Q</vt:lpstr>
      <vt:lpstr>BegInv4Q</vt:lpstr>
      <vt:lpstr>BegInvX4</vt:lpstr>
      <vt:lpstr>BegLoanVal1Q</vt:lpstr>
      <vt:lpstr>BegLoanVal2Q</vt:lpstr>
      <vt:lpstr>BegLoanVal3Q</vt:lpstr>
      <vt:lpstr>BegLoanVal4Q</vt:lpstr>
      <vt:lpstr>BegNWC1Q</vt:lpstr>
      <vt:lpstr>BegNWC2Q</vt:lpstr>
      <vt:lpstr>BegNWC3Q</vt:lpstr>
      <vt:lpstr>BegNWC4Q</vt:lpstr>
      <vt:lpstr>BegNWCX4</vt:lpstr>
      <vt:lpstr>BeneFactor</vt:lpstr>
      <vt:lpstr>BeneRate</vt:lpstr>
      <vt:lpstr>BEU1Q</vt:lpstr>
      <vt:lpstr>BEU2Q</vt:lpstr>
      <vt:lpstr>BEU3Q</vt:lpstr>
      <vt:lpstr>BEU4Q</vt:lpstr>
      <vt:lpstr>BSCheck1Q</vt:lpstr>
      <vt:lpstr>BSCheck2Q</vt:lpstr>
      <vt:lpstr>BSCheck3Q</vt:lpstr>
      <vt:lpstr>BSCheck4Q</vt:lpstr>
      <vt:lpstr>BSCheckSum</vt:lpstr>
      <vt:lpstr>BSCheckX4</vt:lpstr>
      <vt:lpstr>BSStatus</vt:lpstr>
      <vt:lpstr>CA_X4</vt:lpstr>
      <vt:lpstr>CA1Q</vt:lpstr>
      <vt:lpstr>CA2Q</vt:lpstr>
      <vt:lpstr>CA3Q</vt:lpstr>
      <vt:lpstr>CA4Q</vt:lpstr>
      <vt:lpstr>CAPEXDis1Q</vt:lpstr>
      <vt:lpstr>CAPEXDis2Q</vt:lpstr>
      <vt:lpstr>CAPEXDis3Q</vt:lpstr>
      <vt:lpstr>CAPEXDis4Q</vt:lpstr>
      <vt:lpstr>CAPEXDisX4</vt:lpstr>
      <vt:lpstr>CAPEXPct1Q</vt:lpstr>
      <vt:lpstr>CAPEXPct2Q</vt:lpstr>
      <vt:lpstr>CAPEXPct3Q</vt:lpstr>
      <vt:lpstr>CAPEXPct4Q</vt:lpstr>
      <vt:lpstr>CAPEXPur1Q</vt:lpstr>
      <vt:lpstr>CAPEXPur2Q</vt:lpstr>
      <vt:lpstr>CAPEXPur3Q</vt:lpstr>
      <vt:lpstr>CAPEXPur4Q</vt:lpstr>
      <vt:lpstr>CAPEXPurX4</vt:lpstr>
      <vt:lpstr>CashBOP1Q</vt:lpstr>
      <vt:lpstr>CashBOP2Q</vt:lpstr>
      <vt:lpstr>CashBOP3Q</vt:lpstr>
      <vt:lpstr>CashBOP4Q</vt:lpstr>
      <vt:lpstr>CashBOPX4</vt:lpstr>
      <vt:lpstr>CashEOP1Q</vt:lpstr>
      <vt:lpstr>CashEOP2Q</vt:lpstr>
      <vt:lpstr>CashEOP3Q</vt:lpstr>
      <vt:lpstr>CashEOP4Q</vt:lpstr>
      <vt:lpstr>CashEOPX4</vt:lpstr>
      <vt:lpstr>CashFinAc1Q</vt:lpstr>
      <vt:lpstr>CashFinAc2Q</vt:lpstr>
      <vt:lpstr>CashFinAc3Q</vt:lpstr>
      <vt:lpstr>CashFinAc4Q</vt:lpstr>
      <vt:lpstr>CashFinAcX4</vt:lpstr>
      <vt:lpstr>CashInvAc1Q</vt:lpstr>
      <vt:lpstr>CashInvAc2Q</vt:lpstr>
      <vt:lpstr>CashInvAc3Q</vt:lpstr>
      <vt:lpstr>CashInvAc4Q</vt:lpstr>
      <vt:lpstr>CashInvAcX4</vt:lpstr>
      <vt:lpstr>CashNeed1Q</vt:lpstr>
      <vt:lpstr>CashNeed2Q</vt:lpstr>
      <vt:lpstr>CashNeed3Q</vt:lpstr>
      <vt:lpstr>CashNeed4Q</vt:lpstr>
      <vt:lpstr>CashOpAc1Q</vt:lpstr>
      <vt:lpstr>CashOpAc2Q</vt:lpstr>
      <vt:lpstr>CashOpAc3Q</vt:lpstr>
      <vt:lpstr>CashOpAc4Q</vt:lpstr>
      <vt:lpstr>CashOpAcX4</vt:lpstr>
      <vt:lpstr>CashPct1Q</vt:lpstr>
      <vt:lpstr>CashPct2Q</vt:lpstr>
      <vt:lpstr>CashPct3Q</vt:lpstr>
      <vt:lpstr>CashPct4Q</vt:lpstr>
      <vt:lpstr>CashSls1Q</vt:lpstr>
      <vt:lpstr>CashSls2Q</vt:lpstr>
      <vt:lpstr>CashSls3Q</vt:lpstr>
      <vt:lpstr>CashSls4Q</vt:lpstr>
      <vt:lpstr>CashSlsX4</vt:lpstr>
      <vt:lpstr>Casing1Q</vt:lpstr>
      <vt:lpstr>Casing2Q</vt:lpstr>
      <vt:lpstr>Casing3Q</vt:lpstr>
      <vt:lpstr>Casing4Q</vt:lpstr>
      <vt:lpstr>CasingCPU1Q</vt:lpstr>
      <vt:lpstr>CasingCPU2Q</vt:lpstr>
      <vt:lpstr>CasingCPU3Q</vt:lpstr>
      <vt:lpstr>CasingCPU4Q</vt:lpstr>
      <vt:lpstr>CasingX4</vt:lpstr>
      <vt:lpstr>CBF1Q</vt:lpstr>
      <vt:lpstr>CBF2Q</vt:lpstr>
      <vt:lpstr>CBF3Q</vt:lpstr>
      <vt:lpstr>CBF4Q</vt:lpstr>
      <vt:lpstr>CDCAPEX1Q</vt:lpstr>
      <vt:lpstr>CDCAPEX2Q</vt:lpstr>
      <vt:lpstr>CDCAPEX3Q</vt:lpstr>
      <vt:lpstr>CDCAPEX4Q</vt:lpstr>
      <vt:lpstr>CFCheck1Q</vt:lpstr>
      <vt:lpstr>CFCheck2Q</vt:lpstr>
      <vt:lpstr>CFCheck3Q</vt:lpstr>
      <vt:lpstr>CFCheck4Q</vt:lpstr>
      <vt:lpstr>CFCheckSum</vt:lpstr>
      <vt:lpstr>CFCheckX4</vt:lpstr>
      <vt:lpstr>CFStatus</vt:lpstr>
      <vt:lpstr>ChgAP1Q</vt:lpstr>
      <vt:lpstr>ChgAP2Q</vt:lpstr>
      <vt:lpstr>ChgAP3Q</vt:lpstr>
      <vt:lpstr>ChgAP4Q</vt:lpstr>
      <vt:lpstr>ChgAR1Q</vt:lpstr>
      <vt:lpstr>ChgAR2Q</vt:lpstr>
      <vt:lpstr>ChgAR3Q</vt:lpstr>
      <vt:lpstr>ChgAR4Q</vt:lpstr>
      <vt:lpstr>ChgCash1Q</vt:lpstr>
      <vt:lpstr>ChgCash2Q</vt:lpstr>
      <vt:lpstr>ChgCash3Q</vt:lpstr>
      <vt:lpstr>ChgCash4Q</vt:lpstr>
      <vt:lpstr>ChgCashX4</vt:lpstr>
      <vt:lpstr>ChgInv1Q</vt:lpstr>
      <vt:lpstr>ChgInv2Q</vt:lpstr>
      <vt:lpstr>ChgInv3Q</vt:lpstr>
      <vt:lpstr>ChgInv4Q</vt:lpstr>
      <vt:lpstr>ChgLoanVal1Q</vt:lpstr>
      <vt:lpstr>ChgLoanVal2Q</vt:lpstr>
      <vt:lpstr>ChgLoanVal3Q</vt:lpstr>
      <vt:lpstr>ChgLoanVal4Q</vt:lpstr>
      <vt:lpstr>ChgNWC1Q</vt:lpstr>
      <vt:lpstr>ChgNWC2Q</vt:lpstr>
      <vt:lpstr>ChgNWC3Q</vt:lpstr>
      <vt:lpstr>ChgNWC4Q</vt:lpstr>
      <vt:lpstr>ChgNWCX4</vt:lpstr>
      <vt:lpstr>CL_X4</vt:lpstr>
      <vt:lpstr>CL1Q</vt:lpstr>
      <vt:lpstr>CL2Q</vt:lpstr>
      <vt:lpstr>CL3Q</vt:lpstr>
      <vt:lpstr>CL4Q</vt:lpstr>
      <vt:lpstr>CM_X4</vt:lpstr>
      <vt:lpstr>CM1Q</vt:lpstr>
      <vt:lpstr>CM2Q</vt:lpstr>
      <vt:lpstr>CM3Q</vt:lpstr>
      <vt:lpstr>CM4Q</vt:lpstr>
      <vt:lpstr>CMPU1Q</vt:lpstr>
      <vt:lpstr>CMPU2Q</vt:lpstr>
      <vt:lpstr>CMPU3Q</vt:lpstr>
      <vt:lpstr>CMPU4Q</vt:lpstr>
      <vt:lpstr>Co1Assets</vt:lpstr>
      <vt:lpstr>Co1NI</vt:lpstr>
      <vt:lpstr>Co1PA</vt:lpstr>
      <vt:lpstr>Co1PNI</vt:lpstr>
      <vt:lpstr>Co1PS</vt:lpstr>
      <vt:lpstr>Co1Sales</vt:lpstr>
      <vt:lpstr>Co1Val</vt:lpstr>
      <vt:lpstr>Co2Assets</vt:lpstr>
      <vt:lpstr>Co2NI</vt:lpstr>
      <vt:lpstr>Co2PA</vt:lpstr>
      <vt:lpstr>Co2PNI</vt:lpstr>
      <vt:lpstr>Co2PS</vt:lpstr>
      <vt:lpstr>Co2Sales</vt:lpstr>
      <vt:lpstr>Co2Val</vt:lpstr>
      <vt:lpstr>Co3Assets</vt:lpstr>
      <vt:lpstr>Co3NI</vt:lpstr>
      <vt:lpstr>Co3PA</vt:lpstr>
      <vt:lpstr>Co3PNI</vt:lpstr>
      <vt:lpstr>Co3PS</vt:lpstr>
      <vt:lpstr>Co3Sales</vt:lpstr>
      <vt:lpstr>Co3Val</vt:lpstr>
      <vt:lpstr>CoAssetsVal</vt:lpstr>
      <vt:lpstr>COGS1Q</vt:lpstr>
      <vt:lpstr>COGS2Q</vt:lpstr>
      <vt:lpstr>COGS3Q</vt:lpstr>
      <vt:lpstr>COGS4Q</vt:lpstr>
      <vt:lpstr>COGSX4</vt:lpstr>
      <vt:lpstr>Collections1Q</vt:lpstr>
      <vt:lpstr>Collections2Q</vt:lpstr>
      <vt:lpstr>Collections3Q</vt:lpstr>
      <vt:lpstr>Collections4Q</vt:lpstr>
      <vt:lpstr>CollectionsX4</vt:lpstr>
      <vt:lpstr>Comp1FCF</vt:lpstr>
      <vt:lpstr>Comp1NI</vt:lpstr>
      <vt:lpstr>Comp1PFCF</vt:lpstr>
      <vt:lpstr>Comp1PNI</vt:lpstr>
      <vt:lpstr>Comp1PS</vt:lpstr>
      <vt:lpstr>Comp1Sales</vt:lpstr>
      <vt:lpstr>Comp1Val</vt:lpstr>
      <vt:lpstr>Comp2FCF</vt:lpstr>
      <vt:lpstr>Comp2NI</vt:lpstr>
      <vt:lpstr>Comp2PFCF</vt:lpstr>
      <vt:lpstr>Comp2PNI</vt:lpstr>
      <vt:lpstr>Comp2PS</vt:lpstr>
      <vt:lpstr>Comp2Sales</vt:lpstr>
      <vt:lpstr>Comp2Val</vt:lpstr>
      <vt:lpstr>Comp3FCF</vt:lpstr>
      <vt:lpstr>Comp3NI</vt:lpstr>
      <vt:lpstr>Comp3PFCF</vt:lpstr>
      <vt:lpstr>Comp3PNI</vt:lpstr>
      <vt:lpstr>Comp3PS</vt:lpstr>
      <vt:lpstr>Comp3Sales</vt:lpstr>
      <vt:lpstr>Comp3Val</vt:lpstr>
      <vt:lpstr>CompFCFVal</vt:lpstr>
      <vt:lpstr>CompNIVal</vt:lpstr>
      <vt:lpstr>CompSalesVal</vt:lpstr>
      <vt:lpstr>CoNIVal</vt:lpstr>
      <vt:lpstr>CoSalesVal</vt:lpstr>
      <vt:lpstr>CreditPctQ1</vt:lpstr>
      <vt:lpstr>CreditPctQ2</vt:lpstr>
      <vt:lpstr>CreditPctQ3</vt:lpstr>
      <vt:lpstr>CreditPctQ4</vt:lpstr>
      <vt:lpstr>CreditSls1Q</vt:lpstr>
      <vt:lpstr>CreditSls2Q</vt:lpstr>
      <vt:lpstr>CreditSls3Q</vt:lpstr>
      <vt:lpstr>CreditSls4Q</vt:lpstr>
      <vt:lpstr>CreditSlsX4</vt:lpstr>
      <vt:lpstr>CS_X4</vt:lpstr>
      <vt:lpstr>CS1Q</vt:lpstr>
      <vt:lpstr>CS2Q</vt:lpstr>
      <vt:lpstr>CS3Q</vt:lpstr>
      <vt:lpstr>CS4Q</vt:lpstr>
      <vt:lpstr>CumCAPEX1Q</vt:lpstr>
      <vt:lpstr>CumCAPEX2Q</vt:lpstr>
      <vt:lpstr>CumCAPEX3Q</vt:lpstr>
      <vt:lpstr>CumCAPEX4Q</vt:lpstr>
      <vt:lpstr>DaysInv1Q</vt:lpstr>
      <vt:lpstr>DaysInv2Q</vt:lpstr>
      <vt:lpstr>DaysInv3Q</vt:lpstr>
      <vt:lpstr>DaysInv4Q</vt:lpstr>
      <vt:lpstr>DaysPay1Q</vt:lpstr>
      <vt:lpstr>DaysPay2Q</vt:lpstr>
      <vt:lpstr>DaysPay3Q</vt:lpstr>
      <vt:lpstr>DaysPay4Q</vt:lpstr>
      <vt:lpstr>DaysQtr1Q</vt:lpstr>
      <vt:lpstr>DaysQtr2Q</vt:lpstr>
      <vt:lpstr>DaysQtr3Q</vt:lpstr>
      <vt:lpstr>DaysQtr4Q</vt:lpstr>
      <vt:lpstr>DCFRW</vt:lpstr>
      <vt:lpstr>DCFVal</vt:lpstr>
      <vt:lpstr>DCFWV</vt:lpstr>
      <vt:lpstr>Dep1Q</vt:lpstr>
      <vt:lpstr>Dep2Q</vt:lpstr>
      <vt:lpstr>Dep3Q</vt:lpstr>
      <vt:lpstr>Dep4Q</vt:lpstr>
      <vt:lpstr>DepX4</vt:lpstr>
      <vt:lpstr>Disburse1Q</vt:lpstr>
      <vt:lpstr>Disburse2Q</vt:lpstr>
      <vt:lpstr>Disburse3Q</vt:lpstr>
      <vt:lpstr>Disburse4Q</vt:lpstr>
      <vt:lpstr>DisburseX4</vt:lpstr>
      <vt:lpstr>DOE1Q</vt:lpstr>
      <vt:lpstr>DOE2Q</vt:lpstr>
      <vt:lpstr>DOE3Q</vt:lpstr>
      <vt:lpstr>DOE4Q</vt:lpstr>
      <vt:lpstr>DOEX4</vt:lpstr>
      <vt:lpstr>DSO1Q</vt:lpstr>
      <vt:lpstr>DSO2Q</vt:lpstr>
      <vt:lpstr>DSO3Q</vt:lpstr>
      <vt:lpstr>DSO4Q</vt:lpstr>
      <vt:lpstr>EBIT1Q</vt:lpstr>
      <vt:lpstr>EBIT2Q</vt:lpstr>
      <vt:lpstr>EBIT3Q</vt:lpstr>
      <vt:lpstr>EBIT4Q</vt:lpstr>
      <vt:lpstr>EBITX4</vt:lpstr>
      <vt:lpstr>EffTaxRt1Q</vt:lpstr>
      <vt:lpstr>EffTaxRt2Q</vt:lpstr>
      <vt:lpstr>EffTaxRt3Q</vt:lpstr>
      <vt:lpstr>EffTaxRt4Q</vt:lpstr>
      <vt:lpstr>EndAP1Q</vt:lpstr>
      <vt:lpstr>EndAP2Q</vt:lpstr>
      <vt:lpstr>EndAP3Q</vt:lpstr>
      <vt:lpstr>EndAP4Q</vt:lpstr>
      <vt:lpstr>EndAPX4</vt:lpstr>
      <vt:lpstr>EndAR1Q</vt:lpstr>
      <vt:lpstr>EndAR2Q</vt:lpstr>
      <vt:lpstr>EndAR3Q</vt:lpstr>
      <vt:lpstr>EndAR4Q</vt:lpstr>
      <vt:lpstr>EndARX4</vt:lpstr>
      <vt:lpstr>EndCash1Q</vt:lpstr>
      <vt:lpstr>EndCash2Q</vt:lpstr>
      <vt:lpstr>EndCash3Q</vt:lpstr>
      <vt:lpstr>EndCash4Q</vt:lpstr>
      <vt:lpstr>EndCashX4</vt:lpstr>
      <vt:lpstr>EndInv1Q</vt:lpstr>
      <vt:lpstr>EndInv2Q</vt:lpstr>
      <vt:lpstr>EndInv3Q</vt:lpstr>
      <vt:lpstr>EndInv4Q</vt:lpstr>
      <vt:lpstr>EndInvX4</vt:lpstr>
      <vt:lpstr>EndNWC1Q</vt:lpstr>
      <vt:lpstr>EndNWC2Q</vt:lpstr>
      <vt:lpstr>EndNWC3Q</vt:lpstr>
      <vt:lpstr>EndNWC4Q</vt:lpstr>
      <vt:lpstr>EndNWCX4</vt:lpstr>
      <vt:lpstr>EqptDep1Q</vt:lpstr>
      <vt:lpstr>EqptDep2Q</vt:lpstr>
      <vt:lpstr>EqptDep3Q</vt:lpstr>
      <vt:lpstr>EqptDep4Q</vt:lpstr>
      <vt:lpstr>EqptDepX4</vt:lpstr>
      <vt:lpstr>EqptDis1Q</vt:lpstr>
      <vt:lpstr>EqptDis2Q</vt:lpstr>
      <vt:lpstr>EqptDis3Q</vt:lpstr>
      <vt:lpstr>EqptDis4Q</vt:lpstr>
      <vt:lpstr>EqptDisX4</vt:lpstr>
      <vt:lpstr>EqptDM1Q</vt:lpstr>
      <vt:lpstr>EqptDM2Q</vt:lpstr>
      <vt:lpstr>EqptDM3Q</vt:lpstr>
      <vt:lpstr>EqptDM4Q</vt:lpstr>
      <vt:lpstr>EqptLife</vt:lpstr>
      <vt:lpstr>EqptPur1Q</vt:lpstr>
      <vt:lpstr>EqptPur2Q</vt:lpstr>
      <vt:lpstr>EqptPur3Q</vt:lpstr>
      <vt:lpstr>EqptPur4Q</vt:lpstr>
      <vt:lpstr>EqptPurX4</vt:lpstr>
      <vt:lpstr>EqtInv1Q</vt:lpstr>
      <vt:lpstr>EqtInv2Q</vt:lpstr>
      <vt:lpstr>EqtInv3Q</vt:lpstr>
      <vt:lpstr>EqtInv4Q</vt:lpstr>
      <vt:lpstr>EqtInvX4</vt:lpstr>
      <vt:lpstr>FCF1Q</vt:lpstr>
      <vt:lpstr>FCF2Q</vt:lpstr>
      <vt:lpstr>FCF3Q</vt:lpstr>
      <vt:lpstr>FCF4Q</vt:lpstr>
      <vt:lpstr>FCFX4</vt:lpstr>
      <vt:lpstr>FinCashChg1Q</vt:lpstr>
      <vt:lpstr>FinCashChg2Q</vt:lpstr>
      <vt:lpstr>FinCashChg3Q</vt:lpstr>
      <vt:lpstr>FinCashChg4Q</vt:lpstr>
      <vt:lpstr>FinCashChgX4</vt:lpstr>
      <vt:lpstr>FixAssets1Q</vt:lpstr>
      <vt:lpstr>FixAssets2Q</vt:lpstr>
      <vt:lpstr>FixAssets3Q</vt:lpstr>
      <vt:lpstr>FixAssets4Q</vt:lpstr>
      <vt:lpstr>FixCosts1Q</vt:lpstr>
      <vt:lpstr>FixCosts2Q</vt:lpstr>
      <vt:lpstr>FixCosts3Q</vt:lpstr>
      <vt:lpstr>FixCosts4Q</vt:lpstr>
      <vt:lpstr>FixCostsX4</vt:lpstr>
      <vt:lpstr>FixDep1Q</vt:lpstr>
      <vt:lpstr>FixDep2Q</vt:lpstr>
      <vt:lpstr>FixDep3Q</vt:lpstr>
      <vt:lpstr>FixDep4Q</vt:lpstr>
      <vt:lpstr>FixDepX4</vt:lpstr>
      <vt:lpstr>FixDis1Q</vt:lpstr>
      <vt:lpstr>FixDis2Q</vt:lpstr>
      <vt:lpstr>FixDis3Q</vt:lpstr>
      <vt:lpstr>FixDis4Q</vt:lpstr>
      <vt:lpstr>FixDisX4</vt:lpstr>
      <vt:lpstr>FixDM1Q</vt:lpstr>
      <vt:lpstr>FixDM2Q</vt:lpstr>
      <vt:lpstr>FixDM3Q</vt:lpstr>
      <vt:lpstr>FixDM4Q</vt:lpstr>
      <vt:lpstr>FixLife</vt:lpstr>
      <vt:lpstr>FixPur1Q</vt:lpstr>
      <vt:lpstr>FixPur2Q</vt:lpstr>
      <vt:lpstr>FixPur3Q</vt:lpstr>
      <vt:lpstr>FixPur4Q</vt:lpstr>
      <vt:lpstr>FixPurX4</vt:lpstr>
      <vt:lpstr>FreeCF1Q</vt:lpstr>
      <vt:lpstr>FreeCF2Q</vt:lpstr>
      <vt:lpstr>FreeCF3Q</vt:lpstr>
      <vt:lpstr>FreeCF4Q</vt:lpstr>
      <vt:lpstr>FreeCFX4</vt:lpstr>
      <vt:lpstr>FtRent1Q</vt:lpstr>
      <vt:lpstr>FtRent2Q</vt:lpstr>
      <vt:lpstr>FtRent3Q</vt:lpstr>
      <vt:lpstr>FtRent4Q</vt:lpstr>
      <vt:lpstr>FurnDep1Q</vt:lpstr>
      <vt:lpstr>FurnDep2Q</vt:lpstr>
      <vt:lpstr>FurnDep3Q</vt:lpstr>
      <vt:lpstr>FurnDep4Q</vt:lpstr>
      <vt:lpstr>FurnDepX4</vt:lpstr>
      <vt:lpstr>FurnDis1Q</vt:lpstr>
      <vt:lpstr>FurnDis2Q</vt:lpstr>
      <vt:lpstr>FurnDis3Q</vt:lpstr>
      <vt:lpstr>FurnDis4Q</vt:lpstr>
      <vt:lpstr>FurnDisX4</vt:lpstr>
      <vt:lpstr>FurnDM1Q</vt:lpstr>
      <vt:lpstr>FurnDM2Q</vt:lpstr>
      <vt:lpstr>FurnDM3Q</vt:lpstr>
      <vt:lpstr>FurnDM4Q</vt:lpstr>
      <vt:lpstr>FurnLife</vt:lpstr>
      <vt:lpstr>FurnPur1Q</vt:lpstr>
      <vt:lpstr>FurnPur2Q</vt:lpstr>
      <vt:lpstr>FurnPur3Q</vt:lpstr>
      <vt:lpstr>FurnPur4Q</vt:lpstr>
      <vt:lpstr>FurnPurX4</vt:lpstr>
      <vt:lpstr>g</vt:lpstr>
      <vt:lpstr>GrMar1Q</vt:lpstr>
      <vt:lpstr>GrMar2Q</vt:lpstr>
      <vt:lpstr>GrMar3Q</vt:lpstr>
      <vt:lpstr>GrMar4Q</vt:lpstr>
      <vt:lpstr>GrMarX4</vt:lpstr>
      <vt:lpstr>GrossP1Q</vt:lpstr>
      <vt:lpstr>GrossP2Q</vt:lpstr>
      <vt:lpstr>GrossP3Q</vt:lpstr>
      <vt:lpstr>GrossP4Q</vt:lpstr>
      <vt:lpstr>GrossPX4</vt:lpstr>
      <vt:lpstr>IncEmp1Q</vt:lpstr>
      <vt:lpstr>IncEmp2Q</vt:lpstr>
      <vt:lpstr>IncEmp3Q</vt:lpstr>
      <vt:lpstr>IncEmp4Q</vt:lpstr>
      <vt:lpstr>IncEmpX4</vt:lpstr>
      <vt:lpstr>IntAnnual</vt:lpstr>
      <vt:lpstr>IntExp1Q</vt:lpstr>
      <vt:lpstr>IntExp2Q</vt:lpstr>
      <vt:lpstr>IntExp3Q</vt:lpstr>
      <vt:lpstr>IntExp4Q</vt:lpstr>
      <vt:lpstr>IntExpX4</vt:lpstr>
      <vt:lpstr>IntPer1Q</vt:lpstr>
      <vt:lpstr>IntPer2Q</vt:lpstr>
      <vt:lpstr>IntPer3Q</vt:lpstr>
      <vt:lpstr>IntPer4Q</vt:lpstr>
      <vt:lpstr>InvNeed1Q</vt:lpstr>
      <vt:lpstr>InvNeed2Q</vt:lpstr>
      <vt:lpstr>InvNeed3Q</vt:lpstr>
      <vt:lpstr>InvNeed4Q</vt:lpstr>
      <vt:lpstr>InvNeedX4</vt:lpstr>
      <vt:lpstr>InvTurn1Q</vt:lpstr>
      <vt:lpstr>InvTurn2Q</vt:lpstr>
      <vt:lpstr>InvTurn3Q</vt:lpstr>
      <vt:lpstr>InvTurn4Q</vt:lpstr>
      <vt:lpstr>InvTurnX4</vt:lpstr>
      <vt:lpstr>Labor1Q</vt:lpstr>
      <vt:lpstr>Labor2Q</vt:lpstr>
      <vt:lpstr>Labor3Q</vt:lpstr>
      <vt:lpstr>Labor4Q</vt:lpstr>
      <vt:lpstr>LaborCPU1Q</vt:lpstr>
      <vt:lpstr>LaborCPU2Q</vt:lpstr>
      <vt:lpstr>LaborCPU3Q</vt:lpstr>
      <vt:lpstr>LaborCPU4Q</vt:lpstr>
      <vt:lpstr>LaborX4</vt:lpstr>
      <vt:lpstr>Loan1Q</vt:lpstr>
      <vt:lpstr>Loan2Q</vt:lpstr>
      <vt:lpstr>Loan3Q</vt:lpstr>
      <vt:lpstr>Loan4Q</vt:lpstr>
      <vt:lpstr>LoanVal1Q</vt:lpstr>
      <vt:lpstr>LoanVal2Q</vt:lpstr>
      <vt:lpstr>LoanVal3Q</vt:lpstr>
      <vt:lpstr>LoanVal4Q</vt:lpstr>
      <vt:lpstr>LoanX4</vt:lpstr>
      <vt:lpstr>MACRW</vt:lpstr>
      <vt:lpstr>MACVal</vt:lpstr>
      <vt:lpstr>MACWV</vt:lpstr>
      <vt:lpstr>MedCoAssets</vt:lpstr>
      <vt:lpstr>MedCompFCF</vt:lpstr>
      <vt:lpstr>MedCompNI</vt:lpstr>
      <vt:lpstr>MedCompPFCF</vt:lpstr>
      <vt:lpstr>MedCompPNI</vt:lpstr>
      <vt:lpstr>MedCompPS</vt:lpstr>
      <vt:lpstr>MedCompSales</vt:lpstr>
      <vt:lpstr>MedCompVal</vt:lpstr>
      <vt:lpstr>MedCoNI</vt:lpstr>
      <vt:lpstr>MedCoPA</vt:lpstr>
      <vt:lpstr>MedCoPNI</vt:lpstr>
      <vt:lpstr>MedCoPS</vt:lpstr>
      <vt:lpstr>MedCoSales</vt:lpstr>
      <vt:lpstr>MedCoVal</vt:lpstr>
      <vt:lpstr>MinCash1Q</vt:lpstr>
      <vt:lpstr>MinCash2Q</vt:lpstr>
      <vt:lpstr>MinCash3Q</vt:lpstr>
      <vt:lpstr>MinCash4Q</vt:lpstr>
      <vt:lpstr>MiscExp1Q</vt:lpstr>
      <vt:lpstr>MiscExp2Q</vt:lpstr>
      <vt:lpstr>MiscExp3Q</vt:lpstr>
      <vt:lpstr>MiscExp4Q</vt:lpstr>
      <vt:lpstr>MiscExpX4</vt:lpstr>
      <vt:lpstr>MiscPct1Q</vt:lpstr>
      <vt:lpstr>MiscPct2Q</vt:lpstr>
      <vt:lpstr>MiscPct3Q</vt:lpstr>
      <vt:lpstr>MiscPct4Q</vt:lpstr>
      <vt:lpstr>NetInc1Q</vt:lpstr>
      <vt:lpstr>NetInc2Q</vt:lpstr>
      <vt:lpstr>NetInc3Q</vt:lpstr>
      <vt:lpstr>NetInc4Q</vt:lpstr>
      <vt:lpstr>NetIncX4</vt:lpstr>
      <vt:lpstr>NI_X4</vt:lpstr>
      <vt:lpstr>NI1Q</vt:lpstr>
      <vt:lpstr>NI2Q</vt:lpstr>
      <vt:lpstr>NI3Q</vt:lpstr>
      <vt:lpstr>NI4Q</vt:lpstr>
      <vt:lpstr>NoAA1Q</vt:lpstr>
      <vt:lpstr>NoAA2Q</vt:lpstr>
      <vt:lpstr>NoAA3Q</vt:lpstr>
      <vt:lpstr>NoAA4Q</vt:lpstr>
      <vt:lpstr>NoCA1Q</vt:lpstr>
      <vt:lpstr>NoCA2Q</vt:lpstr>
      <vt:lpstr>NoCA3Q</vt:lpstr>
      <vt:lpstr>NoCA4Q</vt:lpstr>
      <vt:lpstr>NoCEO1Q</vt:lpstr>
      <vt:lpstr>NoCEO2Q</vt:lpstr>
      <vt:lpstr>NoCEO3Q</vt:lpstr>
      <vt:lpstr>NoCEO4Q</vt:lpstr>
      <vt:lpstr>NoCFO1Q</vt:lpstr>
      <vt:lpstr>NoCFO2Q</vt:lpstr>
      <vt:lpstr>NoCFO3Q</vt:lpstr>
      <vt:lpstr>NoCFO4Q</vt:lpstr>
      <vt:lpstr>NoEmp1Q</vt:lpstr>
      <vt:lpstr>NoEmp2Q</vt:lpstr>
      <vt:lpstr>NoEmp3Q</vt:lpstr>
      <vt:lpstr>NoEmp4Q</vt:lpstr>
      <vt:lpstr>NoHE1Q</vt:lpstr>
      <vt:lpstr>NoHE2Q</vt:lpstr>
      <vt:lpstr>NoHE3Q</vt:lpstr>
      <vt:lpstr>NoHE4Q</vt:lpstr>
      <vt:lpstr>NoSP1Q</vt:lpstr>
      <vt:lpstr>NoSP2Q</vt:lpstr>
      <vt:lpstr>NoSP3Q</vt:lpstr>
      <vt:lpstr>NoSP4Q</vt:lpstr>
      <vt:lpstr>NoVPBD1Q</vt:lpstr>
      <vt:lpstr>NoVPBD2Q</vt:lpstr>
      <vt:lpstr>NoVPBD3Q</vt:lpstr>
      <vt:lpstr>NoVPBD4Q</vt:lpstr>
      <vt:lpstr>NoVPE1Q</vt:lpstr>
      <vt:lpstr>NoVPE2Q</vt:lpstr>
      <vt:lpstr>NoVPE3Q</vt:lpstr>
      <vt:lpstr>NoVPE4Q</vt:lpstr>
      <vt:lpstr>NoVPSM1Q</vt:lpstr>
      <vt:lpstr>NoVPSM2Q</vt:lpstr>
      <vt:lpstr>NoVPSM3Q</vt:lpstr>
      <vt:lpstr>NoVPSM4Q</vt:lpstr>
      <vt:lpstr>NPMar1Q</vt:lpstr>
      <vt:lpstr>NPMar2Q</vt:lpstr>
      <vt:lpstr>NPMar3Q</vt:lpstr>
      <vt:lpstr>NPMar4Q</vt:lpstr>
      <vt:lpstr>NPMarX4</vt:lpstr>
      <vt:lpstr>NPV</vt:lpstr>
      <vt:lpstr>NWC1Q</vt:lpstr>
      <vt:lpstr>NWC2Q</vt:lpstr>
      <vt:lpstr>NWC3Q</vt:lpstr>
      <vt:lpstr>NWC4Q</vt:lpstr>
      <vt:lpstr>NWCX4</vt:lpstr>
      <vt:lpstr>OpExp1Q</vt:lpstr>
      <vt:lpstr>OpExp2Q</vt:lpstr>
      <vt:lpstr>OpExp3Q</vt:lpstr>
      <vt:lpstr>OpExp4Q</vt:lpstr>
      <vt:lpstr>OpExpX4</vt:lpstr>
      <vt:lpstr>OpInc1Q</vt:lpstr>
      <vt:lpstr>OpInc2Q</vt:lpstr>
      <vt:lpstr>OpInc3Q</vt:lpstr>
      <vt:lpstr>OpInc4Q</vt:lpstr>
      <vt:lpstr>OpIncX4</vt:lpstr>
      <vt:lpstr>OpLev1Q</vt:lpstr>
      <vt:lpstr>OpLev2Q</vt:lpstr>
      <vt:lpstr>OpLev3Q</vt:lpstr>
      <vt:lpstr>OpLev4Q</vt:lpstr>
      <vt:lpstr>OpLevX4</vt:lpstr>
      <vt:lpstr>PACAPEX1Q</vt:lpstr>
      <vt:lpstr>PACAPEX2Q</vt:lpstr>
      <vt:lpstr>PACAPEX3Q</vt:lpstr>
      <vt:lpstr>PACAPEX4Q</vt:lpstr>
      <vt:lpstr>PayCapB1Q</vt:lpstr>
      <vt:lpstr>PayCapB2Q</vt:lpstr>
      <vt:lpstr>PayCapB3Q</vt:lpstr>
      <vt:lpstr>PayCapB4Q</vt:lpstr>
      <vt:lpstr>PayCapBX4</vt:lpstr>
      <vt:lpstr>Payment1Q</vt:lpstr>
      <vt:lpstr>Payment2Q</vt:lpstr>
      <vt:lpstr>Payment3Q</vt:lpstr>
      <vt:lpstr>Payment4Q</vt:lpstr>
      <vt:lpstr>PaymentX4</vt:lpstr>
      <vt:lpstr>PCCRW</vt:lpstr>
      <vt:lpstr>PCCVal</vt:lpstr>
      <vt:lpstr>PCCWV</vt:lpstr>
      <vt:lpstr>Price1Q</vt:lpstr>
      <vt:lpstr>Price2Q</vt:lpstr>
      <vt:lpstr>Price3Q</vt:lpstr>
      <vt:lpstr>Price4Q</vt:lpstr>
      <vt:lpstr>PTMar1Q</vt:lpstr>
      <vt:lpstr>PTMar2Q</vt:lpstr>
      <vt:lpstr>PTMar3Q</vt:lpstr>
      <vt:lpstr>PTMar4Q</vt:lpstr>
      <vt:lpstr>PTMarX4</vt:lpstr>
      <vt:lpstr>Purch1Q</vt:lpstr>
      <vt:lpstr>Purch2Q</vt:lpstr>
      <vt:lpstr>Purch3Q</vt:lpstr>
      <vt:lpstr>Purch4Q</vt:lpstr>
      <vt:lpstr>PurchX4</vt:lpstr>
      <vt:lpstr>PV1Q</vt:lpstr>
      <vt:lpstr>PV2Q</vt:lpstr>
      <vt:lpstr>PV3Q</vt:lpstr>
      <vt:lpstr>PV4Q</vt:lpstr>
      <vt:lpstr>QtrsYr</vt:lpstr>
      <vt:lpstr>RDExp1Q</vt:lpstr>
      <vt:lpstr>RDExp2Q</vt:lpstr>
      <vt:lpstr>RDExp3Q</vt:lpstr>
      <vt:lpstr>RDExp4Q</vt:lpstr>
      <vt:lpstr>RDExpX4</vt:lpstr>
      <vt:lpstr>RDPct1Q</vt:lpstr>
      <vt:lpstr>RDPct2Q</vt:lpstr>
      <vt:lpstr>RDPct3Q</vt:lpstr>
      <vt:lpstr>RDPct4Q</vt:lpstr>
      <vt:lpstr>RE_X4</vt:lpstr>
      <vt:lpstr>RE1Q</vt:lpstr>
      <vt:lpstr>RE2Q</vt:lpstr>
      <vt:lpstr>RE3Q</vt:lpstr>
      <vt:lpstr>RE4Q</vt:lpstr>
      <vt:lpstr>RecTurn1Q</vt:lpstr>
      <vt:lpstr>RecTurn2Q</vt:lpstr>
      <vt:lpstr>RecTurn3Q</vt:lpstr>
      <vt:lpstr>RecTurn4Q</vt:lpstr>
      <vt:lpstr>RecTurnX4</vt:lpstr>
      <vt:lpstr>RentExp1Q</vt:lpstr>
      <vt:lpstr>RentExp2Q</vt:lpstr>
      <vt:lpstr>RentExp3Q</vt:lpstr>
      <vt:lpstr>RentExp4Q</vt:lpstr>
      <vt:lpstr>RentExpX4</vt:lpstr>
      <vt:lpstr>RentFt1Q</vt:lpstr>
      <vt:lpstr>RentFt2Q</vt:lpstr>
      <vt:lpstr>RentFt3Q</vt:lpstr>
      <vt:lpstr>RentFt4Q</vt:lpstr>
      <vt:lpstr>Repay1Q</vt:lpstr>
      <vt:lpstr>Repay2Q</vt:lpstr>
      <vt:lpstr>Repay3Q</vt:lpstr>
      <vt:lpstr>Repay4Q</vt:lpstr>
      <vt:lpstr>RepayX4</vt:lpstr>
      <vt:lpstr>RevEmp1Q</vt:lpstr>
      <vt:lpstr>RevEmp2Q</vt:lpstr>
      <vt:lpstr>RevEmp3Q</vt:lpstr>
      <vt:lpstr>RevEmp4Q</vt:lpstr>
      <vt:lpstr>RevEmpX4</vt:lpstr>
      <vt:lpstr>Revs1Q</vt:lpstr>
      <vt:lpstr>Revs2Q</vt:lpstr>
      <vt:lpstr>Revs3Q</vt:lpstr>
      <vt:lpstr>Revs4Q</vt:lpstr>
      <vt:lpstr>RevsX4</vt:lpstr>
      <vt:lpstr>ROA1Q</vt:lpstr>
      <vt:lpstr>ROA2Q</vt:lpstr>
      <vt:lpstr>ROA3Q</vt:lpstr>
      <vt:lpstr>ROA4Q</vt:lpstr>
      <vt:lpstr>ROAX4</vt:lpstr>
      <vt:lpstr>ROC1Q</vt:lpstr>
      <vt:lpstr>ROC2Q</vt:lpstr>
      <vt:lpstr>ROC3Q</vt:lpstr>
      <vt:lpstr>ROC4Q</vt:lpstr>
      <vt:lpstr>ROCX4</vt:lpstr>
      <vt:lpstr>ROE1Q</vt:lpstr>
      <vt:lpstr>ROE2Q</vt:lpstr>
      <vt:lpstr>ROE3Q</vt:lpstr>
      <vt:lpstr>ROE4Q</vt:lpstr>
      <vt:lpstr>ROEX4</vt:lpstr>
      <vt:lpstr>Sal1Q</vt:lpstr>
      <vt:lpstr>Sal2Q</vt:lpstr>
      <vt:lpstr>Sal3Q</vt:lpstr>
      <vt:lpstr>Sal4Q</vt:lpstr>
      <vt:lpstr>SalAA1Q</vt:lpstr>
      <vt:lpstr>SalAA2Q</vt:lpstr>
      <vt:lpstr>SalAA3Q</vt:lpstr>
      <vt:lpstr>SalAA4Q</vt:lpstr>
      <vt:lpstr>SalAAX4</vt:lpstr>
      <vt:lpstr>SalCA1Q</vt:lpstr>
      <vt:lpstr>SalCA2Q</vt:lpstr>
      <vt:lpstr>SalCA3Q</vt:lpstr>
      <vt:lpstr>SalCA4Q</vt:lpstr>
      <vt:lpstr>SalCAX4</vt:lpstr>
      <vt:lpstr>SalCEO1Q</vt:lpstr>
      <vt:lpstr>SalCEO2Q</vt:lpstr>
      <vt:lpstr>SalCEO3Q</vt:lpstr>
      <vt:lpstr>SalCEO4Q</vt:lpstr>
      <vt:lpstr>SalCEOX4</vt:lpstr>
      <vt:lpstr>SalCFO1Q</vt:lpstr>
      <vt:lpstr>SalCFO2Q</vt:lpstr>
      <vt:lpstr>SalCFO3Q</vt:lpstr>
      <vt:lpstr>SalCFO4Q</vt:lpstr>
      <vt:lpstr>SalCFOX4</vt:lpstr>
      <vt:lpstr>Sales1Q</vt:lpstr>
      <vt:lpstr>Sales2Q</vt:lpstr>
      <vt:lpstr>Sales3Q</vt:lpstr>
      <vt:lpstr>Sales4Q</vt:lpstr>
      <vt:lpstr>SalesX4</vt:lpstr>
      <vt:lpstr>SalExp1Q</vt:lpstr>
      <vt:lpstr>SalExp2Q</vt:lpstr>
      <vt:lpstr>SalExp3Q</vt:lpstr>
      <vt:lpstr>SalExp4Q</vt:lpstr>
      <vt:lpstr>SalExpX4</vt:lpstr>
      <vt:lpstr>SalHE1Q</vt:lpstr>
      <vt:lpstr>SalHE2Q</vt:lpstr>
      <vt:lpstr>SalHE3Q</vt:lpstr>
      <vt:lpstr>SalHE4Q</vt:lpstr>
      <vt:lpstr>SalHEX4</vt:lpstr>
      <vt:lpstr>SalSP1Q</vt:lpstr>
      <vt:lpstr>SalSP2Q</vt:lpstr>
      <vt:lpstr>SalSP3Q</vt:lpstr>
      <vt:lpstr>SalSP4Q</vt:lpstr>
      <vt:lpstr>SalSPX4</vt:lpstr>
      <vt:lpstr>SalVPBD1Q</vt:lpstr>
      <vt:lpstr>SalVPBD2Q</vt:lpstr>
      <vt:lpstr>SalVPBD3Q</vt:lpstr>
      <vt:lpstr>SalVPBD4Q</vt:lpstr>
      <vt:lpstr>SalVPBDX4</vt:lpstr>
      <vt:lpstr>SalVPE1Q</vt:lpstr>
      <vt:lpstr>SalVPE2Q</vt:lpstr>
      <vt:lpstr>SalVPE3Q</vt:lpstr>
      <vt:lpstr>SalVPE4Q</vt:lpstr>
      <vt:lpstr>SalVPEX4</vt:lpstr>
      <vt:lpstr>SalVPSM1Q</vt:lpstr>
      <vt:lpstr>SalVPSM2Q</vt:lpstr>
      <vt:lpstr>SalVPSM3Q</vt:lpstr>
      <vt:lpstr>SalVPSM4Q</vt:lpstr>
      <vt:lpstr>SalVPSMX4</vt:lpstr>
      <vt:lpstr>SalX4</vt:lpstr>
      <vt:lpstr>Screen1Q</vt:lpstr>
      <vt:lpstr>Screen2Q</vt:lpstr>
      <vt:lpstr>Screen3Q</vt:lpstr>
      <vt:lpstr>Screen4Q</vt:lpstr>
      <vt:lpstr>ScreenCPU1Q</vt:lpstr>
      <vt:lpstr>ScreenCPU2Q</vt:lpstr>
      <vt:lpstr>ScreenCPU3Q</vt:lpstr>
      <vt:lpstr>ScreenCPU4Q</vt:lpstr>
      <vt:lpstr>ScreenX4</vt:lpstr>
      <vt:lpstr>SIFCF</vt:lpstr>
      <vt:lpstr>SIFCFVal</vt:lpstr>
      <vt:lpstr>SINI</vt:lpstr>
      <vt:lpstr>SINIVal</vt:lpstr>
      <vt:lpstr>SIPFCF</vt:lpstr>
      <vt:lpstr>SIPNI</vt:lpstr>
      <vt:lpstr>SIPS</vt:lpstr>
      <vt:lpstr>SISales</vt:lpstr>
      <vt:lpstr>SISalesVal</vt:lpstr>
      <vt:lpstr>SIVal</vt:lpstr>
      <vt:lpstr>SubAP1Q</vt:lpstr>
      <vt:lpstr>SubAP2Q</vt:lpstr>
      <vt:lpstr>SubAP3Q</vt:lpstr>
      <vt:lpstr>SubAP4Q</vt:lpstr>
      <vt:lpstr>SubAPX4</vt:lpstr>
      <vt:lpstr>SubAR1Q</vt:lpstr>
      <vt:lpstr>SubAR2Q</vt:lpstr>
      <vt:lpstr>SubAR3Q</vt:lpstr>
      <vt:lpstr>SubAR4Q</vt:lpstr>
      <vt:lpstr>SubARX4</vt:lpstr>
      <vt:lpstr>TaxExp1Q</vt:lpstr>
      <vt:lpstr>TaxExp2Q</vt:lpstr>
      <vt:lpstr>TaxExp3Q</vt:lpstr>
      <vt:lpstr>TaxExp4Q</vt:lpstr>
      <vt:lpstr>TaxExpX4</vt:lpstr>
      <vt:lpstr>TaxInc1Q</vt:lpstr>
      <vt:lpstr>TaxInc2Q</vt:lpstr>
      <vt:lpstr>TaxInc3Q</vt:lpstr>
      <vt:lpstr>TaxInc4Q</vt:lpstr>
      <vt:lpstr>TaxIncX4</vt:lpstr>
      <vt:lpstr>TaxPct1Q</vt:lpstr>
      <vt:lpstr>TaxPct2Q</vt:lpstr>
      <vt:lpstr>TaxPct3Q</vt:lpstr>
      <vt:lpstr>TaxPct4Q</vt:lpstr>
      <vt:lpstr>TermVal4Q</vt:lpstr>
      <vt:lpstr>TermValX4</vt:lpstr>
      <vt:lpstr>TFCF1Q</vt:lpstr>
      <vt:lpstr>TFCF2Q</vt:lpstr>
      <vt:lpstr>TFCF3Q</vt:lpstr>
      <vt:lpstr>TFCF4Q</vt:lpstr>
      <vt:lpstr>TFCFX4</vt:lpstr>
      <vt:lpstr>TotalCPU1Q</vt:lpstr>
      <vt:lpstr>TotalCPU2Q</vt:lpstr>
      <vt:lpstr>TotalCPU3Q</vt:lpstr>
      <vt:lpstr>TotalCPU4Q</vt:lpstr>
      <vt:lpstr>TotalDis1Q</vt:lpstr>
      <vt:lpstr>TotalDis2Q</vt:lpstr>
      <vt:lpstr>TotalDis3Q</vt:lpstr>
      <vt:lpstr>TotalDis4Q</vt:lpstr>
      <vt:lpstr>TotalDisX4</vt:lpstr>
      <vt:lpstr>TotAssets1Q</vt:lpstr>
      <vt:lpstr>TotAssets2Q</vt:lpstr>
      <vt:lpstr>TotAssets3Q</vt:lpstr>
      <vt:lpstr>TotAssets4Q</vt:lpstr>
      <vt:lpstr>TotAssetsX4</vt:lpstr>
      <vt:lpstr>TotCosts1Q</vt:lpstr>
      <vt:lpstr>TotCosts2Q</vt:lpstr>
      <vt:lpstr>TotCosts3Q</vt:lpstr>
      <vt:lpstr>TotCosts4Q</vt:lpstr>
      <vt:lpstr>TotCostsX4</vt:lpstr>
      <vt:lpstr>TotLiabs1Q</vt:lpstr>
      <vt:lpstr>TotLiabs2Q</vt:lpstr>
      <vt:lpstr>TotLiabs3Q</vt:lpstr>
      <vt:lpstr>TotLiabs4Q</vt:lpstr>
      <vt:lpstr>TotLiabsX4</vt:lpstr>
      <vt:lpstr>TotLOE1Q</vt:lpstr>
      <vt:lpstr>TotLOE2Q</vt:lpstr>
      <vt:lpstr>TotLOE3Q</vt:lpstr>
      <vt:lpstr>TotLOE4Q</vt:lpstr>
      <vt:lpstr>TotLOEX4</vt:lpstr>
      <vt:lpstr>TotOE1Q</vt:lpstr>
      <vt:lpstr>TotOE2Q</vt:lpstr>
      <vt:lpstr>TotOE3Q</vt:lpstr>
      <vt:lpstr>TotOE4Q</vt:lpstr>
      <vt:lpstr>TotOEX4</vt:lpstr>
      <vt:lpstr>TotRW</vt:lpstr>
      <vt:lpstr>TotWV</vt:lpstr>
      <vt:lpstr>Units1Q</vt:lpstr>
      <vt:lpstr>Units2Q</vt:lpstr>
      <vt:lpstr>Units3Q</vt:lpstr>
      <vt:lpstr>Units4Q</vt:lpstr>
      <vt:lpstr>VarCosts1Q</vt:lpstr>
      <vt:lpstr>VarCosts2Q</vt:lpstr>
      <vt:lpstr>VarCosts3Q</vt:lpstr>
      <vt:lpstr>VarCosts4Q</vt:lpstr>
      <vt:lpstr>VarCostsX4</vt:lpstr>
      <vt:lpstr>VCperUnit1Q</vt:lpstr>
      <vt:lpstr>VCperUnit2Q</vt:lpstr>
      <vt:lpstr>VCperUnit3Q</vt:lpstr>
      <vt:lpstr>VCperUnit4Q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Proctor</dc:creator>
  <cp:lastModifiedBy>Ankita Pattanayak</cp:lastModifiedBy>
  <cp:lastPrinted>2003-11-08T20:23:35Z</cp:lastPrinted>
  <dcterms:created xsi:type="dcterms:W3CDTF">2003-10-14T00:53:44Z</dcterms:created>
  <dcterms:modified xsi:type="dcterms:W3CDTF">2024-05-23T03:53:07Z</dcterms:modified>
</cp:coreProperties>
</file>