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db213c698def482/Desktop/finance Analytics/"/>
    </mc:Choice>
  </mc:AlternateContent>
  <xr:revisionPtr revIDLastSave="0" documentId="8_{89397E49-593D-4D95-B949-712B1EB6762C}" xr6:coauthVersionLast="46" xr6:coauthVersionMax="46" xr10:uidLastSave="{00000000-0000-0000-0000-000000000000}"/>
  <bookViews>
    <workbookView xWindow="-110" yWindow="-110" windowWidth="19420" windowHeight="11020" firstSheet="3" activeTab="9" xr2:uid="{00000000-000D-0000-FFFF-FFFF00000000}"/>
  </bookViews>
  <sheets>
    <sheet name="Index" sheetId="1" r:id="rId1"/>
    <sheet name="P &amp; L Source" sheetId="7" r:id="rId2"/>
    <sheet name="P &amp; L Assumptions" sheetId="2" r:id="rId3"/>
    <sheet name="BS Source" sheetId="8" r:id="rId4"/>
    <sheet name="BS Assumptions" sheetId="3" r:id="rId5"/>
    <sheet name="P &amp; L" sheetId="9" r:id="rId6"/>
    <sheet name="BS" sheetId="4" r:id="rId7"/>
    <sheet name="Cash Flow" sheetId="5" r:id="rId8"/>
    <sheet name="DCF Valuation" sheetId="6" r:id="rId9"/>
    <sheet name="Relative Valuation" sheetId="10" r:id="rId10"/>
  </sheets>
  <externalReferences>
    <externalReference r:id="rId11"/>
  </externalReferences>
  <definedNames>
    <definedName name="FCFX4">'[1]Free Cash Flows'!$G$11</definedName>
    <definedName name="MedCompPFCF">'Relative Valuation'!$J$11</definedName>
    <definedName name="MedCompPNI">'Relative Valuation'!$I$11</definedName>
    <definedName name="MedCompPS">'Relative Valuation'!$H$11</definedName>
    <definedName name="MedCoPA">'Relative Valuation'!$J$35</definedName>
    <definedName name="MedCoPNI">'Relative Valuation'!$I$35</definedName>
    <definedName name="MedCoPS">'Relative Valuation'!$H$35</definedName>
    <definedName name="NetIncX4">'[1]Income Statement'!$G$18</definedName>
    <definedName name="SalesX4">'[1]Sales and Collections'!$G$7</definedName>
    <definedName name="SIPFCF">'Relative Valuation'!$J$14</definedName>
    <definedName name="SIPNI">'Relative Valuation'!$I$14</definedName>
    <definedName name="SIPS">'Relative Valuation'!$H$14</definedName>
    <definedName name="TotAssetsX4">'[1]Balance Sheet'!$G$8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0" l="1"/>
  <c r="D47" i="10"/>
  <c r="D48" i="10"/>
  <c r="D46" i="10"/>
  <c r="B48" i="10"/>
  <c r="B47" i="10"/>
  <c r="B46" i="10"/>
  <c r="F43" i="10"/>
  <c r="E43" i="10"/>
  <c r="D43" i="10"/>
  <c r="I36" i="10"/>
  <c r="J36" i="10"/>
  <c r="J34" i="10"/>
  <c r="J35" i="10"/>
  <c r="I34" i="10"/>
  <c r="I35" i="10"/>
  <c r="J33" i="10"/>
  <c r="I33" i="10"/>
  <c r="H36" i="10"/>
  <c r="H34" i="10"/>
  <c r="H35" i="10"/>
  <c r="H33" i="10"/>
  <c r="F23" i="10"/>
  <c r="E23" i="10"/>
  <c r="D23" i="10"/>
  <c r="F22" i="10"/>
  <c r="E22" i="10"/>
  <c r="D22" i="10"/>
  <c r="J15" i="10"/>
  <c r="I15" i="10"/>
  <c r="H15" i="10"/>
  <c r="J12" i="10"/>
  <c r="J10" i="10"/>
  <c r="J11" i="10"/>
  <c r="J9" i="10"/>
  <c r="I12" i="10"/>
  <c r="I10" i="10"/>
  <c r="I11" i="10"/>
  <c r="I9" i="10"/>
  <c r="H12" i="10"/>
  <c r="H10" i="10"/>
  <c r="H11" i="10"/>
  <c r="H9" i="10"/>
  <c r="C4" i="6"/>
  <c r="C5" i="6"/>
  <c r="C20" i="6" l="1"/>
  <c r="C19" i="6"/>
  <c r="C16" i="6"/>
  <c r="C17" i="6" s="1"/>
  <c r="H11" i="6"/>
  <c r="I11" i="6"/>
  <c r="J11" i="6"/>
  <c r="K11" i="6"/>
  <c r="G11" i="6"/>
  <c r="H8" i="6"/>
  <c r="I8" i="6"/>
  <c r="J8" i="6"/>
  <c r="K8" i="6"/>
  <c r="G8" i="6"/>
  <c r="R18" i="1"/>
  <c r="R16" i="1"/>
  <c r="R15" i="1"/>
  <c r="R13" i="1"/>
  <c r="R12" i="1"/>
  <c r="D28" i="5"/>
  <c r="D32" i="5"/>
  <c r="H30" i="5"/>
  <c r="I30" i="5"/>
  <c r="J30" i="5"/>
  <c r="K30" i="5"/>
  <c r="G30" i="5"/>
  <c r="E30" i="5"/>
  <c r="D30" i="5"/>
  <c r="D33" i="5" s="1"/>
  <c r="E32" i="5" s="1"/>
  <c r="E33" i="5" s="1"/>
  <c r="G32" i="5" s="1"/>
  <c r="G33" i="5" s="1"/>
  <c r="E28" i="5"/>
  <c r="I28" i="5"/>
  <c r="J28" i="5"/>
  <c r="K28" i="5"/>
  <c r="H28" i="5"/>
  <c r="G28" i="5"/>
  <c r="I27" i="5"/>
  <c r="J27" i="5"/>
  <c r="K27" i="5"/>
  <c r="H27" i="5"/>
  <c r="G27" i="5"/>
  <c r="E27" i="5"/>
  <c r="D27" i="5"/>
  <c r="H26" i="5"/>
  <c r="I26" i="5"/>
  <c r="J26" i="5"/>
  <c r="K26" i="5"/>
  <c r="G26" i="5"/>
  <c r="E26" i="5"/>
  <c r="D26" i="5"/>
  <c r="H25" i="5"/>
  <c r="I25" i="5"/>
  <c r="J25" i="5"/>
  <c r="K25" i="5"/>
  <c r="G25" i="5"/>
  <c r="E25" i="5"/>
  <c r="D25" i="5"/>
  <c r="H23" i="5"/>
  <c r="I23" i="5"/>
  <c r="J23" i="5"/>
  <c r="K23" i="5"/>
  <c r="G23" i="5"/>
  <c r="E23" i="5"/>
  <c r="D23" i="5"/>
  <c r="H21" i="5"/>
  <c r="I21" i="5"/>
  <c r="J21" i="5"/>
  <c r="K21" i="5"/>
  <c r="G21" i="5"/>
  <c r="E21" i="5"/>
  <c r="D21" i="5"/>
  <c r="I19" i="5"/>
  <c r="J19" i="5"/>
  <c r="K19" i="5"/>
  <c r="H19" i="5"/>
  <c r="G19" i="5"/>
  <c r="E19" i="5"/>
  <c r="D19" i="5"/>
  <c r="I18" i="5"/>
  <c r="J18" i="5"/>
  <c r="K18" i="5"/>
  <c r="H18" i="5"/>
  <c r="G18" i="5"/>
  <c r="E18" i="5"/>
  <c r="D18" i="5"/>
  <c r="I16" i="5"/>
  <c r="J16" i="5"/>
  <c r="K16" i="5"/>
  <c r="H16" i="5"/>
  <c r="G16" i="5"/>
  <c r="E16" i="5"/>
  <c r="D16" i="5"/>
  <c r="H15" i="5"/>
  <c r="I15" i="5"/>
  <c r="J15" i="5"/>
  <c r="K15" i="5"/>
  <c r="G15" i="5"/>
  <c r="E15" i="5"/>
  <c r="D15" i="5"/>
  <c r="I14" i="5"/>
  <c r="J14" i="5"/>
  <c r="K14" i="5"/>
  <c r="H14" i="5"/>
  <c r="G14" i="5"/>
  <c r="E14" i="5"/>
  <c r="D14" i="5"/>
  <c r="I13" i="5"/>
  <c r="J13" i="5"/>
  <c r="K13" i="5"/>
  <c r="H13" i="5"/>
  <c r="G13" i="5"/>
  <c r="E13" i="5"/>
  <c r="D13" i="5"/>
  <c r="I12" i="5"/>
  <c r="J12" i="5"/>
  <c r="K12" i="5"/>
  <c r="H12" i="5"/>
  <c r="G12" i="5"/>
  <c r="E12" i="5"/>
  <c r="D12" i="5"/>
  <c r="H10" i="5"/>
  <c r="I10" i="5"/>
  <c r="J10" i="5"/>
  <c r="K10" i="5"/>
  <c r="G10" i="5"/>
  <c r="E10" i="5"/>
  <c r="D10" i="5"/>
  <c r="H9" i="5"/>
  <c r="I9" i="5"/>
  <c r="J9" i="5"/>
  <c r="K9" i="5"/>
  <c r="G9" i="5"/>
  <c r="E9" i="5"/>
  <c r="D9" i="5"/>
  <c r="H7" i="5"/>
  <c r="I7" i="5"/>
  <c r="J7" i="5"/>
  <c r="K7" i="5"/>
  <c r="G7" i="5"/>
  <c r="E7" i="5"/>
  <c r="D7" i="5"/>
  <c r="H5" i="5"/>
  <c r="I5" i="5"/>
  <c r="J5" i="5"/>
  <c r="K5" i="5"/>
  <c r="G5" i="5"/>
  <c r="E5" i="5"/>
  <c r="D5" i="5"/>
  <c r="H6" i="5"/>
  <c r="I6" i="5"/>
  <c r="J6" i="5"/>
  <c r="K6" i="5"/>
  <c r="G6" i="5"/>
  <c r="E6" i="5"/>
  <c r="D6" i="5"/>
  <c r="H4" i="5"/>
  <c r="I4" i="5"/>
  <c r="J4" i="5"/>
  <c r="K4" i="5"/>
  <c r="G4" i="5"/>
  <c r="E4" i="5"/>
  <c r="D4" i="5"/>
  <c r="H23" i="4"/>
  <c r="I23" i="4"/>
  <c r="J23" i="4"/>
  <c r="K23" i="4"/>
  <c r="G23" i="4"/>
  <c r="D23" i="4"/>
  <c r="E23" i="4"/>
  <c r="C23" i="4"/>
  <c r="I21" i="4"/>
  <c r="J21" i="4"/>
  <c r="K21" i="4"/>
  <c r="H21" i="4"/>
  <c r="G21" i="4"/>
  <c r="D21" i="4"/>
  <c r="E21" i="4"/>
  <c r="C21" i="4"/>
  <c r="I19" i="4"/>
  <c r="J19" i="4"/>
  <c r="K19" i="4"/>
  <c r="H19" i="4"/>
  <c r="G19" i="4"/>
  <c r="D19" i="4"/>
  <c r="E19" i="4"/>
  <c r="C19" i="4"/>
  <c r="H17" i="4"/>
  <c r="I17" i="4"/>
  <c r="J17" i="4"/>
  <c r="K17" i="4"/>
  <c r="G17" i="4"/>
  <c r="D17" i="4"/>
  <c r="E17" i="4"/>
  <c r="C17" i="4"/>
  <c r="H16" i="4"/>
  <c r="I16" i="4"/>
  <c r="J16" i="4"/>
  <c r="K16" i="4"/>
  <c r="G16" i="4"/>
  <c r="D16" i="4"/>
  <c r="E16" i="4"/>
  <c r="C16" i="4"/>
  <c r="D14" i="4"/>
  <c r="E14" i="4"/>
  <c r="C14" i="4"/>
  <c r="D12" i="4"/>
  <c r="E12" i="4"/>
  <c r="F12" i="4"/>
  <c r="C12" i="4"/>
  <c r="H10" i="4"/>
  <c r="I10" i="4"/>
  <c r="J10" i="4"/>
  <c r="K10" i="4"/>
  <c r="H9" i="4"/>
  <c r="I9" i="4"/>
  <c r="J9" i="4"/>
  <c r="K9" i="4"/>
  <c r="H8" i="4"/>
  <c r="I8" i="4"/>
  <c r="J8" i="4"/>
  <c r="K8" i="4"/>
  <c r="G10" i="4"/>
  <c r="G9" i="4"/>
  <c r="G8" i="4"/>
  <c r="D10" i="4"/>
  <c r="E10" i="4"/>
  <c r="D9" i="4"/>
  <c r="E9" i="4"/>
  <c r="D8" i="4"/>
  <c r="E8" i="4"/>
  <c r="C10" i="4"/>
  <c r="C9" i="4"/>
  <c r="C8" i="4"/>
  <c r="I6" i="4"/>
  <c r="J6" i="4"/>
  <c r="K6" i="4"/>
  <c r="H6" i="4"/>
  <c r="G6" i="4"/>
  <c r="D6" i="4"/>
  <c r="E6" i="4"/>
  <c r="C6" i="4"/>
  <c r="H5" i="4"/>
  <c r="I5" i="4"/>
  <c r="J5" i="4"/>
  <c r="K5" i="4"/>
  <c r="G5" i="4"/>
  <c r="D5" i="4"/>
  <c r="E5" i="4"/>
  <c r="C5" i="4"/>
  <c r="I4" i="4"/>
  <c r="J4" i="4"/>
  <c r="K4" i="4" s="1"/>
  <c r="H4" i="4"/>
  <c r="G4" i="4"/>
  <c r="D4" i="4"/>
  <c r="E4" i="4"/>
  <c r="C4" i="4"/>
  <c r="J20" i="3"/>
  <c r="K20" i="3"/>
  <c r="G20" i="3"/>
  <c r="I21" i="3"/>
  <c r="J21" i="3" s="1"/>
  <c r="K21" i="3" s="1"/>
  <c r="H21" i="3"/>
  <c r="H20" i="3" s="1"/>
  <c r="E20" i="3"/>
  <c r="E21" i="3" s="1"/>
  <c r="F20" i="3"/>
  <c r="F17" i="4" s="1"/>
  <c r="D20" i="3"/>
  <c r="D21" i="3" s="1"/>
  <c r="C20" i="3"/>
  <c r="C21" i="3" s="1"/>
  <c r="H17" i="3"/>
  <c r="G17" i="3"/>
  <c r="H18" i="3"/>
  <c r="I18" i="3" s="1"/>
  <c r="E18" i="3"/>
  <c r="C18" i="3"/>
  <c r="D17" i="3"/>
  <c r="D18" i="3" s="1"/>
  <c r="E17" i="3"/>
  <c r="C17" i="3"/>
  <c r="C15" i="3"/>
  <c r="D14" i="3"/>
  <c r="D15" i="3" s="1"/>
  <c r="E14" i="3"/>
  <c r="E15" i="3" s="1"/>
  <c r="C14" i="3"/>
  <c r="D11" i="3"/>
  <c r="D12" i="3" s="1"/>
  <c r="E11" i="3"/>
  <c r="E12" i="3" s="1"/>
  <c r="G12" i="3" s="1"/>
  <c r="C11" i="3"/>
  <c r="C12" i="3" s="1"/>
  <c r="E9" i="3"/>
  <c r="G9" i="3" s="1"/>
  <c r="D8" i="3"/>
  <c r="D9" i="3" s="1"/>
  <c r="E8" i="3"/>
  <c r="C8" i="3"/>
  <c r="C9" i="3" s="1"/>
  <c r="G6" i="3"/>
  <c r="G5" i="3" s="1"/>
  <c r="E6" i="3"/>
  <c r="C6" i="3"/>
  <c r="D5" i="3"/>
  <c r="D6" i="3" s="1"/>
  <c r="E5" i="3"/>
  <c r="C5" i="3"/>
  <c r="H24" i="9"/>
  <c r="I24" i="9"/>
  <c r="J24" i="9"/>
  <c r="K24" i="9"/>
  <c r="G24" i="9"/>
  <c r="D24" i="9"/>
  <c r="E24" i="9"/>
  <c r="C24" i="9"/>
  <c r="H51" i="2"/>
  <c r="I51" i="2"/>
  <c r="J51" i="2"/>
  <c r="K51" i="2"/>
  <c r="G51" i="2"/>
  <c r="H21" i="9"/>
  <c r="I21" i="9"/>
  <c r="J21" i="9"/>
  <c r="K21" i="9"/>
  <c r="G21" i="9"/>
  <c r="H22" i="9"/>
  <c r="I22" i="9"/>
  <c r="J22" i="9"/>
  <c r="K22" i="9"/>
  <c r="G22" i="9"/>
  <c r="D22" i="9"/>
  <c r="E22" i="9"/>
  <c r="C22" i="9"/>
  <c r="D21" i="9"/>
  <c r="E21" i="9"/>
  <c r="C21" i="9"/>
  <c r="H19" i="9"/>
  <c r="I19" i="9"/>
  <c r="J19" i="9"/>
  <c r="K19" i="9"/>
  <c r="G19" i="9"/>
  <c r="D19" i="9"/>
  <c r="E19" i="9"/>
  <c r="C19" i="9"/>
  <c r="H18" i="9"/>
  <c r="I18" i="9"/>
  <c r="J18" i="9"/>
  <c r="K18" i="9"/>
  <c r="G18" i="9"/>
  <c r="D18" i="9"/>
  <c r="E18" i="9"/>
  <c r="C18" i="9"/>
  <c r="H17" i="9"/>
  <c r="I17" i="9"/>
  <c r="J17" i="9"/>
  <c r="K17" i="9"/>
  <c r="G17" i="9"/>
  <c r="D17" i="9"/>
  <c r="E17" i="9"/>
  <c r="C17" i="9"/>
  <c r="H15" i="9"/>
  <c r="I15" i="9"/>
  <c r="J15" i="9"/>
  <c r="K15" i="9"/>
  <c r="G15" i="9"/>
  <c r="D15" i="9"/>
  <c r="E15" i="9"/>
  <c r="C15" i="9"/>
  <c r="H14" i="9"/>
  <c r="I14" i="9"/>
  <c r="J14" i="9"/>
  <c r="K14" i="9"/>
  <c r="G14" i="9"/>
  <c r="D14" i="9"/>
  <c r="E14" i="9"/>
  <c r="C14" i="9"/>
  <c r="H12" i="9"/>
  <c r="I12" i="9"/>
  <c r="J12" i="9"/>
  <c r="K12" i="9"/>
  <c r="G12" i="9"/>
  <c r="D12" i="9"/>
  <c r="E12" i="9"/>
  <c r="H27" i="2"/>
  <c r="H11" i="9" s="1"/>
  <c r="I27" i="2"/>
  <c r="I11" i="9" s="1"/>
  <c r="J27" i="2"/>
  <c r="J11" i="9" s="1"/>
  <c r="K27" i="2"/>
  <c r="K11" i="9" s="1"/>
  <c r="G27" i="2"/>
  <c r="C12" i="9"/>
  <c r="G11" i="9"/>
  <c r="D11" i="9"/>
  <c r="E11" i="9"/>
  <c r="C11" i="9"/>
  <c r="H9" i="9"/>
  <c r="I9" i="9"/>
  <c r="J9" i="9"/>
  <c r="K9" i="9"/>
  <c r="G9" i="9"/>
  <c r="D9" i="9"/>
  <c r="E9" i="9"/>
  <c r="C9" i="9"/>
  <c r="H8" i="9"/>
  <c r="I8" i="9"/>
  <c r="J8" i="9"/>
  <c r="K8" i="9"/>
  <c r="G8" i="9"/>
  <c r="D8" i="9"/>
  <c r="E8" i="9"/>
  <c r="C8" i="9"/>
  <c r="H6" i="9"/>
  <c r="I6" i="9"/>
  <c r="J6" i="9"/>
  <c r="K6" i="9"/>
  <c r="G6" i="9"/>
  <c r="D6" i="9"/>
  <c r="E6" i="9"/>
  <c r="C6" i="9"/>
  <c r="H5" i="9"/>
  <c r="I5" i="9"/>
  <c r="J5" i="9"/>
  <c r="K5" i="9"/>
  <c r="G5" i="9"/>
  <c r="D5" i="9"/>
  <c r="E5" i="9"/>
  <c r="C5" i="9"/>
  <c r="H4" i="9"/>
  <c r="I4" i="9"/>
  <c r="J4" i="9"/>
  <c r="K4" i="9"/>
  <c r="G4" i="9"/>
  <c r="D4" i="9"/>
  <c r="E4" i="9"/>
  <c r="C4" i="9"/>
  <c r="H52" i="2"/>
  <c r="I52" i="2"/>
  <c r="J52" i="2"/>
  <c r="K52" i="2"/>
  <c r="G52" i="2"/>
  <c r="H45" i="2"/>
  <c r="I45" i="2"/>
  <c r="J45" i="2"/>
  <c r="K45" i="2"/>
  <c r="G45" i="2"/>
  <c r="H46" i="2"/>
  <c r="I46" i="2"/>
  <c r="J46" i="2"/>
  <c r="K46" i="2"/>
  <c r="G46" i="2"/>
  <c r="I39" i="2"/>
  <c r="J39" i="2" s="1"/>
  <c r="K39" i="2" s="1"/>
  <c r="H39" i="2"/>
  <c r="G39" i="2"/>
  <c r="H40" i="2"/>
  <c r="I40" i="2"/>
  <c r="J40" i="2"/>
  <c r="K40" i="2"/>
  <c r="G40" i="2"/>
  <c r="H33" i="2"/>
  <c r="I33" i="2"/>
  <c r="J33" i="2"/>
  <c r="K33" i="2"/>
  <c r="G33" i="2"/>
  <c r="H34" i="2"/>
  <c r="I34" i="2"/>
  <c r="J34" i="2"/>
  <c r="K34" i="2"/>
  <c r="G34" i="2"/>
  <c r="H28" i="2"/>
  <c r="I28" i="2"/>
  <c r="J28" i="2"/>
  <c r="K28" i="2"/>
  <c r="G28" i="2"/>
  <c r="H21" i="2"/>
  <c r="I21" i="2"/>
  <c r="J21" i="2"/>
  <c r="K21" i="2"/>
  <c r="G21" i="2"/>
  <c r="H22" i="2"/>
  <c r="I22" i="2"/>
  <c r="J22" i="2"/>
  <c r="K22" i="2"/>
  <c r="G22" i="2"/>
  <c r="I15" i="2"/>
  <c r="J15" i="2" s="1"/>
  <c r="K15" i="2" s="1"/>
  <c r="H15" i="2"/>
  <c r="G15" i="2"/>
  <c r="H16" i="2"/>
  <c r="I16" i="2"/>
  <c r="J16" i="2"/>
  <c r="K16" i="2"/>
  <c r="G16" i="2"/>
  <c r="I9" i="2"/>
  <c r="J9" i="2" s="1"/>
  <c r="K9" i="2" s="1"/>
  <c r="H9" i="2"/>
  <c r="G9" i="2"/>
  <c r="H10" i="2"/>
  <c r="I10" i="2"/>
  <c r="J10" i="2"/>
  <c r="K10" i="2"/>
  <c r="G10" i="2"/>
  <c r="D52" i="2"/>
  <c r="E52" i="2"/>
  <c r="C52" i="2"/>
  <c r="D51" i="2"/>
  <c r="E51" i="2"/>
  <c r="C51" i="2"/>
  <c r="D46" i="2"/>
  <c r="E46" i="2"/>
  <c r="C46" i="2"/>
  <c r="D45" i="2"/>
  <c r="E45" i="2"/>
  <c r="C45" i="2"/>
  <c r="E40" i="2"/>
  <c r="D40" i="2"/>
  <c r="D39" i="2"/>
  <c r="E39" i="2"/>
  <c r="C39" i="2"/>
  <c r="D34" i="2"/>
  <c r="E34" i="2"/>
  <c r="C34" i="2"/>
  <c r="D33" i="2"/>
  <c r="E33" i="2"/>
  <c r="C33" i="2"/>
  <c r="D28" i="2"/>
  <c r="E28" i="2"/>
  <c r="C28" i="2"/>
  <c r="D27" i="2"/>
  <c r="E27" i="2"/>
  <c r="C27" i="2"/>
  <c r="D22" i="2"/>
  <c r="E22" i="2"/>
  <c r="C22" i="2"/>
  <c r="D21" i="2"/>
  <c r="E21" i="2"/>
  <c r="C21" i="2"/>
  <c r="E16" i="2"/>
  <c r="D16" i="2"/>
  <c r="D15" i="2"/>
  <c r="E15" i="2"/>
  <c r="C15" i="2"/>
  <c r="D10" i="2"/>
  <c r="E10" i="2"/>
  <c r="D9" i="2"/>
  <c r="E9" i="2"/>
  <c r="C9" i="2"/>
  <c r="F36" i="10"/>
  <c r="E36" i="10"/>
  <c r="D36" i="10"/>
  <c r="B36" i="10"/>
  <c r="F12" i="10"/>
  <c r="E12" i="10"/>
  <c r="D12" i="10"/>
  <c r="B12" i="10"/>
  <c r="C15" i="6" l="1"/>
  <c r="C18" i="6"/>
  <c r="F21" i="6" s="1"/>
  <c r="E15" i="6"/>
  <c r="E18" i="6" s="1"/>
  <c r="E17" i="6"/>
  <c r="G12" i="4"/>
  <c r="G14" i="4" s="1"/>
  <c r="H32" i="5"/>
  <c r="H33" i="5" s="1"/>
  <c r="H12" i="3"/>
  <c r="G11" i="3"/>
  <c r="I17" i="3"/>
  <c r="J18" i="3"/>
  <c r="G15" i="3"/>
  <c r="G8" i="3"/>
  <c r="H9" i="3"/>
  <c r="H6" i="3"/>
  <c r="I20" i="3"/>
  <c r="L17" i="8"/>
  <c r="K17" i="8"/>
  <c r="J17" i="8"/>
  <c r="F15" i="8"/>
  <c r="E15" i="8"/>
  <c r="D15" i="8"/>
  <c r="L8" i="8"/>
  <c r="K8" i="8"/>
  <c r="J8" i="8"/>
  <c r="J19" i="8" s="1"/>
  <c r="F8" i="8"/>
  <c r="F19" i="8" s="1"/>
  <c r="E8" i="8"/>
  <c r="D8" i="8"/>
  <c r="D14" i="7"/>
  <c r="D18" i="7" s="1"/>
  <c r="D23" i="7" s="1"/>
  <c r="D27" i="7" s="1"/>
  <c r="F6" i="7"/>
  <c r="F14" i="7" s="1"/>
  <c r="F18" i="7" s="1"/>
  <c r="F23" i="7" s="1"/>
  <c r="F27" i="7" s="1"/>
  <c r="E6" i="7"/>
  <c r="E14" i="7" s="1"/>
  <c r="E18" i="7" s="1"/>
  <c r="E23" i="7" s="1"/>
  <c r="E27" i="7" s="1"/>
  <c r="D6" i="7"/>
  <c r="G26" i="4"/>
  <c r="E26" i="4"/>
  <c r="D26" i="4"/>
  <c r="C26" i="4"/>
  <c r="B6" i="1"/>
  <c r="B7" i="1" s="1"/>
  <c r="B8" i="1" s="1"/>
  <c r="B9" i="1" s="1"/>
  <c r="B10" i="1" s="1"/>
  <c r="B11" i="1" s="1"/>
  <c r="B12" i="1" s="1"/>
  <c r="C21" i="6" l="1"/>
  <c r="I32" i="5"/>
  <c r="I33" i="5" s="1"/>
  <c r="H12" i="4"/>
  <c r="H14" i="4" s="1"/>
  <c r="H26" i="4" s="1"/>
  <c r="I9" i="3"/>
  <c r="H8" i="3"/>
  <c r="H5" i="3"/>
  <c r="I6" i="3"/>
  <c r="G14" i="3"/>
  <c r="H15" i="3"/>
  <c r="J17" i="3"/>
  <c r="K18" i="3"/>
  <c r="K17" i="3" s="1"/>
  <c r="H11" i="3"/>
  <c r="I12" i="3"/>
  <c r="E19" i="8"/>
  <c r="D19" i="8"/>
  <c r="K19" i="8"/>
  <c r="L19" i="8"/>
  <c r="J32" i="5" l="1"/>
  <c r="J33" i="5" s="1"/>
  <c r="I12" i="4"/>
  <c r="I14" i="4" s="1"/>
  <c r="I26" i="4" s="1"/>
  <c r="J6" i="3"/>
  <c r="I5" i="3"/>
  <c r="J9" i="3"/>
  <c r="I8" i="3"/>
  <c r="J12" i="3"/>
  <c r="I11" i="3"/>
  <c r="H14" i="3"/>
  <c r="I15" i="3"/>
  <c r="K32" i="5" l="1"/>
  <c r="K33" i="5" s="1"/>
  <c r="K12" i="4" s="1"/>
  <c r="K14" i="4" s="1"/>
  <c r="K26" i="4" s="1"/>
  <c r="J12" i="4"/>
  <c r="J14" i="4" s="1"/>
  <c r="J26" i="4" s="1"/>
  <c r="I14" i="3"/>
  <c r="J15" i="3"/>
  <c r="K12" i="3"/>
  <c r="K11" i="3" s="1"/>
  <c r="J11" i="3"/>
  <c r="K6" i="3"/>
  <c r="K5" i="3" s="1"/>
  <c r="J5" i="3"/>
  <c r="K9" i="3"/>
  <c r="K8" i="3" s="1"/>
  <c r="J8" i="3"/>
  <c r="J14" i="3" l="1"/>
  <c r="K15" i="3"/>
  <c r="K14" i="3" s="1"/>
</calcChain>
</file>

<file path=xl/sharedStrings.xml><?xml version="1.0" encoding="utf-8"?>
<sst xmlns="http://schemas.openxmlformats.org/spreadsheetml/2006/main" count="387" uniqueCount="206">
  <si>
    <t>DCF Valuation</t>
  </si>
  <si>
    <t>Sheet index</t>
  </si>
  <si>
    <t xml:space="preserve">#                </t>
  </si>
  <si>
    <t>Worksheet</t>
  </si>
  <si>
    <t>1.Input --&gt;</t>
  </si>
  <si>
    <t>P&amp;L assumptions</t>
  </si>
  <si>
    <t>BS assumptions</t>
  </si>
  <si>
    <t>2.Output --&gt;</t>
  </si>
  <si>
    <t>P&amp;L</t>
  </si>
  <si>
    <t>BS</t>
  </si>
  <si>
    <t>Cash Flow</t>
  </si>
  <si>
    <t>DCF valuation</t>
  </si>
  <si>
    <t>3. Sources --&gt;</t>
  </si>
  <si>
    <t>P&amp;L source</t>
  </si>
  <si>
    <t>BS source</t>
  </si>
  <si>
    <t>Case scenarios:</t>
  </si>
  <si>
    <t>Case 1: Optimistic case</t>
  </si>
  <si>
    <t>Case 2: Base case</t>
  </si>
  <si>
    <t>Selected case</t>
  </si>
  <si>
    <t>Case 3: Worst case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</si>
  <si>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</si>
  <si>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</si>
  <si>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</si>
  <si>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</si>
  <si>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</si>
  <si>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</si>
  <si>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</si>
  <si>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</si>
  <si>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</si>
  <si>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D&amp;A</t>
  </si>
  <si>
    <t>Interest expenses</t>
  </si>
  <si>
    <t>Extraordinary items</t>
  </si>
  <si>
    <t>Taxes</t>
  </si>
  <si>
    <t>% of EBT</t>
  </si>
  <si>
    <t>Trade receivable</t>
  </si>
  <si>
    <t>Days receivables (DSO)</t>
  </si>
  <si>
    <t>Inventory</t>
  </si>
  <si>
    <t>Days inventory (DIO)</t>
  </si>
  <si>
    <t>Trade payable</t>
  </si>
  <si>
    <t>Days payables (DPO)</t>
  </si>
  <si>
    <t>PP&amp;E</t>
  </si>
  <si>
    <t>as a % of revenues</t>
  </si>
  <si>
    <t>Other assets</t>
  </si>
  <si>
    <t>Other liabilities</t>
  </si>
  <si>
    <t>Balance Sheet</t>
  </si>
  <si>
    <t>Note</t>
  </si>
  <si>
    <t>Intangible assets</t>
  </si>
  <si>
    <t>Financial assets</t>
  </si>
  <si>
    <t>Cash and equivalents</t>
  </si>
  <si>
    <t>Total Assets</t>
  </si>
  <si>
    <t>Financial liabilities</t>
  </si>
  <si>
    <t>Shareholders' equity</t>
  </si>
  <si>
    <t>Total Liabilities &amp; Equities</t>
  </si>
  <si>
    <t>Check</t>
  </si>
  <si>
    <t>.</t>
  </si>
  <si>
    <t>EBIT</t>
  </si>
  <si>
    <t>Operating taxes</t>
  </si>
  <si>
    <t>Operating tax rate</t>
  </si>
  <si>
    <t>NOPAT</t>
  </si>
  <si>
    <t>Add-back D&amp;A</t>
  </si>
  <si>
    <t>Gross Cash Flow</t>
  </si>
  <si>
    <t>1)</t>
  </si>
  <si>
    <t>Trade receivables</t>
  </si>
  <si>
    <t>Trade payables</t>
  </si>
  <si>
    <t>Investments in working capital</t>
  </si>
  <si>
    <t>2)</t>
  </si>
  <si>
    <t>Investments in other assets/liabilities</t>
  </si>
  <si>
    <t>3)</t>
  </si>
  <si>
    <t>Capex</t>
  </si>
  <si>
    <t>4)</t>
  </si>
  <si>
    <t>Other investments</t>
  </si>
  <si>
    <t>5)</t>
  </si>
  <si>
    <t>6)</t>
  </si>
  <si>
    <t>UFCF</t>
  </si>
  <si>
    <t>1) + 2) + 3) + 4) + 5) + 6)</t>
  </si>
  <si>
    <t>7)</t>
  </si>
  <si>
    <t>Delta Oper taxes vs. Taxes</t>
  </si>
  <si>
    <t>8)</t>
  </si>
  <si>
    <t>Delta Financial liabilities</t>
  </si>
  <si>
    <t>9)</t>
  </si>
  <si>
    <t>Delta Equity incl. dividends</t>
  </si>
  <si>
    <t>BS, P&amp;L</t>
  </si>
  <si>
    <t>10)</t>
  </si>
  <si>
    <t>Net Cash Flow</t>
  </si>
  <si>
    <t>1)+ 2)+ 3)+ 4)+ 5)+ 6)+ 7)+ 8)+ 9)+ 10)</t>
  </si>
  <si>
    <t>Opening cash</t>
  </si>
  <si>
    <t>Closing cash</t>
  </si>
  <si>
    <t>WACC</t>
  </si>
  <si>
    <t>g</t>
  </si>
  <si>
    <t>Discount factor (WACC)</t>
  </si>
  <si>
    <t>PV of UFCF</t>
  </si>
  <si>
    <t>Unlevered free cash flow multiplied by discount factor in order to obtain Present Value</t>
  </si>
  <si>
    <t>PV of Cash flows</t>
  </si>
  <si>
    <t>of Enterprise value</t>
  </si>
  <si>
    <t>Sum of the present value of Cash Flows for the period 2014-2018</t>
  </si>
  <si>
    <t>Continuing value</t>
  </si>
  <si>
    <t>PV of Continuing value</t>
  </si>
  <si>
    <t>Enterprise value</t>
  </si>
  <si>
    <t>-Financial liabilities</t>
  </si>
  <si>
    <t>+Cash</t>
  </si>
  <si>
    <t>Equity value</t>
  </si>
  <si>
    <t>Revenue from sales and services</t>
  </si>
  <si>
    <t>Other revenue</t>
  </si>
  <si>
    <t>Revenue</t>
  </si>
  <si>
    <t>Raw materials</t>
  </si>
  <si>
    <t>Direct costs</t>
  </si>
  <si>
    <t>Cost for services</t>
  </si>
  <si>
    <t>Lease costs</t>
  </si>
  <si>
    <t>Other operating expenses</t>
  </si>
  <si>
    <t>EBITDA</t>
  </si>
  <si>
    <t>Financial income/expenses</t>
  </si>
  <si>
    <t>Extraordinary income</t>
  </si>
  <si>
    <t>EBT</t>
  </si>
  <si>
    <t>Net Income</t>
  </si>
  <si>
    <t>Share Capital</t>
  </si>
  <si>
    <t>Reserves</t>
  </si>
  <si>
    <t>Retained earnings</t>
  </si>
  <si>
    <t>Profit/(loss) for the year</t>
  </si>
  <si>
    <t>Fixed assets</t>
  </si>
  <si>
    <t>Total Equity</t>
  </si>
  <si>
    <t>Deferred taxes</t>
  </si>
  <si>
    <t>Provisions for retirement benefits</t>
  </si>
  <si>
    <t>Non fixed assets</t>
  </si>
  <si>
    <t>Bank borrowings</t>
  </si>
  <si>
    <t>Other Financial liabilities</t>
  </si>
  <si>
    <t>Total Liabilities</t>
  </si>
  <si>
    <t>Total Liabilities &amp; Equity</t>
  </si>
  <si>
    <t>Total Revenues</t>
  </si>
  <si>
    <t>Gross Margin</t>
  </si>
  <si>
    <t>Tax rate</t>
  </si>
  <si>
    <t>Rs in thousands</t>
  </si>
  <si>
    <t>Public Company Comparables</t>
  </si>
  <si>
    <t>Multiple of Projected</t>
  </si>
  <si>
    <t xml:space="preserve">Projected </t>
  </si>
  <si>
    <t>Valuation</t>
  </si>
  <si>
    <t>Net</t>
  </si>
  <si>
    <t>Free Cash</t>
  </si>
  <si>
    <t>(Price)</t>
  </si>
  <si>
    <t>Sales</t>
  </si>
  <si>
    <t>Income</t>
  </si>
  <si>
    <t>Flows</t>
  </si>
  <si>
    <t>Direct Competitors</t>
  </si>
  <si>
    <t>Competitor 1</t>
  </si>
  <si>
    <t>Competitor 2</t>
  </si>
  <si>
    <t>Competitor 3</t>
  </si>
  <si>
    <t>Median</t>
  </si>
  <si>
    <t>Stock Index</t>
  </si>
  <si>
    <t>Valuation Based Upon Median Multiples</t>
  </si>
  <si>
    <t>and Projected</t>
  </si>
  <si>
    <t>Direct competitors median multiples</t>
  </si>
  <si>
    <t>Stock index multiples</t>
  </si>
  <si>
    <t>Mergers and Acquisitions Comparables</t>
  </si>
  <si>
    <t>Assets</t>
  </si>
  <si>
    <t>Target Companies</t>
  </si>
  <si>
    <t>Company 1</t>
  </si>
  <si>
    <t>Company 2</t>
  </si>
  <si>
    <t>Company 3</t>
  </si>
  <si>
    <t xml:space="preserve">and Projected </t>
  </si>
  <si>
    <t>Target companies median multiples</t>
  </si>
  <si>
    <t>Relative Valuation</t>
  </si>
  <si>
    <t>FY1
Actual</t>
  </si>
  <si>
    <t>FY2
Actual</t>
  </si>
  <si>
    <t>FY3
Actual</t>
  </si>
  <si>
    <t>FY4
Forecast</t>
  </si>
  <si>
    <t>FY5
Forecast</t>
  </si>
  <si>
    <t>FY6
Forecast</t>
  </si>
  <si>
    <t>FY7
Forecast</t>
  </si>
  <si>
    <t>FY8
Forecast</t>
  </si>
  <si>
    <t>Value</t>
  </si>
  <si>
    <t>RFR</t>
  </si>
  <si>
    <t>MR</t>
  </si>
  <si>
    <t>Beta</t>
  </si>
  <si>
    <t>Int Exp</t>
  </si>
  <si>
    <t>Debt</t>
  </si>
  <si>
    <t>Equity</t>
  </si>
  <si>
    <t>Tax</t>
  </si>
  <si>
    <t>Cost of Equity</t>
  </si>
  <si>
    <t>Cost of Debt</t>
  </si>
  <si>
    <t>Wt of Debt</t>
  </si>
  <si>
    <t>Wt of Equity</t>
  </si>
  <si>
    <t>Constant Growth</t>
  </si>
  <si>
    <t>ARTR = Revenue / TR</t>
  </si>
  <si>
    <t>DSO = 360 / ARTR</t>
  </si>
  <si>
    <t>DSO = (360 / Rev) x TR</t>
  </si>
  <si>
    <t>TR = (DSO X Rev) / 360</t>
  </si>
  <si>
    <t>ITR = COGS / Inv</t>
  </si>
  <si>
    <t>DIO = 360 / ITR</t>
  </si>
  <si>
    <t>DIO = (360 / COGS) X Inv</t>
  </si>
  <si>
    <t>Inv = (DIO x COGS)/360</t>
  </si>
  <si>
    <t>APTR = COGS / TP</t>
  </si>
  <si>
    <t>DPO = 360 / APTR</t>
  </si>
  <si>
    <t>DPO = (360 / COGS) x TP</t>
  </si>
  <si>
    <t>TP = (DPO x COGS) / 360</t>
  </si>
  <si>
    <t>Flat</t>
  </si>
  <si>
    <t>Assumptions</t>
  </si>
  <si>
    <t>Cash Flow Statement</t>
  </si>
  <si>
    <t>No additional debt or repayments</t>
  </si>
  <si>
    <t>Opening Equity + Net Income</t>
  </si>
  <si>
    <t xml:space="preserve">Equity </t>
  </si>
  <si>
    <t xml:space="preserve">explecit forcast period </t>
  </si>
  <si>
    <t>Terminal value</t>
  </si>
  <si>
    <t>DCF</t>
  </si>
  <si>
    <t xml:space="preserve">Public company comparables </t>
  </si>
  <si>
    <t xml:space="preserve">M &amp; A Comparables </t>
  </si>
  <si>
    <t xml:space="preserve">Assume waitage </t>
  </si>
  <si>
    <t>Value of firm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</si>
</sst>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_);_(* \(#,##0.0\);_(* &quot;-&quot;?_);@_)"/>
    <numFmt numFmtId="166" formatCode="_(* #,##0_);_(* \(#,##0\);_(* &quot;-&quot;?_);@_)"/>
    <numFmt numFmtId="167" formatCode="0.0%"/>
    <numFmt numFmtId="168" formatCode="_(* #,##0_);_(* \(#,##0\);_(* &quot;-&quot;??_);_(@_)"/>
    <numFmt numFmtId="169" formatCode="_(* #,##0.0_);_(* \(#,##0.0\);_(* &quot;-&quot;?_);@_l"/>
    <numFmt numFmtId="170" formatCode="_(* #,##0_);_(* \(#,##0\);_(* &quot;-&quot;?_);@_l"/>
    <numFmt numFmtId="171" formatCode="_(* #,##0.0_);_(* \(#,##0.0\);_(* &quot;-&quot;??_);_(@_)"/>
    <numFmt numFmtId="172" formatCode="_(&quot;$&quot;* #,##0_);_(&quot;$&quot;* \(#,##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9"/>
      <color rgb="FF002060"/>
      <name val="Arial"/>
      <family val="2"/>
    </font>
    <font>
      <i/>
      <sz val="8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b/>
      <sz val="14"/>
      <color theme="3"/>
      <name val="Calibri"/>
      <family val="2"/>
      <scheme val="minor"/>
    </font>
    <font>
      <b/>
      <sz val="14"/>
      <color theme="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00206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206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1" applyFill="0" applyProtection="0">
      <alignment horizontal="right" wrapText="1"/>
    </xf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7" fillId="3" borderId="0" xfId="0" applyFont="1" applyFill="1"/>
    <xf numFmtId="165" fontId="3" fillId="2" borderId="0" xfId="0" applyNumberFormat="1" applyFont="1" applyFill="1"/>
    <xf numFmtId="165" fontId="4" fillId="2" borderId="0" xfId="0" applyNumberFormat="1" applyFont="1" applyFill="1"/>
    <xf numFmtId="165" fontId="5" fillId="2" borderId="2" xfId="0" applyNumberFormat="1" applyFont="1" applyFill="1" applyBorder="1"/>
    <xf numFmtId="165" fontId="5" fillId="2" borderId="2" xfId="0" applyNumberFormat="1" applyFont="1" applyFill="1" applyBorder="1" applyAlignment="1">
      <alignment horizontal="right" wrapText="1"/>
    </xf>
    <xf numFmtId="165" fontId="5" fillId="2" borderId="0" xfId="0" applyNumberFormat="1" applyFont="1" applyFill="1" applyAlignment="1">
      <alignment horizontal="right" wrapText="1"/>
    </xf>
    <xf numFmtId="165" fontId="5" fillId="4" borderId="2" xfId="0" applyNumberFormat="1" applyFont="1" applyFill="1" applyBorder="1" applyAlignment="1">
      <alignment horizontal="right" wrapText="1"/>
    </xf>
    <xf numFmtId="166" fontId="4" fillId="2" borderId="0" xfId="0" applyNumberFormat="1" applyFont="1" applyFill="1"/>
    <xf numFmtId="166" fontId="4" fillId="4" borderId="0" xfId="0" applyNumberFormat="1" applyFont="1" applyFill="1"/>
    <xf numFmtId="166" fontId="4" fillId="2" borderId="0" xfId="0" applyNumberFormat="1" applyFont="1" applyFill="1" applyAlignment="1">
      <alignment horizontal="right"/>
    </xf>
    <xf numFmtId="167" fontId="4" fillId="2" borderId="0" xfId="2" applyNumberFormat="1" applyFont="1" applyFill="1"/>
    <xf numFmtId="9" fontId="4" fillId="4" borderId="0" xfId="2" applyFont="1" applyFill="1"/>
    <xf numFmtId="165" fontId="4" fillId="5" borderId="0" xfId="0" applyNumberFormat="1" applyFont="1" applyFill="1"/>
    <xf numFmtId="9" fontId="4" fillId="2" borderId="0" xfId="2" applyFont="1" applyFill="1"/>
    <xf numFmtId="168" fontId="4" fillId="4" borderId="0" xfId="0" applyNumberFormat="1" applyFont="1" applyFill="1"/>
    <xf numFmtId="167" fontId="4" fillId="4" borderId="0" xfId="2" applyNumberFormat="1" applyFont="1" applyFill="1"/>
    <xf numFmtId="165" fontId="10" fillId="2" borderId="0" xfId="0" applyNumberFormat="1" applyFont="1" applyFill="1"/>
    <xf numFmtId="165" fontId="10" fillId="4" borderId="0" xfId="0" applyNumberFormat="1" applyFont="1" applyFill="1"/>
    <xf numFmtId="165" fontId="4" fillId="4" borderId="0" xfId="0" applyNumberFormat="1" applyFont="1" applyFill="1"/>
    <xf numFmtId="167" fontId="10" fillId="2" borderId="0" xfId="2" applyNumberFormat="1" applyFont="1" applyFill="1"/>
    <xf numFmtId="167" fontId="10" fillId="4" borderId="0" xfId="2" applyNumberFormat="1" applyFont="1" applyFill="1"/>
    <xf numFmtId="167" fontId="10" fillId="4" borderId="0" xfId="0" applyNumberFormat="1" applyFont="1" applyFill="1"/>
    <xf numFmtId="165" fontId="5" fillId="2" borderId="2" xfId="0" applyNumberFormat="1" applyFont="1" applyFill="1" applyBorder="1" applyAlignment="1">
      <alignment wrapText="1"/>
    </xf>
    <xf numFmtId="165" fontId="5" fillId="2" borderId="3" xfId="0" applyNumberFormat="1" applyFont="1" applyFill="1" applyBorder="1"/>
    <xf numFmtId="166" fontId="5" fillId="2" borderId="3" xfId="0" applyNumberFormat="1" applyFont="1" applyFill="1" applyBorder="1"/>
    <xf numFmtId="166" fontId="4" fillId="2" borderId="3" xfId="0" applyNumberFormat="1" applyFont="1" applyFill="1" applyBorder="1"/>
    <xf numFmtId="169" fontId="3" fillId="2" borderId="0" xfId="0" applyNumberFormat="1" applyFont="1" applyFill="1"/>
    <xf numFmtId="169" fontId="4" fillId="2" borderId="0" xfId="0" applyNumberFormat="1" applyFont="1" applyFill="1"/>
    <xf numFmtId="170" fontId="4" fillId="2" borderId="0" xfId="0" applyNumberFormat="1" applyFont="1" applyFill="1"/>
    <xf numFmtId="170" fontId="4" fillId="4" borderId="0" xfId="0" applyNumberFormat="1" applyFont="1" applyFill="1"/>
    <xf numFmtId="168" fontId="4" fillId="2" borderId="0" xfId="0" applyNumberFormat="1" applyFont="1" applyFill="1"/>
    <xf numFmtId="9" fontId="4" fillId="2" borderId="0" xfId="2" applyFont="1" applyFill="1" applyBorder="1"/>
    <xf numFmtId="9" fontId="4" fillId="4" borderId="0" xfId="2" applyFont="1" applyFill="1" applyBorder="1"/>
    <xf numFmtId="165" fontId="5" fillId="2" borderId="4" xfId="0" applyNumberFormat="1" applyFont="1" applyFill="1" applyBorder="1"/>
    <xf numFmtId="166" fontId="5" fillId="2" borderId="4" xfId="0" applyNumberFormat="1" applyFont="1" applyFill="1" applyBorder="1"/>
    <xf numFmtId="166" fontId="9" fillId="2" borderId="4" xfId="0" applyNumberFormat="1" applyFont="1" applyFill="1" applyBorder="1"/>
    <xf numFmtId="166" fontId="5" fillId="4" borderId="4" xfId="0" applyNumberFormat="1" applyFont="1" applyFill="1" applyBorder="1"/>
    <xf numFmtId="165" fontId="5" fillId="2" borderId="0" xfId="0" applyNumberFormat="1" applyFont="1" applyFill="1"/>
    <xf numFmtId="166" fontId="5" fillId="2" borderId="0" xfId="0" applyNumberFormat="1" applyFont="1" applyFill="1"/>
    <xf numFmtId="166" fontId="9" fillId="2" borderId="0" xfId="0" applyNumberFormat="1" applyFont="1" applyFill="1"/>
    <xf numFmtId="166" fontId="5" fillId="4" borderId="0" xfId="0" applyNumberFormat="1" applyFont="1" applyFill="1"/>
    <xf numFmtId="169" fontId="5" fillId="2" borderId="0" xfId="0" applyNumberFormat="1" applyFont="1" applyFill="1"/>
    <xf numFmtId="169" fontId="11" fillId="2" borderId="0" xfId="0" applyNumberFormat="1" applyFont="1" applyFill="1"/>
    <xf numFmtId="170" fontId="5" fillId="2" borderId="0" xfId="0" applyNumberFormat="1" applyFont="1" applyFill="1"/>
    <xf numFmtId="169" fontId="9" fillId="2" borderId="0" xfId="0" applyNumberFormat="1" applyFont="1" applyFill="1"/>
    <xf numFmtId="169" fontId="4" fillId="4" borderId="0" xfId="0" applyNumberFormat="1" applyFont="1" applyFill="1"/>
    <xf numFmtId="165" fontId="7" fillId="3" borderId="0" xfId="0" applyNumberFormat="1" applyFont="1" applyFill="1"/>
    <xf numFmtId="166" fontId="7" fillId="3" borderId="0" xfId="0" applyNumberFormat="1" applyFont="1" applyFill="1"/>
    <xf numFmtId="169" fontId="8" fillId="2" borderId="0" xfId="0" applyNumberFormat="1" applyFont="1" applyFill="1"/>
    <xf numFmtId="166" fontId="8" fillId="2" borderId="0" xfId="0" applyNumberFormat="1" applyFont="1" applyFill="1"/>
    <xf numFmtId="169" fontId="8" fillId="6" borderId="0" xfId="0" applyNumberFormat="1" applyFont="1" applyFill="1"/>
    <xf numFmtId="170" fontId="8" fillId="6" borderId="0" xfId="0" applyNumberFormat="1" applyFont="1" applyFill="1"/>
    <xf numFmtId="171" fontId="8" fillId="6" borderId="0" xfId="1" applyNumberFormat="1" applyFont="1" applyFill="1"/>
    <xf numFmtId="166" fontId="4" fillId="5" borderId="0" xfId="0" applyNumberFormat="1" applyFont="1" applyFill="1"/>
    <xf numFmtId="43" fontId="4" fillId="4" borderId="0" xfId="1" applyFont="1" applyFill="1" applyBorder="1"/>
    <xf numFmtId="165" fontId="5" fillId="5" borderId="4" xfId="0" applyNumberFormat="1" applyFont="1" applyFill="1" applyBorder="1"/>
    <xf numFmtId="9" fontId="4" fillId="2" borderId="0" xfId="2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49" fontId="4" fillId="2" borderId="0" xfId="0" quotePrefix="1" applyNumberFormat="1" applyFont="1" applyFill="1"/>
    <xf numFmtId="49" fontId="4" fillId="2" borderId="0" xfId="0" applyNumberFormat="1" applyFont="1" applyFill="1"/>
    <xf numFmtId="165" fontId="14" fillId="2" borderId="6" xfId="0" applyNumberFormat="1" applyFont="1" applyFill="1" applyBorder="1"/>
    <xf numFmtId="165" fontId="14" fillId="2" borderId="4" xfId="0" applyNumberFormat="1" applyFont="1" applyFill="1" applyBorder="1"/>
    <xf numFmtId="166" fontId="14" fillId="2" borderId="4" xfId="0" applyNumberFormat="1" applyFont="1" applyFill="1" applyBorder="1"/>
    <xf numFmtId="165" fontId="14" fillId="2" borderId="7" xfId="0" applyNumberFormat="1" applyFont="1" applyFill="1" applyBorder="1"/>
    <xf numFmtId="166" fontId="14" fillId="2" borderId="7" xfId="0" applyNumberFormat="1" applyFont="1" applyFill="1" applyBorder="1"/>
    <xf numFmtId="165" fontId="4" fillId="2" borderId="7" xfId="0" applyNumberFormat="1" applyFont="1" applyFill="1" applyBorder="1"/>
    <xf numFmtId="166" fontId="4" fillId="2" borderId="7" xfId="0" applyNumberFormat="1" applyFont="1" applyFill="1" applyBorder="1"/>
    <xf numFmtId="165" fontId="9" fillId="2" borderId="4" xfId="0" applyNumberFormat="1" applyFont="1" applyFill="1" applyBorder="1"/>
    <xf numFmtId="165" fontId="9" fillId="2" borderId="0" xfId="0" applyNumberFormat="1" applyFont="1" applyFill="1"/>
    <xf numFmtId="168" fontId="4" fillId="2" borderId="0" xfId="1" applyNumberFormat="1" applyFont="1" applyFill="1" applyBorder="1"/>
    <xf numFmtId="0" fontId="15" fillId="0" borderId="6" xfId="0" applyFont="1" applyBorder="1"/>
    <xf numFmtId="0" fontId="0" fillId="0" borderId="6" xfId="0" applyBorder="1"/>
    <xf numFmtId="0" fontId="15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0" applyFont="1"/>
    <xf numFmtId="43" fontId="17" fillId="0" borderId="0" xfId="1" applyFont="1" applyFill="1"/>
    <xf numFmtId="0" fontId="0" fillId="0" borderId="0" xfId="0" applyAlignment="1">
      <alignment horizontal="left" indent="1"/>
    </xf>
    <xf numFmtId="172" fontId="17" fillId="0" borderId="0" xfId="6" applyNumberFormat="1" applyFont="1" applyFill="1"/>
    <xf numFmtId="172" fontId="0" fillId="0" borderId="0" xfId="0" applyNumberFormat="1"/>
    <xf numFmtId="0" fontId="18" fillId="2" borderId="0" xfId="0" applyFont="1" applyFill="1"/>
    <xf numFmtId="0" fontId="19" fillId="2" borderId="0" xfId="0" applyFont="1" applyFill="1"/>
    <xf numFmtId="0" fontId="20" fillId="2" borderId="1" xfId="4" applyFont="1" applyFill="1" applyAlignment="1">
      <alignment horizontal="left" wrapText="1"/>
    </xf>
    <xf numFmtId="0" fontId="21" fillId="3" borderId="0" xfId="0" applyFont="1" applyFill="1" applyAlignment="1">
      <alignment horizontal="left"/>
    </xf>
    <xf numFmtId="0" fontId="21" fillId="3" borderId="0" xfId="0" applyFont="1" applyFill="1"/>
    <xf numFmtId="0" fontId="19" fillId="2" borderId="0" xfId="0" applyFont="1" applyFill="1" applyAlignment="1">
      <alignment horizontal="left"/>
    </xf>
    <xf numFmtId="0" fontId="22" fillId="2" borderId="0" xfId="3" applyFont="1" applyFill="1"/>
    <xf numFmtId="0" fontId="23" fillId="2" borderId="0" xfId="3" applyFont="1" applyFill="1"/>
    <xf numFmtId="0" fontId="22" fillId="0" borderId="0" xfId="3" applyFont="1"/>
    <xf numFmtId="172" fontId="12" fillId="0" borderId="0" xfId="6" applyNumberFormat="1" applyFont="1" applyFill="1"/>
    <xf numFmtId="43" fontId="12" fillId="0" borderId="0" xfId="1" applyFont="1" applyFill="1"/>
    <xf numFmtId="164" fontId="12" fillId="0" borderId="0" xfId="6" applyNumberFormat="1" applyFont="1" applyFill="1"/>
    <xf numFmtId="0" fontId="24" fillId="0" borderId="0" xfId="0" applyFont="1"/>
    <xf numFmtId="0" fontId="25" fillId="0" borderId="8" xfId="0" applyFont="1" applyBorder="1"/>
    <xf numFmtId="9" fontId="25" fillId="0" borderId="8" xfId="0" applyNumberFormat="1" applyFont="1" applyBorder="1"/>
    <xf numFmtId="9" fontId="25" fillId="0" borderId="8" xfId="2" applyFont="1" applyBorder="1"/>
    <xf numFmtId="10" fontId="25" fillId="0" borderId="8" xfId="0" applyNumberFormat="1" applyFont="1" applyBorder="1"/>
    <xf numFmtId="167" fontId="25" fillId="0" borderId="8" xfId="0" applyNumberFormat="1" applyFont="1" applyBorder="1"/>
    <xf numFmtId="10" fontId="4" fillId="2" borderId="0" xfId="2" applyNumberFormat="1" applyFont="1" applyFill="1"/>
    <xf numFmtId="165" fontId="5" fillId="0" borderId="0" xfId="0" applyNumberFormat="1" applyFont="1" applyAlignment="1">
      <alignment horizontal="right" wrapText="1"/>
    </xf>
    <xf numFmtId="165" fontId="26" fillId="0" borderId="0" xfId="0" applyNumberFormat="1" applyFont="1" applyAlignment="1">
      <alignment horizontal="right"/>
    </xf>
    <xf numFmtId="165" fontId="4" fillId="0" borderId="0" xfId="0" applyNumberFormat="1" applyFont="1"/>
    <xf numFmtId="166" fontId="4" fillId="0" borderId="0" xfId="0" applyNumberFormat="1" applyFont="1"/>
    <xf numFmtId="165" fontId="10" fillId="0" borderId="0" xfId="0" applyNumberFormat="1" applyFont="1"/>
    <xf numFmtId="167" fontId="10" fillId="0" borderId="0" xfId="2" applyNumberFormat="1" applyFont="1" applyFill="1"/>
    <xf numFmtId="167" fontId="10" fillId="0" borderId="0" xfId="0" applyNumberFormat="1" applyFont="1"/>
    <xf numFmtId="0" fontId="13" fillId="7" borderId="0" xfId="5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8" borderId="0" xfId="0" applyFill="1"/>
    <xf numFmtId="10" fontId="7" fillId="3" borderId="0" xfId="2" applyNumberFormat="1" applyFont="1" applyFill="1" applyBorder="1"/>
    <xf numFmtId="10" fontId="7" fillId="3" borderId="5" xfId="2" applyNumberFormat="1" applyFont="1" applyFill="1" applyBorder="1"/>
    <xf numFmtId="9" fontId="5" fillId="2" borderId="0" xfId="2" applyFont="1" applyFill="1"/>
    <xf numFmtId="165" fontId="5" fillId="2" borderId="8" xfId="0" applyNumberFormat="1" applyFont="1" applyFill="1" applyBorder="1"/>
    <xf numFmtId="9" fontId="4" fillId="2" borderId="8" xfId="2" applyFont="1" applyFill="1" applyBorder="1"/>
    <xf numFmtId="9" fontId="0" fillId="0" borderId="8" xfId="2" applyFont="1" applyBorder="1"/>
    <xf numFmtId="2" fontId="0" fillId="0" borderId="8" xfId="2" applyNumberFormat="1" applyFont="1" applyBorder="1"/>
    <xf numFmtId="2" fontId="0" fillId="0" borderId="8" xfId="0" applyNumberFormat="1" applyBorder="1"/>
    <xf numFmtId="0" fontId="27" fillId="0" borderId="0" xfId="0" applyFont="1"/>
  </cellXfs>
  <cellStyles count="7">
    <cellStyle name="Comma" xfId="1" builtinId="3"/>
    <cellStyle name="Currency" xfId="6" builtinId="4"/>
    <cellStyle name="Hyperlink" xfId="3" builtinId="8"/>
    <cellStyle name="Normal" xfId="0" builtinId="0"/>
    <cellStyle name="Normal_Project Accel Valuation v56" xfId="5" xr:uid="{0FEF9220-730F-46AF-8EE7-1B409658C420}"/>
    <cellStyle name="Percent" xfId="2" builtinId="5"/>
    <cellStyle name="Smart Subtitle 1" xfId="4" xr:uid="{70F45423-6D55-45E0-ADF0-4A1780B8D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171450</xdr:rowOff>
    </xdr:from>
    <xdr:to>
      <xdr:col>12</xdr:col>
      <xdr:colOff>406400</xdr:colOff>
      <xdr:row>3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4434189-5289-4640-8F7B-ED1CBEAB9F9D}"/>
            </a:ext>
          </a:extLst>
        </xdr:cNvPr>
        <xdr:cNvSpPr/>
      </xdr:nvSpPr>
      <xdr:spPr>
        <a:xfrm>
          <a:off x="3136900" y="171450"/>
          <a:ext cx="4311650" cy="546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Global Economic Analysis</a:t>
          </a:r>
        </a:p>
      </xdr:txBody>
    </xdr:sp>
    <xdr:clientData/>
  </xdr:twoCellAnchor>
  <xdr:twoCellAnchor>
    <xdr:from>
      <xdr:col>5</xdr:col>
      <xdr:colOff>425450</xdr:colOff>
      <xdr:row>4</xdr:row>
      <xdr:rowOff>127000</xdr:rowOff>
    </xdr:from>
    <xdr:to>
      <xdr:col>12</xdr:col>
      <xdr:colOff>469900</xdr:colOff>
      <xdr:row>7</xdr:row>
      <xdr:rowOff>120650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62B04D5-8057-4394-8B52-8024E7A342E2}"/>
            </a:ext>
          </a:extLst>
        </xdr:cNvPr>
        <xdr:cNvSpPr/>
      </xdr:nvSpPr>
      <xdr:spPr>
        <a:xfrm>
          <a:off x="3200400" y="882650"/>
          <a:ext cx="4311650" cy="546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Indian Economic Analysis</a:t>
          </a:r>
        </a:p>
      </xdr:txBody>
    </xdr:sp>
    <xdr:clientData/>
  </xdr:twoCellAnchor>
  <xdr:twoCellAnchor>
    <xdr:from>
      <xdr:col>5</xdr:col>
      <xdr:colOff>419100</xdr:colOff>
      <xdr:row>8</xdr:row>
      <xdr:rowOff>107950</xdr:rowOff>
    </xdr:from>
    <xdr:to>
      <xdr:col>12</xdr:col>
      <xdr:colOff>463550</xdr:colOff>
      <xdr:row>11</xdr:row>
      <xdr:rowOff>101600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3370F-7E0B-44E4-A0E4-817CB404C3D3}"/>
            </a:ext>
          </a:extLst>
        </xdr:cNvPr>
        <xdr:cNvSpPr/>
      </xdr:nvSpPr>
      <xdr:spPr>
        <a:xfrm>
          <a:off x="3194050" y="1600200"/>
          <a:ext cx="4311650" cy="5461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Industry Analysis</a:t>
          </a:r>
        </a:p>
      </xdr:txBody>
    </xdr:sp>
    <xdr:clientData/>
  </xdr:twoCellAnchor>
  <xdr:twoCellAnchor>
    <xdr:from>
      <xdr:col>5</xdr:col>
      <xdr:colOff>425450</xdr:colOff>
      <xdr:row>13</xdr:row>
      <xdr:rowOff>101600</xdr:rowOff>
    </xdr:from>
    <xdr:to>
      <xdr:col>12</xdr:col>
      <xdr:colOff>469900</xdr:colOff>
      <xdr:row>16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88A2673-D3FF-4C8E-9E80-37C893E5CA2F}"/>
            </a:ext>
          </a:extLst>
        </xdr:cNvPr>
        <xdr:cNvSpPr/>
      </xdr:nvSpPr>
      <xdr:spPr>
        <a:xfrm>
          <a:off x="3200400" y="233045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Company Analysis</a:t>
          </a:r>
        </a:p>
      </xdr:txBody>
    </xdr:sp>
    <xdr:clientData/>
  </xdr:twoCellAnchor>
  <xdr:twoCellAnchor>
    <xdr:from>
      <xdr:col>5</xdr:col>
      <xdr:colOff>165100</xdr:colOff>
      <xdr:row>18</xdr:row>
      <xdr:rowOff>25400</xdr:rowOff>
    </xdr:from>
    <xdr:to>
      <xdr:col>8</xdr:col>
      <xdr:colOff>495300</xdr:colOff>
      <xdr:row>20</xdr:row>
      <xdr:rowOff>31750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F5B44AA-772F-4E5F-83F5-A3A39E26866D}"/>
            </a:ext>
          </a:extLst>
        </xdr:cNvPr>
        <xdr:cNvSpPr/>
      </xdr:nvSpPr>
      <xdr:spPr>
        <a:xfrm>
          <a:off x="294005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Non Financial Analysis</a:t>
          </a:r>
        </a:p>
      </xdr:txBody>
    </xdr:sp>
    <xdr:clientData/>
  </xdr:twoCellAnchor>
  <xdr:twoCellAnchor>
    <xdr:from>
      <xdr:col>9</xdr:col>
      <xdr:colOff>57150</xdr:colOff>
      <xdr:row>18</xdr:row>
      <xdr:rowOff>25400</xdr:rowOff>
    </xdr:from>
    <xdr:to>
      <xdr:col>12</xdr:col>
      <xdr:colOff>387350</xdr:colOff>
      <xdr:row>20</xdr:row>
      <xdr:rowOff>31750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FC5D4EF7-5DE5-44B9-BB17-1706DDB86D0C}"/>
            </a:ext>
          </a:extLst>
        </xdr:cNvPr>
        <xdr:cNvSpPr/>
      </xdr:nvSpPr>
      <xdr:spPr>
        <a:xfrm>
          <a:off x="5270500" y="3175000"/>
          <a:ext cx="2159000" cy="3746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Financial Analysis</a:t>
          </a:r>
        </a:p>
      </xdr:txBody>
    </xdr:sp>
    <xdr:clientData/>
  </xdr:twoCellAnchor>
  <xdr:twoCellAnchor>
    <xdr:from>
      <xdr:col>8</xdr:col>
      <xdr:colOff>469900</xdr:colOff>
      <xdr:row>3</xdr:row>
      <xdr:rowOff>25400</xdr:rowOff>
    </xdr:from>
    <xdr:to>
      <xdr:col>9</xdr:col>
      <xdr:colOff>344932</xdr:colOff>
      <xdr:row>5</xdr:row>
      <xdr:rowOff>76200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E3E62D9-7419-42F8-A6BE-0C5057164BAA}"/>
            </a:ext>
          </a:extLst>
        </xdr:cNvPr>
        <xdr:cNvSpPr/>
      </xdr:nvSpPr>
      <xdr:spPr>
        <a:xfrm>
          <a:off x="5073650" y="5905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457200</xdr:colOff>
      <xdr:row>6</xdr:row>
      <xdr:rowOff>165100</xdr:rowOff>
    </xdr:from>
    <xdr:to>
      <xdr:col>9</xdr:col>
      <xdr:colOff>332232</xdr:colOff>
      <xdr:row>9</xdr:row>
      <xdr:rowOff>38100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14AE1D1-DAF1-45F0-AAA6-04CEA779034B}"/>
            </a:ext>
          </a:extLst>
        </xdr:cNvPr>
        <xdr:cNvSpPr/>
      </xdr:nvSpPr>
      <xdr:spPr>
        <a:xfrm>
          <a:off x="5060950" y="12890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419100</xdr:colOff>
      <xdr:row>10</xdr:row>
      <xdr:rowOff>152400</xdr:rowOff>
    </xdr:from>
    <xdr:to>
      <xdr:col>9</xdr:col>
      <xdr:colOff>294132</xdr:colOff>
      <xdr:row>14</xdr:row>
      <xdr:rowOff>25400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9DC00B4-56BC-48C7-9FDF-591DFFD14E79}"/>
            </a:ext>
          </a:extLst>
        </xdr:cNvPr>
        <xdr:cNvSpPr/>
      </xdr:nvSpPr>
      <xdr:spPr>
        <a:xfrm>
          <a:off x="5022850" y="20129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482600</xdr:colOff>
      <xdr:row>15</xdr:row>
      <xdr:rowOff>171450</xdr:rowOff>
    </xdr:from>
    <xdr:to>
      <xdr:col>7</xdr:col>
      <xdr:colOff>357632</xdr:colOff>
      <xdr:row>18</xdr:row>
      <xdr:rowOff>44450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2FB36FA9-D19D-4F65-90AF-0A68527C50D1}"/>
            </a:ext>
          </a:extLst>
        </xdr:cNvPr>
        <xdr:cNvSpPr/>
      </xdr:nvSpPr>
      <xdr:spPr>
        <a:xfrm>
          <a:off x="3867150" y="27686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419100</xdr:colOff>
      <xdr:row>16</xdr:row>
      <xdr:rowOff>25400</xdr:rowOff>
    </xdr:from>
    <xdr:to>
      <xdr:col>11</xdr:col>
      <xdr:colOff>294132</xdr:colOff>
      <xdr:row>18</xdr:row>
      <xdr:rowOff>82550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70E59716-8A06-4317-B883-F621DD90CA89}"/>
            </a:ext>
          </a:extLst>
        </xdr:cNvPr>
        <xdr:cNvSpPr/>
      </xdr:nvSpPr>
      <xdr:spPr>
        <a:xfrm>
          <a:off x="6242050" y="280670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368300</xdr:colOff>
      <xdr:row>21</xdr:row>
      <xdr:rowOff>82550</xdr:rowOff>
    </xdr:from>
    <xdr:to>
      <xdr:col>12</xdr:col>
      <xdr:colOff>412750</xdr:colOff>
      <xdr:row>24</xdr:row>
      <xdr:rowOff>76200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FC874F4-4562-46F2-B96E-9E6D89A459A3}"/>
            </a:ext>
          </a:extLst>
        </xdr:cNvPr>
        <xdr:cNvSpPr/>
      </xdr:nvSpPr>
      <xdr:spPr>
        <a:xfrm>
          <a:off x="3143250" y="37846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Projections</a:t>
          </a:r>
        </a:p>
      </xdr:txBody>
    </xdr:sp>
    <xdr:clientData/>
  </xdr:twoCellAnchor>
  <xdr:twoCellAnchor>
    <xdr:from>
      <xdr:col>8</xdr:col>
      <xdr:colOff>102410</xdr:colOff>
      <xdr:row>19</xdr:row>
      <xdr:rowOff>147176</xdr:rowOff>
    </xdr:from>
    <xdr:to>
      <xdr:col>8</xdr:col>
      <xdr:colOff>607555</xdr:colOff>
      <xdr:row>22</xdr:row>
      <xdr:rowOff>90026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F9EFAD8-9D22-479D-81A7-89962B71ABD3}"/>
            </a:ext>
          </a:extLst>
        </xdr:cNvPr>
        <xdr:cNvSpPr/>
      </xdr:nvSpPr>
      <xdr:spPr>
        <a:xfrm rot="18542566">
          <a:off x="4711083" y="3476003"/>
          <a:ext cx="495300" cy="50514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538755</xdr:colOff>
      <xdr:row>19</xdr:row>
      <xdr:rowOff>171795</xdr:rowOff>
    </xdr:from>
    <xdr:to>
      <xdr:col>9</xdr:col>
      <xdr:colOff>463787</xdr:colOff>
      <xdr:row>22</xdr:row>
      <xdr:rowOff>103977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2F0C276B-94F1-41A4-97A9-58510E508961}"/>
            </a:ext>
          </a:extLst>
        </xdr:cNvPr>
        <xdr:cNvSpPr/>
      </xdr:nvSpPr>
      <xdr:spPr>
        <a:xfrm rot="3123802">
          <a:off x="5167505" y="3480545"/>
          <a:ext cx="484632" cy="534632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387350</xdr:colOff>
      <xdr:row>25</xdr:row>
      <xdr:rowOff>69850</xdr:rowOff>
    </xdr:from>
    <xdr:to>
      <xdr:col>12</xdr:col>
      <xdr:colOff>431800</xdr:colOff>
      <xdr:row>28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91FD9AB-B1F8-4024-9BA6-F7DE4AC0DB7D}"/>
            </a:ext>
          </a:extLst>
        </xdr:cNvPr>
        <xdr:cNvSpPr/>
      </xdr:nvSpPr>
      <xdr:spPr>
        <a:xfrm>
          <a:off x="3162300" y="4508500"/>
          <a:ext cx="4311650" cy="546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Valuation</a:t>
          </a:r>
        </a:p>
      </xdr:txBody>
    </xdr:sp>
    <xdr:clientData/>
  </xdr:twoCellAnchor>
  <xdr:twoCellAnchor>
    <xdr:from>
      <xdr:col>8</xdr:col>
      <xdr:colOff>374650</xdr:colOff>
      <xdr:row>23</xdr:row>
      <xdr:rowOff>152400</xdr:rowOff>
    </xdr:from>
    <xdr:to>
      <xdr:col>9</xdr:col>
      <xdr:colOff>249682</xdr:colOff>
      <xdr:row>26</xdr:row>
      <xdr:rowOff>25400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E533F472-8FCA-4490-AA33-13FF12386125}"/>
            </a:ext>
          </a:extLst>
        </xdr:cNvPr>
        <xdr:cNvSpPr/>
      </xdr:nvSpPr>
      <xdr:spPr>
        <a:xfrm>
          <a:off x="4978400" y="4222750"/>
          <a:ext cx="484632" cy="42545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571500</xdr:colOff>
      <xdr:row>21</xdr:row>
      <xdr:rowOff>38100</xdr:rowOff>
    </xdr:from>
    <xdr:to>
      <xdr:col>13</xdr:col>
      <xdr:colOff>241300</xdr:colOff>
      <xdr:row>28</xdr:row>
      <xdr:rowOff>76200</xdr:rowOff>
    </xdr:to>
    <xdr:sp macro="" textlink="">
      <xdr:nvSpPr>
        <xdr:cNvPr id="18" name="Right Bracket 17">
          <a:extLst>
            <a:ext uri="{FF2B5EF4-FFF2-40B4-BE49-F238E27FC236}">
              <a16:creationId xmlns:a16="http://schemas.microsoft.com/office/drawing/2014/main" id="{4AABA017-26A7-4956-A571-873EB64FF4D1}"/>
            </a:ext>
          </a:extLst>
        </xdr:cNvPr>
        <xdr:cNvSpPr/>
      </xdr:nvSpPr>
      <xdr:spPr>
        <a:xfrm>
          <a:off x="7613650" y="3740150"/>
          <a:ext cx="279400" cy="1327150"/>
        </a:xfrm>
        <a:prstGeom prst="rightBracket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425450</xdr:colOff>
      <xdr:row>23</xdr:row>
      <xdr:rowOff>0</xdr:rowOff>
    </xdr:from>
    <xdr:to>
      <xdr:col>17</xdr:col>
      <xdr:colOff>38100</xdr:colOff>
      <xdr:row>25</xdr:row>
      <xdr:rowOff>66548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9E157EE8-A153-430E-8E04-FE643BCE7C85}"/>
            </a:ext>
          </a:extLst>
        </xdr:cNvPr>
        <xdr:cNvSpPr/>
      </xdr:nvSpPr>
      <xdr:spPr>
        <a:xfrm>
          <a:off x="8077200" y="4070350"/>
          <a:ext cx="2051050" cy="434848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bg1"/>
              </a:solidFill>
            </a:rPr>
            <a:t>Financial Modelling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csw\Desktop\Academics\CORPORATE%20VALUATION%20-%20Academic\Start%20Up%20Valuation%20-%20Classes\Start%20up%20Valuation%20-%20Exerc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and Dashboard"/>
      <sheetName val="Sales and Collections"/>
      <sheetName val="COGS"/>
      <sheetName val="Inventory and Purchases"/>
      <sheetName val="Headcount Overview"/>
      <sheetName val="Headcount Cost"/>
      <sheetName val="Operating Expenses"/>
      <sheetName val="Capital"/>
      <sheetName val="Cash"/>
      <sheetName val="Balance Sheet"/>
      <sheetName val="Income Statement"/>
      <sheetName val="Cash Flows"/>
      <sheetName val="Free Cash Flows"/>
      <sheetName val="Contribution Margin"/>
      <sheetName val="Financial Ratios"/>
      <sheetName val="Valuation"/>
      <sheetName val="Comparables"/>
    </sheetNames>
    <sheetDataSet>
      <sheetData sheetId="0"/>
      <sheetData sheetId="1">
        <row r="7">
          <cell r="G7">
            <v>6892000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G8">
            <v>2730821.9999999995</v>
          </cell>
        </row>
      </sheetData>
      <sheetData sheetId="10">
        <row r="18">
          <cell r="G18">
            <v>1576821.9999999995</v>
          </cell>
        </row>
      </sheetData>
      <sheetData sheetId="11"/>
      <sheetData sheetId="12">
        <row r="11">
          <cell r="G11">
            <v>1135849.083333333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1:R18"/>
  <sheetViews>
    <sheetView showGridLines="0" zoomScale="80" zoomScaleNormal="80" workbookViewId="0">
      <selection activeCell="R19" sqref="R19"/>
    </sheetView>
  </sheetViews>
  <sheetFormatPr defaultRowHeight="14.5" x14ac:dyDescent="0.35"/>
  <cols>
    <col min="1" max="1" width="3" customWidth="1"/>
    <col min="2" max="2" width="5.7265625" customWidth="1"/>
    <col min="3" max="3" width="13.54296875" bestFit="1" customWidth="1"/>
    <col min="17" max="17" width="16.453125" bestFit="1" customWidth="1"/>
  </cols>
  <sheetData>
    <row r="1" spans="2:18" ht="18" x14ac:dyDescent="0.4">
      <c r="B1" s="80" t="s">
        <v>0</v>
      </c>
      <c r="C1" s="81"/>
    </row>
    <row r="2" spans="2:18" ht="18" x14ac:dyDescent="0.4">
      <c r="B2" s="80" t="s">
        <v>1</v>
      </c>
      <c r="C2" s="81"/>
    </row>
    <row r="3" spans="2:18" ht="17.5" x14ac:dyDescent="0.35">
      <c r="B3" s="81"/>
      <c r="C3" s="81"/>
      <c r="Q3" s="93" t="s">
        <v>169</v>
      </c>
      <c r="R3" s="94">
        <v>7.0000000000000007E-2</v>
      </c>
    </row>
    <row r="4" spans="2:18" ht="19" thickBot="1" x14ac:dyDescent="0.5">
      <c r="B4" s="82" t="s">
        <v>2</v>
      </c>
      <c r="C4" s="82" t="s">
        <v>3</v>
      </c>
      <c r="Q4" s="93" t="s">
        <v>170</v>
      </c>
      <c r="R4" s="94">
        <v>0.15</v>
      </c>
    </row>
    <row r="5" spans="2:18" ht="18" x14ac:dyDescent="0.4">
      <c r="B5" s="83">
        <v>1</v>
      </c>
      <c r="C5" s="84" t="s">
        <v>4</v>
      </c>
      <c r="Q5" s="93" t="s">
        <v>171</v>
      </c>
      <c r="R5" s="93">
        <v>1.2</v>
      </c>
    </row>
    <row r="6" spans="2:18" ht="18.5" x14ac:dyDescent="0.45">
      <c r="B6" s="85">
        <f>B5+1</f>
        <v>2</v>
      </c>
      <c r="C6" s="86" t="s">
        <v>5</v>
      </c>
      <c r="Q6" s="93" t="s">
        <v>172</v>
      </c>
      <c r="R6" s="93">
        <v>2664</v>
      </c>
    </row>
    <row r="7" spans="2:18" ht="17.5" x14ac:dyDescent="0.35">
      <c r="B7" s="85">
        <f t="shared" ref="B7:B12" si="0">B6+1</f>
        <v>3</v>
      </c>
      <c r="C7" s="87" t="s">
        <v>6</v>
      </c>
      <c r="Q7" s="93" t="s">
        <v>173</v>
      </c>
      <c r="R7" s="93">
        <v>59594</v>
      </c>
    </row>
    <row r="8" spans="2:18" ht="18" x14ac:dyDescent="0.4">
      <c r="B8" s="83">
        <f t="shared" si="0"/>
        <v>4</v>
      </c>
      <c r="C8" s="84" t="s">
        <v>7</v>
      </c>
      <c r="Q8" s="93" t="s">
        <v>174</v>
      </c>
      <c r="R8" s="93">
        <v>91868</v>
      </c>
    </row>
    <row r="9" spans="2:18" ht="17.5" x14ac:dyDescent="0.35">
      <c r="B9" s="85">
        <f t="shared" si="0"/>
        <v>5</v>
      </c>
      <c r="C9" s="87" t="s">
        <v>8</v>
      </c>
      <c r="Q9" s="93" t="s">
        <v>175</v>
      </c>
      <c r="R9" s="94">
        <v>0.2</v>
      </c>
    </row>
    <row r="10" spans="2:18" ht="17.5" x14ac:dyDescent="0.35">
      <c r="B10" s="85">
        <f t="shared" si="0"/>
        <v>6</v>
      </c>
      <c r="C10" s="87" t="s">
        <v>9</v>
      </c>
      <c r="Q10" s="93" t="s">
        <v>180</v>
      </c>
      <c r="R10" s="97">
        <v>3.5000000000000003E-2</v>
      </c>
    </row>
    <row r="11" spans="2:18" ht="17.5" x14ac:dyDescent="0.35">
      <c r="B11" s="85">
        <f t="shared" si="0"/>
        <v>7</v>
      </c>
      <c r="C11" s="87" t="s">
        <v>10</v>
      </c>
    </row>
    <row r="12" spans="2:18" ht="17.5" x14ac:dyDescent="0.35">
      <c r="B12" s="85">
        <f t="shared" si="0"/>
        <v>8</v>
      </c>
      <c r="C12" s="87" t="s">
        <v>11</v>
      </c>
      <c r="Q12" s="93" t="s">
        <v>176</v>
      </c>
      <c r="R12" s="96">
        <f>R3+R5*(R4-R3)</f>
        <v>0.16599999999999998</v>
      </c>
    </row>
    <row r="13" spans="2:18" ht="18.5" x14ac:dyDescent="0.45">
      <c r="B13" s="85">
        <v>9</v>
      </c>
      <c r="C13" s="88" t="s">
        <v>159</v>
      </c>
      <c r="Q13" s="93" t="s">
        <v>177</v>
      </c>
      <c r="R13" s="95">
        <f>(R6/R7)*(1-R9)</f>
        <v>3.5761989462026376E-2</v>
      </c>
    </row>
    <row r="14" spans="2:18" ht="18" x14ac:dyDescent="0.4">
      <c r="B14" s="83"/>
      <c r="C14" s="84" t="s">
        <v>12</v>
      </c>
      <c r="Q14" s="93"/>
      <c r="R14" s="93"/>
    </row>
    <row r="15" spans="2:18" ht="17.5" x14ac:dyDescent="0.35">
      <c r="B15" s="85">
        <v>10</v>
      </c>
      <c r="C15" s="87" t="s">
        <v>13</v>
      </c>
      <c r="Q15" s="93" t="s">
        <v>178</v>
      </c>
      <c r="R15" s="95">
        <f>R7/(R7+R8)</f>
        <v>0.39345842521556562</v>
      </c>
    </row>
    <row r="16" spans="2:18" ht="17.5" x14ac:dyDescent="0.35">
      <c r="B16" s="85">
        <v>11</v>
      </c>
      <c r="C16" s="87" t="s">
        <v>14</v>
      </c>
      <c r="Q16" s="93" t="s">
        <v>179</v>
      </c>
      <c r="R16" s="95">
        <f>R8/(R7+R8)</f>
        <v>0.60654157478443438</v>
      </c>
    </row>
    <row r="17" spans="17:18" ht="15.5" x14ac:dyDescent="0.35">
      <c r="Q17" s="93"/>
      <c r="R17" s="93"/>
    </row>
    <row r="18" spans="17:18" ht="15.5" x14ac:dyDescent="0.35">
      <c r="Q18" s="93" t="s">
        <v>87</v>
      </c>
      <c r="R18" s="96">
        <f>(R12*R16)+(R13*R15)</f>
        <v>0.11475675747052065</v>
      </c>
    </row>
  </sheetData>
  <hyperlinks>
    <hyperlink ref="C13" location="'Relative Valuation'!A1" display="Relative Valuation" xr:uid="{48A48B38-FEE0-4160-ABC1-7AA521E7C6E7}"/>
    <hyperlink ref="C16" location="'BS source'!A1" display="BS source" xr:uid="{06C27357-528C-4FD3-8EB6-D6AF13337E31}"/>
    <hyperlink ref="C15" location="'P&amp;L source'!A1" display="P&amp;L source" xr:uid="{2974E3D8-53B3-4CF9-A8E6-1188ABC75A1C}"/>
    <hyperlink ref="C12" location="'DCF valuation'!A1" display="DCF valuation" xr:uid="{6691EF6F-C7F7-4AF6-A855-F5BB494AF861}"/>
    <hyperlink ref="C11" location="'Cash Flow'!A1" display="Cash Flow" xr:uid="{DC028683-21A8-4B5E-8431-0A86E82D37F1}"/>
    <hyperlink ref="C10" location="BS!A1" display="BS" xr:uid="{F501F8E0-A251-4F24-B419-454119C04CCD}"/>
    <hyperlink ref="C9" location="'P&amp;L'!A1" display="P&amp;L" xr:uid="{470AFAE8-6070-4D00-9820-B473BE0EBB9E}"/>
    <hyperlink ref="C7" location="'BS assumptions'!A1" display="BS assumptions" xr:uid="{997D1A8A-5E7E-4442-BBC3-3D9E6E289FCD}"/>
    <hyperlink ref="C6" location="'P &amp; L Assumptions'!A1" display="P&amp;L assumptions" xr:uid="{782E3B81-7EA4-4632-A14F-B017B6207342}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9688-EF18-4138-9D72-41188B091491}">
  <dimension ref="B1:G30"/>
  <sheetViews>
    <sheetView showGridLines="0" topLeftCell="A15" workbookViewId="0">
      <selection activeCell="G21" sqref="G21"/>
    </sheetView>
  </sheetViews>
  <sheetFormatPr defaultRowHeight="14.5" x14ac:dyDescent="0.35"/>
  <cols>
    <col min="1" max="1" width="3.1796875" customWidth="1"/>
    <col min="2" max="2" width="25.81640625" bestFit="1" customWidth="1"/>
  </cols>
  <sheetData>
    <row r="1" spans="2:6" ht="15.5" x14ac:dyDescent="0.35">
      <c r="B1" s="2" t="s">
        <v>13</v>
      </c>
      <c r="C1" s="3"/>
      <c r="D1" s="3"/>
      <c r="E1" s="3"/>
      <c r="F1" s="3"/>
    </row>
    <row r="2" spans="2:6" x14ac:dyDescent="0.35">
      <c r="B2" s="3"/>
      <c r="C2" s="3"/>
      <c r="D2" s="3"/>
      <c r="E2" s="3"/>
      <c r="F2" s="3"/>
    </row>
    <row r="3" spans="2:6" ht="24.5" thickBot="1" x14ac:dyDescent="0.4">
      <c r="B3" s="61" t="s">
        <v>130</v>
      </c>
      <c r="C3" s="61"/>
      <c r="D3" s="5" t="s">
        <v>160</v>
      </c>
      <c r="E3" s="5" t="s">
        <v>161</v>
      </c>
      <c r="F3" s="5" t="s">
        <v>162</v>
      </c>
    </row>
    <row r="4" spans="2:6" x14ac:dyDescent="0.35">
      <c r="B4" s="3" t="s">
        <v>101</v>
      </c>
      <c r="C4" s="3"/>
      <c r="D4" s="8">
        <v>177203</v>
      </c>
      <c r="E4" s="8">
        <v>188618</v>
      </c>
      <c r="F4" s="8">
        <v>208366</v>
      </c>
    </row>
    <row r="5" spans="2:6" x14ac:dyDescent="0.35">
      <c r="B5" s="3" t="s">
        <v>102</v>
      </c>
      <c r="C5" s="3"/>
      <c r="D5" s="8">
        <v>3520</v>
      </c>
      <c r="E5" s="8">
        <v>2416</v>
      </c>
      <c r="F5" s="8">
        <v>2585</v>
      </c>
    </row>
    <row r="6" spans="2:6" x14ac:dyDescent="0.35">
      <c r="B6" s="62" t="s">
        <v>103</v>
      </c>
      <c r="C6" s="62"/>
      <c r="D6" s="63">
        <f>D4+D5</f>
        <v>180723</v>
      </c>
      <c r="E6" s="63">
        <f>E4+E5</f>
        <v>191034</v>
      </c>
      <c r="F6" s="63">
        <f>F4+F5</f>
        <v>210951</v>
      </c>
    </row>
    <row r="7" spans="2:6" x14ac:dyDescent="0.35">
      <c r="B7" s="3"/>
      <c r="C7" s="3"/>
      <c r="D7" s="8"/>
      <c r="E7" s="8"/>
      <c r="F7" s="8"/>
    </row>
    <row r="8" spans="2:6" x14ac:dyDescent="0.35">
      <c r="B8" s="3" t="s">
        <v>104</v>
      </c>
      <c r="C8" s="3"/>
      <c r="D8" s="8">
        <v>-139903.0394666667</v>
      </c>
      <c r="E8" s="8">
        <v>-138922.98879999999</v>
      </c>
      <c r="F8" s="8">
        <v>-150080.46882539699</v>
      </c>
    </row>
    <row r="9" spans="2:6" x14ac:dyDescent="0.35">
      <c r="B9" s="3" t="s">
        <v>105</v>
      </c>
      <c r="C9" s="3"/>
      <c r="D9" s="8">
        <v>-2491.3280000000004</v>
      </c>
      <c r="E9" s="8">
        <v>-11649.177600000001</v>
      </c>
      <c r="F9" s="8">
        <v>-7442.6495999999997</v>
      </c>
    </row>
    <row r="10" spans="2:6" x14ac:dyDescent="0.35">
      <c r="B10" s="3" t="s">
        <v>106</v>
      </c>
      <c r="C10" s="3"/>
      <c r="D10" s="8">
        <v>-16389.593600000004</v>
      </c>
      <c r="E10" s="8">
        <v>-17878.310399999998</v>
      </c>
      <c r="F10" s="8">
        <v>-22293.312000000005</v>
      </c>
    </row>
    <row r="11" spans="2:6" x14ac:dyDescent="0.35">
      <c r="B11" s="3" t="s">
        <v>107</v>
      </c>
      <c r="C11" s="3"/>
      <c r="D11" s="8">
        <v>-290.72640000000007</v>
      </c>
      <c r="E11" s="8">
        <v>-246.13120000000004</v>
      </c>
      <c r="F11" s="8">
        <v>-120.92160000000001</v>
      </c>
    </row>
    <row r="12" spans="2:6" x14ac:dyDescent="0.35">
      <c r="B12" s="3" t="s">
        <v>108</v>
      </c>
      <c r="C12" s="3"/>
      <c r="D12" s="8">
        <v>-1330.9952000000003</v>
      </c>
      <c r="E12" s="8">
        <v>-1123.4560000000001</v>
      </c>
      <c r="F12" s="8">
        <v>-1452.7744000000002</v>
      </c>
    </row>
    <row r="13" spans="2:6" x14ac:dyDescent="0.35">
      <c r="B13" s="3"/>
      <c r="C13" s="3"/>
      <c r="D13" s="8"/>
      <c r="E13" s="8"/>
      <c r="F13" s="8"/>
    </row>
    <row r="14" spans="2:6" x14ac:dyDescent="0.35">
      <c r="B14" s="62" t="s">
        <v>109</v>
      </c>
      <c r="C14" s="62"/>
      <c r="D14" s="63">
        <f>D6+SUM(D8:D12)</f>
        <v>20317.317333333282</v>
      </c>
      <c r="E14" s="63">
        <f>E6+SUM(E8:E12)</f>
        <v>21213.936000000016</v>
      </c>
      <c r="F14" s="63">
        <f>F6+SUM(F8:F12)</f>
        <v>29560.873574603</v>
      </c>
    </row>
    <row r="15" spans="2:6" x14ac:dyDescent="0.35">
      <c r="B15" s="3"/>
      <c r="C15" s="3"/>
      <c r="D15" s="8"/>
      <c r="E15" s="8"/>
      <c r="F15" s="8"/>
    </row>
    <row r="16" spans="2:6" x14ac:dyDescent="0.35">
      <c r="B16" s="3" t="s">
        <v>29</v>
      </c>
      <c r="C16" s="3"/>
      <c r="D16" s="8">
        <v>-2907.8000000000006</v>
      </c>
      <c r="E16" s="8">
        <v>-4649.8</v>
      </c>
      <c r="F16" s="8">
        <v>-6430.6600000000008</v>
      </c>
    </row>
    <row r="17" spans="2:7" x14ac:dyDescent="0.35">
      <c r="B17" s="3"/>
      <c r="C17" s="3"/>
      <c r="D17" s="8"/>
      <c r="E17" s="8"/>
      <c r="F17" s="8"/>
    </row>
    <row r="18" spans="2:7" x14ac:dyDescent="0.35">
      <c r="B18" s="62" t="s">
        <v>55</v>
      </c>
      <c r="C18" s="62"/>
      <c r="D18" s="63">
        <f>D14+D16</f>
        <v>17409.517333333282</v>
      </c>
      <c r="E18" s="63">
        <f>E14+E16</f>
        <v>16564.136000000017</v>
      </c>
      <c r="F18" s="63">
        <f>F14+F16</f>
        <v>23130.213574603</v>
      </c>
    </row>
    <row r="19" spans="2:7" x14ac:dyDescent="0.35">
      <c r="B19" s="3"/>
      <c r="C19" s="3"/>
      <c r="D19" s="8"/>
      <c r="E19" s="8"/>
      <c r="F19" s="8"/>
    </row>
    <row r="20" spans="2:7" x14ac:dyDescent="0.35">
      <c r="B20" s="3" t="s">
        <v>110</v>
      </c>
      <c r="C20" s="3"/>
      <c r="D20" s="8">
        <v>-1266.3000000000002</v>
      </c>
      <c r="E20" s="8">
        <v>-2190.9</v>
      </c>
      <c r="F20" s="8">
        <v>-2663.92</v>
      </c>
      <c r="G20" t="s">
        <v>172</v>
      </c>
    </row>
    <row r="21" spans="2:7" x14ac:dyDescent="0.35">
      <c r="B21" s="3" t="s">
        <v>111</v>
      </c>
      <c r="C21" s="3"/>
      <c r="D21" s="8">
        <v>-317.58000000000004</v>
      </c>
      <c r="E21" s="8">
        <v>-864.30000000000007</v>
      </c>
      <c r="F21" s="8">
        <v>-320.26</v>
      </c>
    </row>
    <row r="22" spans="2:7" x14ac:dyDescent="0.35">
      <c r="B22" s="3"/>
      <c r="C22" s="3"/>
      <c r="D22" s="8"/>
      <c r="E22" s="8"/>
      <c r="F22" s="8"/>
    </row>
    <row r="23" spans="2:7" x14ac:dyDescent="0.35">
      <c r="B23" s="62" t="s">
        <v>112</v>
      </c>
      <c r="C23" s="62"/>
      <c r="D23" s="63">
        <f>D18+D21+D20</f>
        <v>15825.637333333281</v>
      </c>
      <c r="E23" s="63">
        <f>E18+E21+E20</f>
        <v>13508.936000000018</v>
      </c>
      <c r="F23" s="63">
        <f>F18+F21+F20</f>
        <v>20146.033574603003</v>
      </c>
    </row>
    <row r="24" spans="2:7" x14ac:dyDescent="0.35">
      <c r="B24" s="3"/>
      <c r="C24" s="3"/>
      <c r="D24" s="8"/>
      <c r="E24" s="8"/>
      <c r="F24" s="8"/>
    </row>
    <row r="25" spans="2:7" x14ac:dyDescent="0.35">
      <c r="B25" s="3" t="s">
        <v>32</v>
      </c>
      <c r="C25" s="3"/>
      <c r="D25" s="8">
        <v>-3805.7759999999998</v>
      </c>
      <c r="E25" s="8">
        <v>-3050.192</v>
      </c>
      <c r="F25" s="8">
        <v>-3814.88</v>
      </c>
    </row>
    <row r="26" spans="2:7" x14ac:dyDescent="0.35">
      <c r="B26" s="3"/>
      <c r="C26" s="3"/>
      <c r="D26" s="8"/>
      <c r="E26" s="8"/>
      <c r="F26" s="8"/>
    </row>
    <row r="27" spans="2:7" ht="15" thickBot="1" x14ac:dyDescent="0.4">
      <c r="B27" s="64" t="s">
        <v>113</v>
      </c>
      <c r="C27" s="64"/>
      <c r="D27" s="65">
        <f>D23+D25</f>
        <v>12019.861333333281</v>
      </c>
      <c r="E27" s="65">
        <f>E23+E25</f>
        <v>10458.744000000017</v>
      </c>
      <c r="F27" s="65">
        <f>F23+F25</f>
        <v>16331.153574603002</v>
      </c>
    </row>
    <row r="28" spans="2:7" x14ac:dyDescent="0.35">
      <c r="B28" s="3"/>
      <c r="C28" s="3"/>
      <c r="D28" s="3"/>
      <c r="E28" s="3"/>
      <c r="F28" s="3"/>
    </row>
    <row r="29" spans="2:7" x14ac:dyDescent="0.35">
      <c r="B29" s="3"/>
      <c r="C29" s="3"/>
      <c r="D29" s="3"/>
      <c r="E29" s="3"/>
      <c r="F29" s="3"/>
    </row>
    <row r="30" spans="2:7" x14ac:dyDescent="0.35">
      <c r="B30" s="3"/>
      <c r="C30" s="3"/>
      <c r="D30" s="3"/>
      <c r="E30" s="3"/>
      <c r="F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FA7-26AF-4009-83AB-2734E9E778CB}">
  <dimension ref="B1:K55"/>
  <sheetViews>
    <sheetView showGridLines="0" topLeftCell="A38" zoomScale="120" zoomScaleNormal="120" workbookViewId="0">
      <selection activeCell="G51" sqref="G51:K51"/>
    </sheetView>
  </sheetViews>
  <sheetFormatPr defaultRowHeight="14.5" x14ac:dyDescent="0.35"/>
  <cols>
    <col min="1" max="1" width="4.54296875" customWidth="1"/>
    <col min="2" max="2" width="20.453125" bestFit="1" customWidth="1"/>
    <col min="6" max="6" width="3.26953125" customWidth="1"/>
  </cols>
  <sheetData>
    <row r="1" spans="2:11" ht="15.5" x14ac:dyDescent="0.35">
      <c r="B1" s="2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2:11" x14ac:dyDescent="0.35">
      <c r="B2" s="3"/>
      <c r="C2" s="3"/>
      <c r="D2" s="3"/>
      <c r="E2" s="3"/>
      <c r="F2" s="3"/>
      <c r="G2" s="3" t="s">
        <v>15</v>
      </c>
      <c r="H2" s="3"/>
      <c r="I2" s="3"/>
      <c r="J2" s="3"/>
      <c r="K2" s="3"/>
    </row>
    <row r="3" spans="2:11" x14ac:dyDescent="0.35">
      <c r="B3" s="3"/>
      <c r="C3" s="3"/>
      <c r="D3" s="3"/>
      <c r="E3" s="3"/>
      <c r="F3" s="3"/>
      <c r="G3" s="3" t="s">
        <v>16</v>
      </c>
      <c r="H3" s="3"/>
      <c r="I3" s="3"/>
      <c r="J3" s="3"/>
      <c r="K3" s="3"/>
    </row>
    <row r="4" spans="2:11" x14ac:dyDescent="0.35">
      <c r="B4" s="3"/>
      <c r="C4" s="3"/>
      <c r="D4" s="3"/>
      <c r="E4" s="3"/>
      <c r="F4" s="3"/>
      <c r="G4" s="3" t="s">
        <v>17</v>
      </c>
      <c r="H4" s="3"/>
      <c r="I4" s="3"/>
      <c r="J4" s="3"/>
      <c r="K4" s="3"/>
    </row>
    <row r="5" spans="2:11" x14ac:dyDescent="0.35">
      <c r="B5" s="3" t="s">
        <v>18</v>
      </c>
      <c r="C5" s="1">
        <v>1</v>
      </c>
      <c r="D5" s="3"/>
      <c r="E5" s="3"/>
      <c r="F5" s="3"/>
      <c r="G5" s="3" t="s">
        <v>19</v>
      </c>
      <c r="H5" s="3"/>
      <c r="I5" s="3"/>
      <c r="J5" s="3"/>
      <c r="K5" s="3"/>
    </row>
    <row r="6" spans="2:11" x14ac:dyDescent="0.3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1.25" customHeight="1" x14ac:dyDescent="0.3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26.25" customHeight="1" thickBot="1" x14ac:dyDescent="0.4">
      <c r="B8" s="4" t="s">
        <v>130</v>
      </c>
      <c r="C8" s="5" t="s">
        <v>160</v>
      </c>
      <c r="D8" s="5" t="s">
        <v>161</v>
      </c>
      <c r="E8" s="5" t="s">
        <v>162</v>
      </c>
      <c r="F8" s="6"/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</row>
    <row r="9" spans="2:11" x14ac:dyDescent="0.35">
      <c r="B9" s="3" t="s">
        <v>20</v>
      </c>
      <c r="C9" s="8">
        <f>'P &amp; L Source'!D4</f>
        <v>177203</v>
      </c>
      <c r="D9" s="8">
        <f>'P &amp; L Source'!E4</f>
        <v>188618</v>
      </c>
      <c r="E9" s="8">
        <f>'P &amp; L Source'!F4</f>
        <v>208366</v>
      </c>
      <c r="F9" s="3"/>
      <c r="G9" s="9">
        <f>E9*(1+G10)</f>
        <v>229202.6</v>
      </c>
      <c r="H9" s="9">
        <f>G9*(1+H10)</f>
        <v>252122.86000000002</v>
      </c>
      <c r="I9" s="9">
        <f t="shared" ref="I9:K9" si="0">H9*(1+I10)</f>
        <v>277335.14600000007</v>
      </c>
      <c r="J9" s="9">
        <f t="shared" si="0"/>
        <v>305068.66060000012</v>
      </c>
      <c r="K9" s="9">
        <f t="shared" si="0"/>
        <v>335575.52666000015</v>
      </c>
    </row>
    <row r="10" spans="2:11" x14ac:dyDescent="0.35">
      <c r="B10" s="3" t="s">
        <v>21</v>
      </c>
      <c r="C10" s="10"/>
      <c r="D10" s="11">
        <f>D9/C9-1</f>
        <v>6.4417645299458703E-2</v>
      </c>
      <c r="E10" s="11">
        <f>E9/D9-1</f>
        <v>0.10469838509580209</v>
      </c>
      <c r="F10" s="3"/>
      <c r="G10" s="12">
        <f>CHOOSE($C$5,G11,G12,G13)</f>
        <v>0.1</v>
      </c>
      <c r="H10" s="12">
        <f t="shared" ref="H10:K10" si="1">CHOOSE($C$5,H11,H12,H13)</f>
        <v>0.1</v>
      </c>
      <c r="I10" s="12">
        <f t="shared" si="1"/>
        <v>0.1</v>
      </c>
      <c r="J10" s="12">
        <f t="shared" si="1"/>
        <v>0.1</v>
      </c>
      <c r="K10" s="12">
        <f t="shared" si="1"/>
        <v>0.1</v>
      </c>
    </row>
    <row r="11" spans="2:11" x14ac:dyDescent="0.35">
      <c r="B11" s="3" t="s">
        <v>22</v>
      </c>
      <c r="C11" s="13"/>
      <c r="D11" s="13"/>
      <c r="E11" s="13"/>
      <c r="F11" s="3"/>
      <c r="G11" s="12">
        <v>0.1</v>
      </c>
      <c r="H11" s="12">
        <v>0.1</v>
      </c>
      <c r="I11" s="12">
        <v>0.1</v>
      </c>
      <c r="J11" s="12">
        <v>0.1</v>
      </c>
      <c r="K11" s="12">
        <v>0.1</v>
      </c>
    </row>
    <row r="12" spans="2:11" x14ac:dyDescent="0.35">
      <c r="B12" s="3" t="s">
        <v>23</v>
      </c>
      <c r="C12" s="13"/>
      <c r="D12" s="13"/>
      <c r="E12" s="13"/>
      <c r="F12" s="3"/>
      <c r="G12" s="12">
        <v>0.08</v>
      </c>
      <c r="H12" s="12">
        <v>0.08</v>
      </c>
      <c r="I12" s="12">
        <v>0.08</v>
      </c>
      <c r="J12" s="12">
        <v>0.08</v>
      </c>
      <c r="K12" s="12">
        <v>0.08</v>
      </c>
    </row>
    <row r="13" spans="2:11" x14ac:dyDescent="0.35">
      <c r="B13" s="3" t="s">
        <v>24</v>
      </c>
      <c r="C13" s="13"/>
      <c r="D13" s="13"/>
      <c r="E13" s="13"/>
      <c r="F13" s="3"/>
      <c r="G13" s="12">
        <v>0.04</v>
      </c>
      <c r="H13" s="12">
        <v>0.04</v>
      </c>
      <c r="I13" s="12">
        <v>0.04</v>
      </c>
      <c r="J13" s="12">
        <v>0.04</v>
      </c>
      <c r="K13" s="12">
        <v>0.04</v>
      </c>
    </row>
    <row r="14" spans="2:11" x14ac:dyDescent="0.35">
      <c r="B14" s="3"/>
      <c r="C14" s="3"/>
      <c r="D14" s="3"/>
      <c r="E14" s="3"/>
      <c r="F14" s="3"/>
      <c r="G14" s="9"/>
      <c r="H14" s="9"/>
      <c r="I14" s="9"/>
      <c r="J14" s="9"/>
      <c r="K14" s="9"/>
    </row>
    <row r="15" spans="2:11" x14ac:dyDescent="0.35">
      <c r="B15" s="3" t="s">
        <v>25</v>
      </c>
      <c r="C15" s="8">
        <f>'P &amp; L Source'!D5</f>
        <v>3520</v>
      </c>
      <c r="D15" s="8">
        <f>'P &amp; L Source'!E5</f>
        <v>2416</v>
      </c>
      <c r="E15" s="8">
        <f>'P &amp; L Source'!F5</f>
        <v>2585</v>
      </c>
      <c r="F15" s="3"/>
      <c r="G15" s="9">
        <f>E15*(1+G16)</f>
        <v>2585</v>
      </c>
      <c r="H15" s="9">
        <f>G15*(1+H16)</f>
        <v>2585</v>
      </c>
      <c r="I15" s="9">
        <f t="shared" ref="I15:K15" si="2">H15*(1+I16)</f>
        <v>2585</v>
      </c>
      <c r="J15" s="9">
        <f t="shared" si="2"/>
        <v>2585</v>
      </c>
      <c r="K15" s="9">
        <f t="shared" si="2"/>
        <v>2585</v>
      </c>
    </row>
    <row r="16" spans="2:11" x14ac:dyDescent="0.35">
      <c r="B16" s="3" t="s">
        <v>21</v>
      </c>
      <c r="C16" s="14"/>
      <c r="D16" s="14">
        <f>D15/C15-1</f>
        <v>-0.3136363636363636</v>
      </c>
      <c r="E16" s="14">
        <f>E15/D15-1</f>
        <v>6.9950331125827825E-2</v>
      </c>
      <c r="F16" s="3"/>
      <c r="G16" s="12">
        <f>CHOOSE($C$5,G17,G18,G19)</f>
        <v>0</v>
      </c>
      <c r="H16" s="12">
        <f t="shared" ref="H16:K16" si="3">CHOOSE($C$5,H17,H18,H19)</f>
        <v>0</v>
      </c>
      <c r="I16" s="12">
        <f t="shared" si="3"/>
        <v>0</v>
      </c>
      <c r="J16" s="12">
        <f t="shared" si="3"/>
        <v>0</v>
      </c>
      <c r="K16" s="12">
        <f t="shared" si="3"/>
        <v>0</v>
      </c>
    </row>
    <row r="17" spans="2:11" x14ac:dyDescent="0.35">
      <c r="B17" s="3" t="s">
        <v>22</v>
      </c>
      <c r="C17" s="13"/>
      <c r="D17" s="13"/>
      <c r="E17" s="13"/>
      <c r="F17" s="3"/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2:11" x14ac:dyDescent="0.35">
      <c r="B18" s="3" t="s">
        <v>23</v>
      </c>
      <c r="C18" s="13"/>
      <c r="D18" s="13"/>
      <c r="E18" s="13"/>
      <c r="F18" s="3"/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2:11" x14ac:dyDescent="0.35">
      <c r="B19" s="3" t="s">
        <v>24</v>
      </c>
      <c r="C19" s="13"/>
      <c r="D19" s="13"/>
      <c r="E19" s="13"/>
      <c r="F19" s="3"/>
      <c r="G19" s="12">
        <v>0</v>
      </c>
      <c r="H19" s="12">
        <v>0</v>
      </c>
      <c r="I19" s="12">
        <v>0</v>
      </c>
      <c r="J19" s="12">
        <v>0</v>
      </c>
      <c r="K19" s="12">
        <v>0</v>
      </c>
    </row>
    <row r="20" spans="2:11" x14ac:dyDescent="0.35">
      <c r="B20" s="3"/>
      <c r="C20" s="3"/>
      <c r="D20" s="3"/>
      <c r="E20" s="3"/>
      <c r="F20" s="3"/>
      <c r="G20" s="9"/>
      <c r="H20" s="9"/>
      <c r="I20" s="9"/>
      <c r="J20" s="9"/>
      <c r="K20" s="9"/>
    </row>
    <row r="21" spans="2:11" x14ac:dyDescent="0.35">
      <c r="B21" s="3" t="s">
        <v>26</v>
      </c>
      <c r="C21" s="8">
        <f>'P &amp; L Source'!D8+'P &amp; L Source'!D9</f>
        <v>-142394.36746666671</v>
      </c>
      <c r="D21" s="8">
        <f>'P &amp; L Source'!E8+'P &amp; L Source'!E9</f>
        <v>-150572.16639999999</v>
      </c>
      <c r="E21" s="8">
        <f>'P &amp; L Source'!F8+'P &amp; L Source'!F9</f>
        <v>-157523.118425397</v>
      </c>
      <c r="F21" s="3"/>
      <c r="G21" s="15">
        <f>G22*G9</f>
        <v>-174193.976</v>
      </c>
      <c r="H21" s="15">
        <f t="shared" ref="H21:K21" si="4">H22*H9</f>
        <v>-191613.37360000002</v>
      </c>
      <c r="I21" s="15">
        <f t="shared" si="4"/>
        <v>-210774.71096000005</v>
      </c>
      <c r="J21" s="15">
        <f t="shared" si="4"/>
        <v>-231852.18205600011</v>
      </c>
      <c r="K21" s="15">
        <f t="shared" si="4"/>
        <v>-255037.40026160012</v>
      </c>
    </row>
    <row r="22" spans="2:11" x14ac:dyDescent="0.35">
      <c r="B22" s="3" t="s">
        <v>27</v>
      </c>
      <c r="C22" s="14">
        <f>C21/C9</f>
        <v>-0.8035663474470901</v>
      </c>
      <c r="D22" s="14">
        <f t="shared" ref="D22:E22" si="5">D21/D9</f>
        <v>-0.79829160737575411</v>
      </c>
      <c r="E22" s="14">
        <f t="shared" si="5"/>
        <v>-0.75599242882906514</v>
      </c>
      <c r="F22" s="3"/>
      <c r="G22" s="12">
        <f>CHOOSE($C$5,G23,G24,G25)</f>
        <v>-0.76</v>
      </c>
      <c r="H22" s="12">
        <f t="shared" ref="H22:K22" si="6">CHOOSE($C$5,H23,H24,H25)</f>
        <v>-0.76</v>
      </c>
      <c r="I22" s="12">
        <f t="shared" si="6"/>
        <v>-0.76</v>
      </c>
      <c r="J22" s="12">
        <f t="shared" si="6"/>
        <v>-0.76</v>
      </c>
      <c r="K22" s="12">
        <f t="shared" si="6"/>
        <v>-0.76</v>
      </c>
    </row>
    <row r="23" spans="2:11" x14ac:dyDescent="0.35">
      <c r="B23" s="3" t="s">
        <v>22</v>
      </c>
      <c r="C23" s="13"/>
      <c r="D23" s="13"/>
      <c r="E23" s="13"/>
      <c r="F23" s="3"/>
      <c r="G23" s="12">
        <v>-0.76</v>
      </c>
      <c r="H23" s="12">
        <v>-0.76</v>
      </c>
      <c r="I23" s="12">
        <v>-0.76</v>
      </c>
      <c r="J23" s="12">
        <v>-0.76</v>
      </c>
      <c r="K23" s="12">
        <v>-0.76</v>
      </c>
    </row>
    <row r="24" spans="2:11" x14ac:dyDescent="0.35">
      <c r="B24" s="3" t="s">
        <v>23</v>
      </c>
      <c r="C24" s="13"/>
      <c r="D24" s="13"/>
      <c r="E24" s="13"/>
      <c r="F24" s="3"/>
      <c r="G24" s="12">
        <v>-0.78</v>
      </c>
      <c r="H24" s="12">
        <v>-0.78</v>
      </c>
      <c r="I24" s="12">
        <v>-0.78</v>
      </c>
      <c r="J24" s="12">
        <v>-0.78</v>
      </c>
      <c r="K24" s="12">
        <v>-0.78</v>
      </c>
    </row>
    <row r="25" spans="2:11" x14ac:dyDescent="0.35">
      <c r="B25" s="3" t="s">
        <v>24</v>
      </c>
      <c r="C25" s="13"/>
      <c r="D25" s="13"/>
      <c r="E25" s="13"/>
      <c r="F25" s="3"/>
      <c r="G25" s="12">
        <v>-0.8</v>
      </c>
      <c r="H25" s="12">
        <v>-0.8</v>
      </c>
      <c r="I25" s="12">
        <v>-0.8</v>
      </c>
      <c r="J25" s="12">
        <v>-0.8</v>
      </c>
      <c r="K25" s="12">
        <v>-0.8</v>
      </c>
    </row>
    <row r="26" spans="2:11" x14ac:dyDescent="0.35">
      <c r="B26" s="3"/>
      <c r="C26" s="3"/>
      <c r="D26" s="3"/>
      <c r="E26" s="3"/>
      <c r="F26" s="3"/>
      <c r="G26" s="9"/>
      <c r="H26" s="9"/>
      <c r="I26" s="9"/>
      <c r="J26" s="9"/>
      <c r="K26" s="9"/>
    </row>
    <row r="27" spans="2:11" x14ac:dyDescent="0.35">
      <c r="B27" s="3" t="s">
        <v>28</v>
      </c>
      <c r="C27" s="8">
        <f>'P &amp; L Source'!D10+'P &amp; L Source'!D11+'P &amp; L Source'!D12</f>
        <v>-18011.315200000005</v>
      </c>
      <c r="D27" s="8">
        <f>'P &amp; L Source'!E10+'P &amp; L Source'!E11+'P &amp; L Source'!E12</f>
        <v>-19247.897599999997</v>
      </c>
      <c r="E27" s="8">
        <f>'P &amp; L Source'!F10+'P &amp; L Source'!F11+'P &amp; L Source'!F12</f>
        <v>-23867.008000000009</v>
      </c>
      <c r="F27" s="3"/>
      <c r="G27" s="15">
        <f>-(G28*G9)</f>
        <v>-22920.260000000002</v>
      </c>
      <c r="H27" s="15">
        <f t="shared" ref="H27:K27" si="7">-(H28*H9)</f>
        <v>-25212.286000000004</v>
      </c>
      <c r="I27" s="15">
        <f t="shared" si="7"/>
        <v>-27733.51460000001</v>
      </c>
      <c r="J27" s="15">
        <f t="shared" si="7"/>
        <v>-30506.866060000015</v>
      </c>
      <c r="K27" s="15">
        <f t="shared" si="7"/>
        <v>-33557.552666000018</v>
      </c>
    </row>
    <row r="28" spans="2:11" x14ac:dyDescent="0.35">
      <c r="B28" s="3" t="s">
        <v>27</v>
      </c>
      <c r="C28" s="14">
        <f>C27/C9</f>
        <v>-0.10164227016472635</v>
      </c>
      <c r="D28" s="14">
        <f t="shared" ref="D28:E28" si="8">D27/D9</f>
        <v>-0.10204698173026963</v>
      </c>
      <c r="E28" s="14">
        <f t="shared" si="8"/>
        <v>-0.11454367795129727</v>
      </c>
      <c r="F28" s="3"/>
      <c r="G28" s="12">
        <f>CHOOSE($C$5,G29,G30,G31)</f>
        <v>0.1</v>
      </c>
      <c r="H28" s="12">
        <f t="shared" ref="H28:K28" si="9">CHOOSE($C$5,H29,H30,H31)</f>
        <v>0.1</v>
      </c>
      <c r="I28" s="12">
        <f t="shared" si="9"/>
        <v>0.1</v>
      </c>
      <c r="J28" s="12">
        <f t="shared" si="9"/>
        <v>0.1</v>
      </c>
      <c r="K28" s="12">
        <f t="shared" si="9"/>
        <v>0.1</v>
      </c>
    </row>
    <row r="29" spans="2:11" x14ac:dyDescent="0.35">
      <c r="B29" s="3" t="s">
        <v>22</v>
      </c>
      <c r="C29" s="13"/>
      <c r="D29" s="13"/>
      <c r="E29" s="13"/>
      <c r="F29" s="3"/>
      <c r="G29" s="16">
        <v>0.1</v>
      </c>
      <c r="H29" s="16">
        <v>0.1</v>
      </c>
      <c r="I29" s="16">
        <v>0.1</v>
      </c>
      <c r="J29" s="16">
        <v>0.1</v>
      </c>
      <c r="K29" s="16">
        <v>0.1</v>
      </c>
    </row>
    <row r="30" spans="2:11" x14ac:dyDescent="0.35">
      <c r="B30" s="3" t="s">
        <v>23</v>
      </c>
      <c r="C30" s="13"/>
      <c r="D30" s="13"/>
      <c r="E30" s="13"/>
      <c r="F30" s="3"/>
      <c r="G30" s="16">
        <v>0.105</v>
      </c>
      <c r="H30" s="16">
        <v>0.105</v>
      </c>
      <c r="I30" s="16">
        <v>0.105</v>
      </c>
      <c r="J30" s="16">
        <v>0.105</v>
      </c>
      <c r="K30" s="16">
        <v>0.105</v>
      </c>
    </row>
    <row r="31" spans="2:11" x14ac:dyDescent="0.35">
      <c r="B31" s="3" t="s">
        <v>24</v>
      </c>
      <c r="C31" s="13"/>
      <c r="D31" s="13"/>
      <c r="E31" s="13"/>
      <c r="F31" s="3"/>
      <c r="G31" s="16">
        <v>0.11</v>
      </c>
      <c r="H31" s="16">
        <v>0.11</v>
      </c>
      <c r="I31" s="16">
        <v>0.11</v>
      </c>
      <c r="J31" s="16">
        <v>0.11</v>
      </c>
      <c r="K31" s="16">
        <v>0.11</v>
      </c>
    </row>
    <row r="32" spans="2:11" x14ac:dyDescent="0.35">
      <c r="B32" s="3"/>
      <c r="C32" s="3"/>
      <c r="D32" s="3"/>
      <c r="E32" s="3"/>
      <c r="F32" s="3"/>
      <c r="G32" s="9"/>
      <c r="H32" s="9"/>
      <c r="I32" s="9"/>
      <c r="J32" s="9"/>
      <c r="K32" s="9"/>
    </row>
    <row r="33" spans="2:11" x14ac:dyDescent="0.35">
      <c r="B33" s="3" t="s">
        <v>29</v>
      </c>
      <c r="C33" s="8">
        <f>'P &amp; L Source'!D16</f>
        <v>-2907.8000000000006</v>
      </c>
      <c r="D33" s="8">
        <f>'P &amp; L Source'!E16</f>
        <v>-4649.8</v>
      </c>
      <c r="E33" s="8">
        <f>'P &amp; L Source'!F16</f>
        <v>-6430.6600000000008</v>
      </c>
      <c r="F33" s="3"/>
      <c r="G33" s="15">
        <f>G34*G9</f>
        <v>-4584.0520000000006</v>
      </c>
      <c r="H33" s="15">
        <f t="shared" ref="H33:K33" si="10">H34*H9</f>
        <v>-5042.4572000000007</v>
      </c>
      <c r="I33" s="15">
        <f t="shared" si="10"/>
        <v>-5546.7029200000015</v>
      </c>
      <c r="J33" s="15">
        <f t="shared" si="10"/>
        <v>-6101.3732120000022</v>
      </c>
      <c r="K33" s="15">
        <f t="shared" si="10"/>
        <v>-6711.510533200003</v>
      </c>
    </row>
    <row r="34" spans="2:11" x14ac:dyDescent="0.35">
      <c r="B34" s="3" t="s">
        <v>27</v>
      </c>
      <c r="C34" s="14">
        <f>C33/C9</f>
        <v>-1.6409428734276511E-2</v>
      </c>
      <c r="D34" s="14">
        <f t="shared" ref="D34:E34" si="11">D33/D9</f>
        <v>-2.4651942020379815E-2</v>
      </c>
      <c r="E34" s="14">
        <f t="shared" si="11"/>
        <v>-3.0862328786846225E-2</v>
      </c>
      <c r="F34" s="3"/>
      <c r="G34" s="12">
        <f>CHOOSE($C$5,G35,G36,G37)</f>
        <v>-0.02</v>
      </c>
      <c r="H34" s="12">
        <f t="shared" ref="H34:K34" si="12">CHOOSE($C$5,H35,H36,H37)</f>
        <v>-0.02</v>
      </c>
      <c r="I34" s="12">
        <f t="shared" si="12"/>
        <v>-0.02</v>
      </c>
      <c r="J34" s="12">
        <f t="shared" si="12"/>
        <v>-0.02</v>
      </c>
      <c r="K34" s="12">
        <f t="shared" si="12"/>
        <v>-0.02</v>
      </c>
    </row>
    <row r="35" spans="2:11" x14ac:dyDescent="0.35">
      <c r="B35" s="3" t="s">
        <v>22</v>
      </c>
      <c r="C35" s="13"/>
      <c r="D35" s="13"/>
      <c r="E35" s="13"/>
      <c r="F35" s="3"/>
      <c r="G35" s="12">
        <v>-0.02</v>
      </c>
      <c r="H35" s="12">
        <v>-0.02</v>
      </c>
      <c r="I35" s="12">
        <v>-0.02</v>
      </c>
      <c r="J35" s="12">
        <v>-0.02</v>
      </c>
      <c r="K35" s="12">
        <v>-0.02</v>
      </c>
    </row>
    <row r="36" spans="2:11" x14ac:dyDescent="0.35">
      <c r="B36" s="3" t="s">
        <v>23</v>
      </c>
      <c r="C36" s="13"/>
      <c r="D36" s="13"/>
      <c r="E36" s="13"/>
      <c r="F36" s="3"/>
      <c r="G36" s="16">
        <v>-2.5000000000000001E-2</v>
      </c>
      <c r="H36" s="16">
        <v>-2.5000000000000001E-2</v>
      </c>
      <c r="I36" s="16">
        <v>-2.5000000000000001E-2</v>
      </c>
      <c r="J36" s="16">
        <v>-2.5000000000000001E-2</v>
      </c>
      <c r="K36" s="16">
        <v>-2.5000000000000001E-2</v>
      </c>
    </row>
    <row r="37" spans="2:11" x14ac:dyDescent="0.35">
      <c r="B37" s="3" t="s">
        <v>24</v>
      </c>
      <c r="C37" s="13"/>
      <c r="D37" s="13"/>
      <c r="E37" s="13"/>
      <c r="F37" s="3"/>
      <c r="G37" s="12">
        <v>-0.03</v>
      </c>
      <c r="H37" s="12">
        <v>-0.03</v>
      </c>
      <c r="I37" s="12">
        <v>-0.03</v>
      </c>
      <c r="J37" s="12">
        <v>-0.03</v>
      </c>
      <c r="K37" s="12">
        <v>-0.03</v>
      </c>
    </row>
    <row r="38" spans="2:11" x14ac:dyDescent="0.35">
      <c r="B38" s="3"/>
      <c r="C38" s="3"/>
      <c r="D38" s="3"/>
      <c r="E38" s="3"/>
      <c r="F38" s="3"/>
      <c r="G38" s="9"/>
      <c r="H38" s="9"/>
      <c r="I38" s="9"/>
      <c r="J38" s="9"/>
      <c r="K38" s="9"/>
    </row>
    <row r="39" spans="2:11" x14ac:dyDescent="0.35">
      <c r="B39" s="3" t="s">
        <v>30</v>
      </c>
      <c r="C39" s="8">
        <f>'P &amp; L Source'!D20</f>
        <v>-1266.3000000000002</v>
      </c>
      <c r="D39" s="8">
        <f>'P &amp; L Source'!E20</f>
        <v>-2190.9</v>
      </c>
      <c r="E39" s="8">
        <f>'P &amp; L Source'!F20</f>
        <v>-2663.92</v>
      </c>
      <c r="F39" s="3"/>
      <c r="G39" s="9">
        <f>E39*(1+G40)</f>
        <v>-2663.92</v>
      </c>
      <c r="H39" s="9">
        <f>G39*(1+H40)</f>
        <v>-2663.92</v>
      </c>
      <c r="I39" s="9">
        <f t="shared" ref="I39:K39" si="13">H39*(1+I40)</f>
        <v>-2663.92</v>
      </c>
      <c r="J39" s="9">
        <f t="shared" si="13"/>
        <v>-2663.92</v>
      </c>
      <c r="K39" s="9">
        <f t="shared" si="13"/>
        <v>-2663.92</v>
      </c>
    </row>
    <row r="40" spans="2:11" x14ac:dyDescent="0.35">
      <c r="B40" s="3" t="s">
        <v>21</v>
      </c>
      <c r="C40" s="10"/>
      <c r="D40" s="11">
        <f>D39/C39-1</f>
        <v>0.73015873015873001</v>
      </c>
      <c r="E40" s="11">
        <f>E39/D39-1</f>
        <v>0.21590214067278279</v>
      </c>
      <c r="F40" s="3"/>
      <c r="G40" s="12">
        <f>CHOOSE($C$5,G41,G42,G43)</f>
        <v>0</v>
      </c>
      <c r="H40" s="12">
        <f t="shared" ref="H40:K40" si="14">CHOOSE($C$5,H41,H42,H43)</f>
        <v>0</v>
      </c>
      <c r="I40" s="12">
        <f t="shared" si="14"/>
        <v>0</v>
      </c>
      <c r="J40" s="12">
        <f t="shared" si="14"/>
        <v>0</v>
      </c>
      <c r="K40" s="12">
        <f t="shared" si="14"/>
        <v>0</v>
      </c>
    </row>
    <row r="41" spans="2:11" x14ac:dyDescent="0.35">
      <c r="B41" s="3" t="s">
        <v>22</v>
      </c>
      <c r="C41" s="13"/>
      <c r="D41" s="13"/>
      <c r="E41" s="13"/>
      <c r="F41" s="3"/>
      <c r="G41" s="12">
        <v>0</v>
      </c>
      <c r="H41" s="12">
        <v>0</v>
      </c>
      <c r="I41" s="12">
        <v>0</v>
      </c>
      <c r="J41" s="12">
        <v>0</v>
      </c>
      <c r="K41" s="12">
        <v>0</v>
      </c>
    </row>
    <row r="42" spans="2:11" x14ac:dyDescent="0.35">
      <c r="B42" s="3" t="s">
        <v>23</v>
      </c>
      <c r="C42" s="13"/>
      <c r="D42" s="13"/>
      <c r="E42" s="13"/>
      <c r="F42" s="3"/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2:11" x14ac:dyDescent="0.35">
      <c r="B43" s="3" t="s">
        <v>24</v>
      </c>
      <c r="C43" s="13"/>
      <c r="D43" s="13"/>
      <c r="E43" s="13"/>
      <c r="F43" s="3"/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2:11" x14ac:dyDescent="0.35">
      <c r="B44" s="3"/>
      <c r="C44" s="3"/>
      <c r="D44" s="3"/>
      <c r="E44" s="3"/>
      <c r="F44" s="3"/>
      <c r="G44" s="9"/>
      <c r="H44" s="9"/>
      <c r="I44" s="9"/>
      <c r="J44" s="9"/>
      <c r="K44" s="9"/>
    </row>
    <row r="45" spans="2:11" x14ac:dyDescent="0.35">
      <c r="B45" s="3" t="s">
        <v>31</v>
      </c>
      <c r="C45" s="8">
        <f>'P &amp; L Source'!D21</f>
        <v>-317.58000000000004</v>
      </c>
      <c r="D45" s="8">
        <f>'P &amp; L Source'!E21</f>
        <v>-864.30000000000007</v>
      </c>
      <c r="E45" s="8">
        <f>'P &amp; L Source'!F21</f>
        <v>-320.26</v>
      </c>
      <c r="F45" s="3"/>
      <c r="G45" s="15">
        <f>G46*G9</f>
        <v>0</v>
      </c>
      <c r="H45" s="15">
        <f t="shared" ref="H45:K45" si="15">H46*H9</f>
        <v>0</v>
      </c>
      <c r="I45" s="15">
        <f t="shared" si="15"/>
        <v>0</v>
      </c>
      <c r="J45" s="15">
        <f t="shared" si="15"/>
        <v>0</v>
      </c>
      <c r="K45" s="15">
        <f t="shared" si="15"/>
        <v>0</v>
      </c>
    </row>
    <row r="46" spans="2:11" x14ac:dyDescent="0.35">
      <c r="B46" s="3" t="s">
        <v>27</v>
      </c>
      <c r="C46" s="98">
        <f>C45/C9</f>
        <v>-1.7921818479371119E-3</v>
      </c>
      <c r="D46" s="98">
        <f t="shared" ref="D46:E46" si="16">D45/D9</f>
        <v>-4.5822774072463929E-3</v>
      </c>
      <c r="E46" s="98">
        <f t="shared" si="16"/>
        <v>-1.5370069973028228E-3</v>
      </c>
      <c r="F46" s="3"/>
      <c r="G46" s="12">
        <f>CHOOSE($C$5,G47,G48,G49)</f>
        <v>0</v>
      </c>
      <c r="H46" s="12">
        <f t="shared" ref="H46:K46" si="17">CHOOSE($C$5,H47,H48,H49)</f>
        <v>0</v>
      </c>
      <c r="I46" s="12">
        <f t="shared" si="17"/>
        <v>0</v>
      </c>
      <c r="J46" s="12">
        <f t="shared" si="17"/>
        <v>0</v>
      </c>
      <c r="K46" s="12">
        <f t="shared" si="17"/>
        <v>0</v>
      </c>
    </row>
    <row r="47" spans="2:11" x14ac:dyDescent="0.35">
      <c r="B47" s="3" t="s">
        <v>22</v>
      </c>
      <c r="C47" s="13"/>
      <c r="D47" s="13"/>
      <c r="E47" s="13"/>
      <c r="F47" s="3"/>
      <c r="G47" s="12">
        <v>0</v>
      </c>
      <c r="H47" s="12">
        <v>0</v>
      </c>
      <c r="I47" s="12">
        <v>0</v>
      </c>
      <c r="J47" s="12">
        <v>0</v>
      </c>
      <c r="K47" s="12">
        <v>0</v>
      </c>
    </row>
    <row r="48" spans="2:11" x14ac:dyDescent="0.35">
      <c r="B48" s="3" t="s">
        <v>23</v>
      </c>
      <c r="C48" s="13"/>
      <c r="D48" s="13"/>
      <c r="E48" s="13"/>
      <c r="F48" s="3"/>
      <c r="G48" s="12">
        <v>0</v>
      </c>
      <c r="H48" s="12">
        <v>0</v>
      </c>
      <c r="I48" s="12">
        <v>0</v>
      </c>
      <c r="J48" s="12">
        <v>0</v>
      </c>
      <c r="K48" s="12">
        <v>0</v>
      </c>
    </row>
    <row r="49" spans="2:11" x14ac:dyDescent="0.35">
      <c r="B49" s="3" t="s">
        <v>24</v>
      </c>
      <c r="C49" s="13"/>
      <c r="D49" s="13"/>
      <c r="E49" s="13"/>
      <c r="F49" s="3"/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2:11" x14ac:dyDescent="0.35">
      <c r="B50" s="3"/>
      <c r="C50" s="3"/>
      <c r="D50" s="3"/>
      <c r="E50" s="3"/>
      <c r="F50" s="3"/>
      <c r="G50" s="9"/>
      <c r="H50" s="9"/>
      <c r="I50" s="9"/>
      <c r="J50" s="9"/>
      <c r="K50" s="9"/>
    </row>
    <row r="51" spans="2:11" x14ac:dyDescent="0.35">
      <c r="B51" s="3" t="s">
        <v>32</v>
      </c>
      <c r="C51" s="8">
        <f>'P &amp; L Source'!D25</f>
        <v>-3805.7759999999998</v>
      </c>
      <c r="D51" s="8">
        <f>'P &amp; L Source'!E25</f>
        <v>-3050.192</v>
      </c>
      <c r="E51" s="8">
        <f>'P &amp; L Source'!F25</f>
        <v>-3814.88</v>
      </c>
      <c r="F51" s="3"/>
      <c r="G51" s="9">
        <f>'P &amp; L'!G21</f>
        <v>-4936.570560000001</v>
      </c>
      <c r="H51" s="9">
        <f>'P &amp; L'!H21</f>
        <v>-5431.648175999997</v>
      </c>
      <c r="I51" s="9">
        <f>'P &amp; L'!I21</f>
        <v>-5976.2335536000001</v>
      </c>
      <c r="J51" s="9">
        <f>'P &amp; L'!J21</f>
        <v>-6575.2774689599983</v>
      </c>
      <c r="K51" s="9">
        <f>'P &amp; L'!K21</f>
        <v>-7234.2257758560008</v>
      </c>
    </row>
    <row r="52" spans="2:11" x14ac:dyDescent="0.35">
      <c r="B52" s="3" t="s">
        <v>33</v>
      </c>
      <c r="C52" s="14">
        <f>C51/'P &amp; L Source'!D23</f>
        <v>-0.2404816892893126</v>
      </c>
      <c r="D52" s="14">
        <f>D51/'P &amp; L Source'!E23</f>
        <v>-0.22579069143565386</v>
      </c>
      <c r="E52" s="14">
        <f>E51/'P &amp; L Source'!F23</f>
        <v>-0.18936134430001197</v>
      </c>
      <c r="F52" s="3"/>
      <c r="G52" s="12">
        <f>CHOOSE($C$5,G53,G54,G55)</f>
        <v>-0.18</v>
      </c>
      <c r="H52" s="12">
        <f t="shared" ref="H52:K52" si="18">CHOOSE($C$5,H53,H54,H55)</f>
        <v>-0.18</v>
      </c>
      <c r="I52" s="12">
        <f t="shared" si="18"/>
        <v>-0.18</v>
      </c>
      <c r="J52" s="12">
        <f t="shared" si="18"/>
        <v>-0.18</v>
      </c>
      <c r="K52" s="12">
        <f t="shared" si="18"/>
        <v>-0.18</v>
      </c>
    </row>
    <row r="53" spans="2:11" x14ac:dyDescent="0.35">
      <c r="B53" s="3" t="s">
        <v>22</v>
      </c>
      <c r="C53" s="13"/>
      <c r="D53" s="13"/>
      <c r="E53" s="13"/>
      <c r="F53" s="3"/>
      <c r="G53" s="12">
        <v>-0.18</v>
      </c>
      <c r="H53" s="12">
        <v>-0.18</v>
      </c>
      <c r="I53" s="12">
        <v>-0.18</v>
      </c>
      <c r="J53" s="12">
        <v>-0.18</v>
      </c>
      <c r="K53" s="12">
        <v>-0.18</v>
      </c>
    </row>
    <row r="54" spans="2:11" x14ac:dyDescent="0.35">
      <c r="B54" s="3" t="s">
        <v>23</v>
      </c>
      <c r="C54" s="13"/>
      <c r="D54" s="13"/>
      <c r="E54" s="13"/>
      <c r="F54" s="3"/>
      <c r="G54" s="12">
        <v>-0.2</v>
      </c>
      <c r="H54" s="12">
        <v>-0.2</v>
      </c>
      <c r="I54" s="12">
        <v>-0.2</v>
      </c>
      <c r="J54" s="12">
        <v>-0.2</v>
      </c>
      <c r="K54" s="12">
        <v>-0.2</v>
      </c>
    </row>
    <row r="55" spans="2:11" x14ac:dyDescent="0.35">
      <c r="B55" s="3" t="s">
        <v>24</v>
      </c>
      <c r="C55" s="13"/>
      <c r="D55" s="13"/>
      <c r="E55" s="13"/>
      <c r="F55" s="3"/>
      <c r="G55" s="12">
        <v>-0.22</v>
      </c>
      <c r="H55" s="12">
        <v>-0.22</v>
      </c>
      <c r="I55" s="12">
        <v>-0.22</v>
      </c>
      <c r="J55" s="12">
        <v>-0.22</v>
      </c>
      <c r="K55" s="12">
        <v>-0.22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394-0760-4D4B-87A4-D60A92DC7B74}">
  <dimension ref="B1:M20"/>
  <sheetViews>
    <sheetView showGridLines="0" workbookViewId="0">
      <selection activeCell="O11" sqref="O11:P11"/>
    </sheetView>
  </sheetViews>
  <sheetFormatPr defaultRowHeight="14.5" x14ac:dyDescent="0.35"/>
  <cols>
    <col min="1" max="1" width="3.453125" customWidth="1"/>
    <col min="9" max="9" width="18.81640625" customWidth="1"/>
  </cols>
  <sheetData>
    <row r="1" spans="2:13" ht="15.5" x14ac:dyDescent="0.35">
      <c r="B1" s="2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ht="24.5" thickBot="1" x14ac:dyDescent="0.4">
      <c r="B3" s="61" t="s">
        <v>130</v>
      </c>
      <c r="C3" s="61"/>
      <c r="D3" s="5" t="s">
        <v>160</v>
      </c>
      <c r="E3" s="5" t="s">
        <v>161</v>
      </c>
      <c r="F3" s="5" t="s">
        <v>162</v>
      </c>
      <c r="G3" s="3"/>
      <c r="H3" s="61" t="s">
        <v>130</v>
      </c>
      <c r="I3" s="61"/>
      <c r="J3" s="5" t="s">
        <v>160</v>
      </c>
      <c r="K3" s="5" t="s">
        <v>161</v>
      </c>
      <c r="L3" s="5" t="s">
        <v>162</v>
      </c>
    </row>
    <row r="4" spans="2:13" x14ac:dyDescent="0.35">
      <c r="B4" s="3" t="s">
        <v>46</v>
      </c>
      <c r="C4" s="3"/>
      <c r="D4" s="8">
        <v>5961.6</v>
      </c>
      <c r="E4" s="8">
        <v>5840</v>
      </c>
      <c r="F4" s="8">
        <v>5650</v>
      </c>
      <c r="G4" s="8"/>
      <c r="H4" s="8" t="s">
        <v>114</v>
      </c>
      <c r="I4" s="8"/>
      <c r="J4" s="8">
        <v>6784.8</v>
      </c>
      <c r="K4" s="8">
        <v>6800</v>
      </c>
      <c r="L4" s="8">
        <v>7508</v>
      </c>
    </row>
    <row r="5" spans="2:13" x14ac:dyDescent="0.35">
      <c r="B5" s="3" t="s">
        <v>40</v>
      </c>
      <c r="C5" s="3"/>
      <c r="D5" s="8">
        <v>45106.400000000001</v>
      </c>
      <c r="E5" s="8">
        <v>49072.4</v>
      </c>
      <c r="F5" s="8">
        <v>56109.2</v>
      </c>
      <c r="G5" s="8"/>
      <c r="H5" s="8" t="s">
        <v>115</v>
      </c>
      <c r="I5" s="8"/>
      <c r="J5" s="8">
        <v>46224</v>
      </c>
      <c r="K5" s="8">
        <v>44414.400000000001</v>
      </c>
      <c r="L5" s="8">
        <v>46513.2</v>
      </c>
    </row>
    <row r="6" spans="2:13" x14ac:dyDescent="0.35">
      <c r="B6" s="3" t="s">
        <v>47</v>
      </c>
      <c r="C6" s="3"/>
      <c r="D6" s="8">
        <v>8824</v>
      </c>
      <c r="E6" s="8">
        <v>9831</v>
      </c>
      <c r="F6" s="8">
        <v>10323</v>
      </c>
      <c r="G6" s="8"/>
      <c r="H6" s="8" t="s">
        <v>116</v>
      </c>
      <c r="I6" s="8"/>
      <c r="J6" s="8">
        <v>16393.7</v>
      </c>
      <c r="K6" s="8">
        <v>25993.7</v>
      </c>
      <c r="L6" s="8">
        <v>21516</v>
      </c>
    </row>
    <row r="7" spans="2:13" x14ac:dyDescent="0.35">
      <c r="B7" s="3"/>
      <c r="C7" s="3"/>
      <c r="D7" s="8"/>
      <c r="E7" s="8"/>
      <c r="F7" s="8"/>
      <c r="G7" s="8"/>
      <c r="H7" s="8" t="s">
        <v>117</v>
      </c>
      <c r="I7" s="8"/>
      <c r="J7" s="8">
        <v>12019.861333333281</v>
      </c>
      <c r="K7" s="8">
        <v>10458.744000000017</v>
      </c>
      <c r="L7" s="8">
        <v>16331.153574603002</v>
      </c>
    </row>
    <row r="8" spans="2:13" ht="15" thickBot="1" x14ac:dyDescent="0.4">
      <c r="B8" s="64" t="s">
        <v>118</v>
      </c>
      <c r="C8" s="66"/>
      <c r="D8" s="65">
        <f>D6+D5+D4</f>
        <v>59892</v>
      </c>
      <c r="E8" s="65">
        <f>E6+E5+E4</f>
        <v>64743.4</v>
      </c>
      <c r="F8" s="65">
        <f>F6+F5+F4</f>
        <v>72082.2</v>
      </c>
      <c r="G8" s="8"/>
      <c r="H8" s="65" t="s">
        <v>119</v>
      </c>
      <c r="I8" s="67"/>
      <c r="J8" s="65">
        <f>SUM(J4:J7)</f>
        <v>81422.361333333276</v>
      </c>
      <c r="K8" s="65">
        <f>SUM(K4:K7)</f>
        <v>87666.844000000026</v>
      </c>
      <c r="L8" s="65">
        <f>SUM(L4:L7)</f>
        <v>91868.353574602996</v>
      </c>
      <c r="M8" s="112" t="s">
        <v>198</v>
      </c>
    </row>
    <row r="9" spans="2:13" x14ac:dyDescent="0.35">
      <c r="B9" s="3"/>
      <c r="C9" s="3"/>
      <c r="D9" s="8"/>
      <c r="E9" s="8"/>
      <c r="F9" s="8"/>
      <c r="G9" s="8"/>
      <c r="H9" s="8"/>
      <c r="I9" s="8"/>
      <c r="J9" s="8"/>
      <c r="K9" s="8"/>
      <c r="L9" s="8"/>
    </row>
    <row r="10" spans="2:13" x14ac:dyDescent="0.35">
      <c r="B10" s="3" t="s">
        <v>36</v>
      </c>
      <c r="C10" s="3"/>
      <c r="D10" s="8">
        <v>31167.200000000001</v>
      </c>
      <c r="E10" s="8">
        <v>36396.800000000003</v>
      </c>
      <c r="F10" s="8">
        <v>46212</v>
      </c>
      <c r="G10" s="8"/>
      <c r="H10" s="8" t="s">
        <v>38</v>
      </c>
      <c r="I10" s="8"/>
      <c r="J10" s="8">
        <v>15891.2</v>
      </c>
      <c r="K10" s="8">
        <v>26351.599999999999</v>
      </c>
      <c r="L10" s="8">
        <v>36189.599999999999</v>
      </c>
    </row>
    <row r="11" spans="2:13" x14ac:dyDescent="0.35">
      <c r="B11" s="3" t="s">
        <v>62</v>
      </c>
      <c r="C11" s="3"/>
      <c r="D11" s="8">
        <v>32883.599999999999</v>
      </c>
      <c r="E11" s="8">
        <v>38556</v>
      </c>
      <c r="F11" s="8">
        <v>43581.599999999999</v>
      </c>
      <c r="G11" s="8"/>
      <c r="H11" s="8" t="s">
        <v>43</v>
      </c>
      <c r="I11" s="8"/>
      <c r="J11" s="8">
        <v>5315</v>
      </c>
      <c r="K11" s="8">
        <v>4334</v>
      </c>
      <c r="L11" s="8">
        <v>6473.0464253970422</v>
      </c>
      <c r="M11" s="111" t="s">
        <v>173</v>
      </c>
    </row>
    <row r="12" spans="2:13" x14ac:dyDescent="0.35">
      <c r="B12" s="3" t="s">
        <v>42</v>
      </c>
      <c r="C12" s="3"/>
      <c r="D12" s="8">
        <v>8841.6</v>
      </c>
      <c r="E12" s="8">
        <v>11359.199999999999</v>
      </c>
      <c r="F12" s="8">
        <v>17602.8</v>
      </c>
      <c r="G12" s="8"/>
      <c r="H12" s="8" t="s">
        <v>120</v>
      </c>
      <c r="I12" s="8"/>
      <c r="J12" s="8">
        <v>478.83866666668911</v>
      </c>
      <c r="K12" s="8">
        <v>1217.9560000000056</v>
      </c>
      <c r="L12" s="8">
        <v>1760.3999999999999</v>
      </c>
      <c r="M12" s="111"/>
    </row>
    <row r="13" spans="2:13" x14ac:dyDescent="0.35">
      <c r="B13" s="3"/>
      <c r="C13" s="3"/>
      <c r="D13" s="8"/>
      <c r="E13" s="8"/>
      <c r="F13" s="8"/>
      <c r="G13" s="8"/>
      <c r="H13" s="8" t="s">
        <v>121</v>
      </c>
      <c r="I13" s="8"/>
      <c r="J13" s="8">
        <v>175.2</v>
      </c>
      <c r="K13" s="8">
        <v>248.39999999999998</v>
      </c>
      <c r="L13" s="8">
        <v>240</v>
      </c>
      <c r="M13" s="111"/>
    </row>
    <row r="14" spans="2:13" x14ac:dyDescent="0.35">
      <c r="B14" s="3" t="s">
        <v>48</v>
      </c>
      <c r="C14" s="3"/>
      <c r="D14" s="8">
        <v>11791.199999999999</v>
      </c>
      <c r="E14" s="8">
        <v>19408.8</v>
      </c>
      <c r="F14" s="8">
        <v>8173.6</v>
      </c>
      <c r="G14" s="8"/>
      <c r="H14" s="8"/>
      <c r="I14" s="8"/>
      <c r="J14" s="8"/>
      <c r="K14" s="8"/>
      <c r="L14" s="8"/>
      <c r="M14" s="111"/>
    </row>
    <row r="15" spans="2:13" ht="15" thickBot="1" x14ac:dyDescent="0.4">
      <c r="B15" s="64" t="s">
        <v>122</v>
      </c>
      <c r="C15" s="66"/>
      <c r="D15" s="65">
        <f>+D14+D12+D11+D10</f>
        <v>84683.599999999991</v>
      </c>
      <c r="E15" s="65">
        <f>+E14+E12+E11+E10</f>
        <v>105720.8</v>
      </c>
      <c r="F15" s="65">
        <f>+F14+F12+F11+F10</f>
        <v>115570</v>
      </c>
      <c r="G15" s="8"/>
      <c r="H15" s="8" t="s">
        <v>123</v>
      </c>
      <c r="I15" s="8"/>
      <c r="J15" s="8">
        <v>37402.600000000006</v>
      </c>
      <c r="K15" s="8">
        <v>45594.6</v>
      </c>
      <c r="L15" s="8">
        <v>50680.399999999994</v>
      </c>
      <c r="M15" s="111"/>
    </row>
    <row r="16" spans="2:13" x14ac:dyDescent="0.35">
      <c r="B16" s="3"/>
      <c r="C16" s="3"/>
      <c r="D16" s="8"/>
      <c r="E16" s="8"/>
      <c r="F16" s="8"/>
      <c r="G16" s="8"/>
      <c r="H16" s="8" t="s">
        <v>124</v>
      </c>
      <c r="I16" s="8"/>
      <c r="J16" s="8">
        <v>3890.3999999999996</v>
      </c>
      <c r="K16" s="8">
        <v>5050.8</v>
      </c>
      <c r="L16" s="8">
        <v>440.4</v>
      </c>
      <c r="M16" s="111"/>
    </row>
    <row r="17" spans="2:12" ht="15" thickBot="1" x14ac:dyDescent="0.4">
      <c r="B17" s="3"/>
      <c r="C17" s="3"/>
      <c r="D17" s="8"/>
      <c r="E17" s="8"/>
      <c r="F17" s="8"/>
      <c r="G17" s="8"/>
      <c r="H17" s="65" t="s">
        <v>125</v>
      </c>
      <c r="I17" s="67"/>
      <c r="J17" s="65">
        <f>J16+J15+SUM(J10:J13)</f>
        <v>63153.238666666701</v>
      </c>
      <c r="K17" s="65">
        <f>K16+K15+SUM(K10:K13)</f>
        <v>82797.356</v>
      </c>
      <c r="L17" s="65">
        <f>L16+L15+SUM(L10:L13)</f>
        <v>95783.846425397031</v>
      </c>
    </row>
    <row r="18" spans="2:12" x14ac:dyDescent="0.35">
      <c r="B18" s="3"/>
      <c r="C18" s="3"/>
      <c r="D18" s="8"/>
      <c r="E18" s="8"/>
      <c r="F18" s="8"/>
      <c r="G18" s="8"/>
      <c r="H18" s="8"/>
      <c r="I18" s="8"/>
      <c r="J18" s="8"/>
      <c r="K18" s="8"/>
      <c r="L18" s="8"/>
    </row>
    <row r="19" spans="2:12" ht="15" thickBot="1" x14ac:dyDescent="0.4">
      <c r="B19" s="64" t="s">
        <v>49</v>
      </c>
      <c r="C19" s="66"/>
      <c r="D19" s="65">
        <f>D15+D8</f>
        <v>144575.59999999998</v>
      </c>
      <c r="E19" s="65">
        <f>E15+E8</f>
        <v>170464.2</v>
      </c>
      <c r="F19" s="65">
        <f>F15+F8</f>
        <v>187652.2</v>
      </c>
      <c r="G19" s="8"/>
      <c r="H19" s="65" t="s">
        <v>126</v>
      </c>
      <c r="I19" s="67"/>
      <c r="J19" s="65">
        <f>J17+J8</f>
        <v>144575.59999999998</v>
      </c>
      <c r="K19" s="65">
        <f>K17+K8</f>
        <v>170464.2</v>
      </c>
      <c r="L19" s="65">
        <f>L17+L8</f>
        <v>187652.2</v>
      </c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018B-44B5-4996-978B-C8991A73EBEE}">
  <dimension ref="B1:M21"/>
  <sheetViews>
    <sheetView showGridLines="0" topLeftCell="A3" zoomScale="110" zoomScaleNormal="110" workbookViewId="0">
      <selection activeCell="M21" sqref="M21"/>
    </sheetView>
  </sheetViews>
  <sheetFormatPr defaultRowHeight="14.5" x14ac:dyDescent="0.35"/>
  <cols>
    <col min="1" max="1" width="1.81640625" customWidth="1"/>
    <col min="2" max="2" width="19" bestFit="1" customWidth="1"/>
    <col min="6" max="6" width="2" customWidth="1"/>
    <col min="12" max="12" width="2.1796875" customWidth="1"/>
    <col min="13" max="13" width="16.453125" customWidth="1"/>
  </cols>
  <sheetData>
    <row r="1" spans="2:13" ht="15.5" x14ac:dyDescent="0.35">
      <c r="B1" s="2" t="s">
        <v>6</v>
      </c>
      <c r="C1" s="3"/>
      <c r="D1" s="3"/>
      <c r="E1" s="3"/>
      <c r="F1" s="3"/>
      <c r="G1" s="3"/>
      <c r="H1" s="3"/>
      <c r="I1" s="3"/>
      <c r="J1" s="3"/>
      <c r="K1" s="3"/>
      <c r="L1" s="101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101"/>
    </row>
    <row r="3" spans="2:13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101"/>
    </row>
    <row r="4" spans="2:13" ht="30" customHeight="1" thickBot="1" x14ac:dyDescent="0.4">
      <c r="B4" s="4" t="s">
        <v>130</v>
      </c>
      <c r="C4" s="5" t="s">
        <v>160</v>
      </c>
      <c r="D4" s="5" t="s">
        <v>161</v>
      </c>
      <c r="E4" s="5" t="s">
        <v>162</v>
      </c>
      <c r="F4" s="6"/>
      <c r="G4" s="7" t="s">
        <v>163</v>
      </c>
      <c r="H4" s="7" t="s">
        <v>164</v>
      </c>
      <c r="I4" s="7" t="s">
        <v>165</v>
      </c>
      <c r="J4" s="7" t="s">
        <v>166</v>
      </c>
      <c r="K4" s="7" t="s">
        <v>167</v>
      </c>
      <c r="L4" s="99"/>
      <c r="M4" s="100" t="s">
        <v>181</v>
      </c>
    </row>
    <row r="5" spans="2:13" x14ac:dyDescent="0.35">
      <c r="B5" s="3" t="s">
        <v>34</v>
      </c>
      <c r="C5" s="8">
        <f>'BS Source'!D11</f>
        <v>32883.599999999999</v>
      </c>
      <c r="D5" s="8">
        <f>'BS Source'!E11</f>
        <v>38556</v>
      </c>
      <c r="E5" s="8">
        <f>'BS Source'!F11</f>
        <v>43581.599999999999</v>
      </c>
      <c r="F5" s="3"/>
      <c r="G5" s="9">
        <f>(G6*'P &amp; L'!G4)/360</f>
        <v>47939.76</v>
      </c>
      <c r="H5" s="9">
        <f>(H6*'P &amp; L'!H4)/360</f>
        <v>52733.736000000004</v>
      </c>
      <c r="I5" s="9">
        <f>(I6*'P &amp; L'!I4)/360</f>
        <v>58007.109600000018</v>
      </c>
      <c r="J5" s="9">
        <f>(J6*'P &amp; L'!J4)/360</f>
        <v>63807.820560000029</v>
      </c>
      <c r="K5" s="9">
        <f>(K6*'P &amp; L'!K4)/360</f>
        <v>70188.602616000047</v>
      </c>
      <c r="L5" s="102"/>
      <c r="M5" t="s">
        <v>182</v>
      </c>
    </row>
    <row r="6" spans="2:13" x14ac:dyDescent="0.35">
      <c r="B6" s="17" t="s">
        <v>35</v>
      </c>
      <c r="C6" s="17">
        <f>(360/'P &amp; L'!C4)*'BS Assumptions'!C5</f>
        <v>66.805279820319072</v>
      </c>
      <c r="D6" s="17">
        <f>(360/'P &amp; L'!D4)*'BS Assumptions'!D5</f>
        <v>73.588734903349632</v>
      </c>
      <c r="E6" s="17">
        <f>(360/'P &amp; L'!E4)*'BS Assumptions'!E5</f>
        <v>75.297198199322352</v>
      </c>
      <c r="F6" s="3"/>
      <c r="G6" s="18">
        <f>E6</f>
        <v>75.297198199322352</v>
      </c>
      <c r="H6" s="18">
        <f>G6</f>
        <v>75.297198199322352</v>
      </c>
      <c r="I6" s="18">
        <f t="shared" ref="I6:K6" si="0">H6</f>
        <v>75.297198199322352</v>
      </c>
      <c r="J6" s="18">
        <f t="shared" si="0"/>
        <v>75.297198199322352</v>
      </c>
      <c r="K6" s="18">
        <f t="shared" si="0"/>
        <v>75.297198199322352</v>
      </c>
      <c r="L6" s="103"/>
      <c r="M6" t="s">
        <v>183</v>
      </c>
    </row>
    <row r="7" spans="2:13" x14ac:dyDescent="0.35">
      <c r="B7" s="3"/>
      <c r="C7" s="8"/>
      <c r="D7" s="8"/>
      <c r="E7" s="8"/>
      <c r="F7" s="3"/>
      <c r="G7" s="19"/>
      <c r="H7" s="19"/>
      <c r="I7" s="19"/>
      <c r="J7" s="19"/>
      <c r="K7" s="19"/>
      <c r="L7" s="101"/>
      <c r="M7" t="s">
        <v>184</v>
      </c>
    </row>
    <row r="8" spans="2:13" x14ac:dyDescent="0.35">
      <c r="B8" s="3" t="s">
        <v>36</v>
      </c>
      <c r="C8" s="8">
        <f>'BS Source'!D10</f>
        <v>31167.200000000001</v>
      </c>
      <c r="D8" s="8">
        <f>'BS Source'!E10</f>
        <v>36396.800000000003</v>
      </c>
      <c r="E8" s="8">
        <f>'BS Source'!F10</f>
        <v>46212</v>
      </c>
      <c r="F8" s="3"/>
      <c r="G8" s="9">
        <f>-(G9*'P &amp; L'!G8)/360</f>
        <v>51102.670511975753</v>
      </c>
      <c r="H8" s="9">
        <f>-(H9*'P &amp; L'!H8)/360</f>
        <v>56212.937563173342</v>
      </c>
      <c r="I8" s="9">
        <f>-(I9*'P &amp; L'!I8)/360</f>
        <v>61834.231319490689</v>
      </c>
      <c r="J8" s="9">
        <f>-(J9*'P &amp; L'!J8)/360</f>
        <v>68017.654451439768</v>
      </c>
      <c r="K8" s="9">
        <f>-(K9*'P &amp; L'!K8)/360</f>
        <v>74819.419896583742</v>
      </c>
      <c r="L8" s="102"/>
    </row>
    <row r="9" spans="2:13" x14ac:dyDescent="0.35">
      <c r="B9" s="17" t="s">
        <v>37</v>
      </c>
      <c r="C9" s="17">
        <f>-(360/'P &amp; L'!C8)*'BS Assumptions'!C8</f>
        <v>78.796599890979181</v>
      </c>
      <c r="D9" s="17">
        <f>-(360/'P &amp; L'!D8)*'BS Assumptions'!D8</f>
        <v>87.020385727810066</v>
      </c>
      <c r="E9" s="17">
        <f>-(360/'P &amp; L'!E8)*'BS Assumptions'!E8</f>
        <v>105.61192646702818</v>
      </c>
      <c r="F9" s="3"/>
      <c r="G9" s="18">
        <f>E9</f>
        <v>105.61192646702818</v>
      </c>
      <c r="H9" s="18">
        <f>G9</f>
        <v>105.61192646702818</v>
      </c>
      <c r="I9" s="18">
        <f t="shared" ref="I9:K9" si="1">H9</f>
        <v>105.61192646702818</v>
      </c>
      <c r="J9" s="18">
        <f t="shared" si="1"/>
        <v>105.61192646702818</v>
      </c>
      <c r="K9" s="18">
        <f t="shared" si="1"/>
        <v>105.61192646702818</v>
      </c>
      <c r="L9" s="103"/>
      <c r="M9" t="s">
        <v>185</v>
      </c>
    </row>
    <row r="10" spans="2:13" x14ac:dyDescent="0.35">
      <c r="B10" s="3"/>
      <c r="C10" s="8"/>
      <c r="D10" s="8"/>
      <c r="E10" s="8"/>
      <c r="F10" s="3"/>
      <c r="G10" s="19"/>
      <c r="H10" s="19"/>
      <c r="I10" s="19"/>
      <c r="J10" s="19"/>
      <c r="K10" s="19"/>
      <c r="L10" s="101"/>
      <c r="M10" t="s">
        <v>186</v>
      </c>
    </row>
    <row r="11" spans="2:13" x14ac:dyDescent="0.35">
      <c r="B11" s="3" t="s">
        <v>38</v>
      </c>
      <c r="C11" s="8">
        <f>'BS Source'!J10</f>
        <v>15891.2</v>
      </c>
      <c r="D11" s="8">
        <f>'BS Source'!K10</f>
        <v>26351.599999999999</v>
      </c>
      <c r="E11" s="8">
        <f>'BS Source'!L10</f>
        <v>36189.599999999999</v>
      </c>
      <c r="F11" s="3"/>
      <c r="G11" s="9">
        <f>-(G12*'P &amp; L'!G8)/360</f>
        <v>40019.588088812387</v>
      </c>
      <c r="H11" s="9">
        <f>-(H12*'P &amp; L'!H8)/360</f>
        <v>44021.546897693624</v>
      </c>
      <c r="I11" s="9">
        <f>-(I12*'P &amp; L'!I8)/360</f>
        <v>48423.701587462994</v>
      </c>
      <c r="J11" s="9">
        <f>-(J12*'P &amp; L'!J8)/360</f>
        <v>53266.071746209302</v>
      </c>
      <c r="K11" s="9">
        <f>-(K12*'P &amp; L'!K8)/360</f>
        <v>58592.678920830236</v>
      </c>
      <c r="L11" s="102"/>
      <c r="M11" t="s">
        <v>187</v>
      </c>
    </row>
    <row r="12" spans="2:13" x14ac:dyDescent="0.35">
      <c r="B12" s="17" t="s">
        <v>39</v>
      </c>
      <c r="C12" s="17">
        <f>-(360/'P &amp; L'!C8)*'BS Assumptions'!C11</f>
        <v>40.175971155173656</v>
      </c>
      <c r="D12" s="17">
        <f>-(360/'P &amp; L'!D8)*'BS Assumptions'!D11</f>
        <v>63.00351669775803</v>
      </c>
      <c r="E12" s="17">
        <f>-(360/'P &amp; L'!E8)*'BS Assumptions'!E11</f>
        <v>82.706945686643365</v>
      </c>
      <c r="F12" s="3"/>
      <c r="G12" s="18">
        <f>E12</f>
        <v>82.706945686643365</v>
      </c>
      <c r="H12" s="18">
        <f>G12</f>
        <v>82.706945686643365</v>
      </c>
      <c r="I12" s="18">
        <f t="shared" ref="I12:K12" si="2">H12</f>
        <v>82.706945686643365</v>
      </c>
      <c r="J12" s="18">
        <f t="shared" si="2"/>
        <v>82.706945686643365</v>
      </c>
      <c r="K12" s="18">
        <f t="shared" si="2"/>
        <v>82.706945686643365</v>
      </c>
      <c r="L12" s="103"/>
      <c r="M12" t="s">
        <v>188</v>
      </c>
    </row>
    <row r="13" spans="2:13" x14ac:dyDescent="0.35">
      <c r="B13" s="3"/>
      <c r="C13" s="8"/>
      <c r="D13" s="8"/>
      <c r="E13" s="8"/>
      <c r="F13" s="3"/>
      <c r="G13" s="19"/>
      <c r="H13" s="19"/>
      <c r="I13" s="19"/>
      <c r="J13" s="19"/>
      <c r="K13" s="19"/>
      <c r="L13" s="101"/>
    </row>
    <row r="14" spans="2:13" x14ac:dyDescent="0.35">
      <c r="B14" s="3" t="s">
        <v>40</v>
      </c>
      <c r="C14" s="8">
        <f>'BS Source'!D5</f>
        <v>45106.400000000001</v>
      </c>
      <c r="D14" s="8">
        <f>'BS Source'!E5</f>
        <v>49072.4</v>
      </c>
      <c r="E14" s="8">
        <f>'BS Source'!F5</f>
        <v>56109.2</v>
      </c>
      <c r="F14" s="3"/>
      <c r="G14" s="9">
        <f>G15*'P &amp; L'!G4</f>
        <v>59898.018769381182</v>
      </c>
      <c r="H14" s="9">
        <f>H15*'P &amp; L'!H4</f>
        <v>65887.820646319306</v>
      </c>
      <c r="I14" s="9">
        <f>I15*'P &amp; L'!I4</f>
        <v>72476.602710951251</v>
      </c>
      <c r="J14" s="9">
        <f>J15*'P &amp; L'!J4</f>
        <v>79724.262982046392</v>
      </c>
      <c r="K14" s="9">
        <f>K15*'P &amp; L'!K4</f>
        <v>87696.689280251027</v>
      </c>
      <c r="L14" s="102"/>
      <c r="M14" t="s">
        <v>189</v>
      </c>
    </row>
    <row r="15" spans="2:13" x14ac:dyDescent="0.35">
      <c r="B15" s="17" t="s">
        <v>41</v>
      </c>
      <c r="C15" s="20">
        <f>C14/'P &amp; L'!C4</f>
        <v>0.25454648059005774</v>
      </c>
      <c r="D15" s="20">
        <f>D14/'P &amp; L'!D4</f>
        <v>0.26016817058817293</v>
      </c>
      <c r="E15" s="20">
        <f>E14/'P &amp; L'!E4</f>
        <v>0.26928193659234229</v>
      </c>
      <c r="F15" s="3"/>
      <c r="G15" s="21">
        <f>AVERAGE(C15:E15)</f>
        <v>0.26133219592352436</v>
      </c>
      <c r="H15" s="21">
        <f>G15</f>
        <v>0.26133219592352436</v>
      </c>
      <c r="I15" s="21">
        <f t="shared" ref="I15:K15" si="3">H15</f>
        <v>0.26133219592352436</v>
      </c>
      <c r="J15" s="21">
        <f t="shared" si="3"/>
        <v>0.26133219592352436</v>
      </c>
      <c r="K15" s="21">
        <f t="shared" si="3"/>
        <v>0.26133219592352436</v>
      </c>
      <c r="L15" s="104"/>
      <c r="M15" t="s">
        <v>190</v>
      </c>
    </row>
    <row r="16" spans="2:13" x14ac:dyDescent="0.35">
      <c r="B16" s="3"/>
      <c r="C16" s="8"/>
      <c r="D16" s="8"/>
      <c r="E16" s="8"/>
      <c r="F16" s="3"/>
      <c r="G16" s="22"/>
      <c r="H16" s="22"/>
      <c r="I16" s="22"/>
      <c r="J16" s="22"/>
      <c r="K16" s="22"/>
      <c r="L16" s="105"/>
      <c r="M16" t="s">
        <v>191</v>
      </c>
    </row>
    <row r="17" spans="2:13" x14ac:dyDescent="0.35">
      <c r="B17" s="3" t="s">
        <v>42</v>
      </c>
      <c r="C17" s="8">
        <f>'BS Source'!D12</f>
        <v>8841.6</v>
      </c>
      <c r="D17" s="8">
        <f>'BS Source'!E12</f>
        <v>11359.199999999999</v>
      </c>
      <c r="E17" s="8">
        <f>'BS Source'!F12</f>
        <v>17602.8</v>
      </c>
      <c r="F17" s="3"/>
      <c r="G17" s="9">
        <f>G18*'P &amp; L'!G4</f>
        <v>14898.169000000002</v>
      </c>
      <c r="H17" s="9">
        <f>H18*'P &amp; L'!H4</f>
        <v>16387.985900000003</v>
      </c>
      <c r="I17" s="9">
        <f>I18*'P &amp; L'!I4</f>
        <v>18026.784490000005</v>
      </c>
      <c r="J17" s="9">
        <f>J18*'P &amp; L'!J4</f>
        <v>19829.462939000008</v>
      </c>
      <c r="K17" s="9">
        <f>K18*'P &amp; L'!K4</f>
        <v>21812.409232900009</v>
      </c>
      <c r="L17" s="102"/>
      <c r="M17" t="s">
        <v>192</v>
      </c>
    </row>
    <row r="18" spans="2:13" x14ac:dyDescent="0.35">
      <c r="B18" s="17" t="s">
        <v>41</v>
      </c>
      <c r="C18" s="20">
        <f>C17/'P &amp; L'!C4</f>
        <v>4.9895317799360059E-2</v>
      </c>
      <c r="D18" s="20">
        <f>D17/'P &amp; L'!D4</f>
        <v>6.0223308485934532E-2</v>
      </c>
      <c r="E18" s="20">
        <f>E17/'P &amp; L'!E4</f>
        <v>8.4480193505658316E-2</v>
      </c>
      <c r="F18" s="3"/>
      <c r="G18" s="21">
        <v>6.5000000000000002E-2</v>
      </c>
      <c r="H18" s="21">
        <f>G18</f>
        <v>6.5000000000000002E-2</v>
      </c>
      <c r="I18" s="21">
        <f t="shared" ref="I18:K18" si="4">H18</f>
        <v>6.5000000000000002E-2</v>
      </c>
      <c r="J18" s="21">
        <f t="shared" si="4"/>
        <v>6.5000000000000002E-2</v>
      </c>
      <c r="K18" s="21">
        <f t="shared" si="4"/>
        <v>6.5000000000000002E-2</v>
      </c>
      <c r="L18" s="104"/>
    </row>
    <row r="19" spans="2:13" x14ac:dyDescent="0.35">
      <c r="B19" s="3"/>
      <c r="C19" s="8"/>
      <c r="D19" s="8"/>
      <c r="E19" s="8"/>
      <c r="F19" s="3"/>
      <c r="G19" s="22"/>
      <c r="H19" s="22"/>
      <c r="I19" s="22"/>
      <c r="J19" s="22"/>
      <c r="K19" s="22"/>
      <c r="L19" s="105"/>
    </row>
    <row r="20" spans="2:13" x14ac:dyDescent="0.35">
      <c r="B20" s="3" t="s">
        <v>43</v>
      </c>
      <c r="C20" s="8">
        <f>'BS Source'!J11+'BS Source'!J12+'BS Source'!J13</f>
        <v>5969.0386666666891</v>
      </c>
      <c r="D20" s="8">
        <f>'BS Source'!K11+'BS Source'!K12+'BS Source'!K13</f>
        <v>5800.3560000000052</v>
      </c>
      <c r="E20" s="8">
        <f>'BS Source'!L11+'BS Source'!L12+'BS Source'!L13</f>
        <v>8473.4464253970418</v>
      </c>
      <c r="F20" s="8" t="e">
        <f>'BS Source'!M11+'BS Source'!M12+'BS Source'!M13</f>
        <v>#VALUE!</v>
      </c>
      <c r="G20" s="9">
        <f>G21*'P &amp; L'!G4</f>
        <v>8022.0910000000013</v>
      </c>
      <c r="H20" s="9">
        <f>H21*'P &amp; L'!H4</f>
        <v>8824.3001000000022</v>
      </c>
      <c r="I20" s="9">
        <f>I21*'P &amp; L'!I4</f>
        <v>9706.7301100000041</v>
      </c>
      <c r="J20" s="9">
        <f>J21*'P &amp; L'!J4</f>
        <v>10677.403121000005</v>
      </c>
      <c r="K20" s="9">
        <f>K21*'P &amp; L'!K4</f>
        <v>11745.143433100005</v>
      </c>
      <c r="L20" s="102"/>
    </row>
    <row r="21" spans="2:13" x14ac:dyDescent="0.35">
      <c r="B21" s="17" t="s">
        <v>41</v>
      </c>
      <c r="C21" s="20">
        <f>C20/'P &amp; L'!C4</f>
        <v>3.368474950574589E-2</v>
      </c>
      <c r="D21" s="20">
        <f>D20/'P &amp; L'!D4</f>
        <v>3.0751868856630889E-2</v>
      </c>
      <c r="E21" s="20">
        <f>E20/'P &amp; L'!E4</f>
        <v>4.0666166387016318E-2</v>
      </c>
      <c r="F21" s="3"/>
      <c r="G21" s="21">
        <v>3.5000000000000003E-2</v>
      </c>
      <c r="H21" s="21">
        <f>G21</f>
        <v>3.5000000000000003E-2</v>
      </c>
      <c r="I21" s="21">
        <f t="shared" ref="I21:K21" si="5">H21</f>
        <v>3.5000000000000003E-2</v>
      </c>
      <c r="J21" s="21">
        <f t="shared" si="5"/>
        <v>3.5000000000000003E-2</v>
      </c>
      <c r="K21" s="21">
        <f t="shared" si="5"/>
        <v>3.5000000000000003E-2</v>
      </c>
      <c r="L21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CA2C-B864-4685-A31D-DC3C9B3E6C45}">
  <dimension ref="B1:M24"/>
  <sheetViews>
    <sheetView showGridLines="0" topLeftCell="A7" zoomScale="110" zoomScaleNormal="110" workbookViewId="0">
      <selection activeCell="D22" sqref="D22"/>
    </sheetView>
  </sheetViews>
  <sheetFormatPr defaultRowHeight="14.5" x14ac:dyDescent="0.35"/>
  <cols>
    <col min="1" max="1" width="4.1796875" customWidth="1"/>
    <col min="2" max="2" width="16" bestFit="1" customWidth="1"/>
  </cols>
  <sheetData>
    <row r="1" spans="2:13" ht="15.5" x14ac:dyDescent="0.35"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9.25" customHeight="1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20</v>
      </c>
      <c r="C4" s="8">
        <f>'P &amp; L Assumptions'!C9</f>
        <v>177203</v>
      </c>
      <c r="D4" s="8">
        <f>'P &amp; L Assumptions'!D9</f>
        <v>188618</v>
      </c>
      <c r="E4" s="8">
        <f>'P &amp; L Assumptions'!E9</f>
        <v>208366</v>
      </c>
      <c r="F4" s="3"/>
      <c r="G4" s="9">
        <f>'P &amp; L Assumptions'!G9</f>
        <v>229202.6</v>
      </c>
      <c r="H4" s="9">
        <f>'P &amp; L Assumptions'!H9</f>
        <v>252122.86000000002</v>
      </c>
      <c r="I4" s="9">
        <f>'P &amp; L Assumptions'!I9</f>
        <v>277335.14600000007</v>
      </c>
      <c r="J4" s="9">
        <f>'P &amp; L Assumptions'!J9</f>
        <v>305068.66060000012</v>
      </c>
      <c r="K4" s="9">
        <f>'P &amp; L Assumptions'!K9</f>
        <v>335575.52666000015</v>
      </c>
      <c r="L4" s="3"/>
      <c r="M4" s="3"/>
    </row>
    <row r="5" spans="2:13" x14ac:dyDescent="0.35">
      <c r="B5" s="3" t="s">
        <v>25</v>
      </c>
      <c r="C5" s="8">
        <f>'P &amp; L Assumptions'!C15</f>
        <v>3520</v>
      </c>
      <c r="D5" s="8">
        <f>'P &amp; L Assumptions'!D15</f>
        <v>2416</v>
      </c>
      <c r="E5" s="8">
        <f>'P &amp; L Assumptions'!E15</f>
        <v>2585</v>
      </c>
      <c r="F5" s="3"/>
      <c r="G5" s="9">
        <f>'P &amp; L Assumptions'!G15</f>
        <v>2585</v>
      </c>
      <c r="H5" s="9">
        <f>'P &amp; L Assumptions'!H15</f>
        <v>2585</v>
      </c>
      <c r="I5" s="9">
        <f>'P &amp; L Assumptions'!I15</f>
        <v>2585</v>
      </c>
      <c r="J5" s="9">
        <f>'P &amp; L Assumptions'!J15</f>
        <v>2585</v>
      </c>
      <c r="K5" s="9">
        <f>'P &amp; L Assumptions'!K15</f>
        <v>2585</v>
      </c>
      <c r="L5" s="3"/>
      <c r="M5" s="3"/>
    </row>
    <row r="6" spans="2:13" x14ac:dyDescent="0.35">
      <c r="B6" s="34" t="s">
        <v>127</v>
      </c>
      <c r="C6" s="35">
        <f>C4+C5</f>
        <v>180723</v>
      </c>
      <c r="D6" s="35">
        <f t="shared" ref="D6:G6" si="0">D4+D5</f>
        <v>191034</v>
      </c>
      <c r="E6" s="35">
        <f t="shared" si="0"/>
        <v>210951</v>
      </c>
      <c r="F6" s="68"/>
      <c r="G6" s="35">
        <f t="shared" si="0"/>
        <v>231787.6</v>
      </c>
      <c r="H6" s="35">
        <f t="shared" ref="H6" si="1">H4+H5</f>
        <v>254707.86000000002</v>
      </c>
      <c r="I6" s="35">
        <f t="shared" ref="I6" si="2">I4+I5</f>
        <v>279920.14600000007</v>
      </c>
      <c r="J6" s="35">
        <f t="shared" ref="J6" si="3">J4+J5</f>
        <v>307653.66060000012</v>
      </c>
      <c r="K6" s="35">
        <f t="shared" ref="K6" si="4">K4+K5</f>
        <v>338160.52666000015</v>
      </c>
      <c r="L6" s="3"/>
      <c r="M6" s="3"/>
    </row>
    <row r="7" spans="2:13" x14ac:dyDescent="0.35">
      <c r="B7" s="38"/>
      <c r="C7" s="39"/>
      <c r="D7" s="39"/>
      <c r="E7" s="39"/>
      <c r="F7" s="69"/>
      <c r="G7" s="9"/>
      <c r="H7" s="9"/>
      <c r="I7" s="9"/>
      <c r="J7" s="9"/>
      <c r="K7" s="9"/>
      <c r="L7" s="3"/>
      <c r="M7" s="3"/>
    </row>
    <row r="8" spans="2:13" x14ac:dyDescent="0.35">
      <c r="B8" s="3" t="s">
        <v>26</v>
      </c>
      <c r="C8" s="8">
        <f>'P &amp; L Assumptions'!C21</f>
        <v>-142394.36746666671</v>
      </c>
      <c r="D8" s="8">
        <f>'P &amp; L Assumptions'!D21</f>
        <v>-150572.16639999999</v>
      </c>
      <c r="E8" s="8">
        <f>'P &amp; L Assumptions'!E21</f>
        <v>-157523.118425397</v>
      </c>
      <c r="F8" s="3"/>
      <c r="G8" s="9">
        <f>'P &amp; L Assumptions'!G21</f>
        <v>-174193.976</v>
      </c>
      <c r="H8" s="9">
        <f>'P &amp; L Assumptions'!H21</f>
        <v>-191613.37360000002</v>
      </c>
      <c r="I8" s="9">
        <f>'P &amp; L Assumptions'!I21</f>
        <v>-210774.71096000005</v>
      </c>
      <c r="J8" s="9">
        <f>'P &amp; L Assumptions'!J21</f>
        <v>-231852.18205600011</v>
      </c>
      <c r="K8" s="9">
        <f>'P &amp; L Assumptions'!K21</f>
        <v>-255037.40026160012</v>
      </c>
      <c r="L8" s="3"/>
      <c r="M8" s="3"/>
    </row>
    <row r="9" spans="2:13" x14ac:dyDescent="0.35">
      <c r="B9" s="34" t="s">
        <v>128</v>
      </c>
      <c r="C9" s="35">
        <f>C6+C8</f>
        <v>38328.632533333293</v>
      </c>
      <c r="D9" s="35">
        <f t="shared" ref="D9:G9" si="5">D6+D8</f>
        <v>40461.833600000013</v>
      </c>
      <c r="E9" s="35">
        <f t="shared" si="5"/>
        <v>53427.881574603001</v>
      </c>
      <c r="F9" s="68"/>
      <c r="G9" s="35">
        <f t="shared" si="5"/>
        <v>57593.624000000011</v>
      </c>
      <c r="H9" s="35">
        <f t="shared" ref="H9" si="6">H6+H8</f>
        <v>63094.486399999994</v>
      </c>
      <c r="I9" s="35">
        <f t="shared" ref="I9" si="7">I6+I8</f>
        <v>69145.435040000011</v>
      </c>
      <c r="J9" s="35">
        <f t="shared" ref="J9" si="8">J6+J8</f>
        <v>75801.478544000012</v>
      </c>
      <c r="K9" s="35">
        <f t="shared" ref="K9" si="9">K6+K8</f>
        <v>83123.126398400025</v>
      </c>
      <c r="L9" s="3"/>
      <c r="M9" s="3"/>
    </row>
    <row r="10" spans="2:13" x14ac:dyDescent="0.35">
      <c r="B10" s="3"/>
      <c r="C10" s="3"/>
      <c r="D10" s="3"/>
      <c r="E10" s="3"/>
      <c r="F10" s="3"/>
      <c r="G10" s="9"/>
      <c r="H10" s="9"/>
      <c r="I10" s="9"/>
      <c r="J10" s="9"/>
      <c r="K10" s="9"/>
      <c r="L10" s="3"/>
      <c r="M10" s="3"/>
    </row>
    <row r="11" spans="2:13" x14ac:dyDescent="0.35">
      <c r="B11" s="3" t="s">
        <v>28</v>
      </c>
      <c r="C11" s="8">
        <f>'P &amp; L Assumptions'!C27</f>
        <v>-18011.315200000005</v>
      </c>
      <c r="D11" s="8">
        <f>'P &amp; L Assumptions'!D27</f>
        <v>-19247.897599999997</v>
      </c>
      <c r="E11" s="8">
        <f>'P &amp; L Assumptions'!E27</f>
        <v>-23867.008000000009</v>
      </c>
      <c r="F11" s="8"/>
      <c r="G11" s="9">
        <f>'P &amp; L Assumptions'!G27</f>
        <v>-22920.260000000002</v>
      </c>
      <c r="H11" s="9">
        <f>'P &amp; L Assumptions'!H27</f>
        <v>-25212.286000000004</v>
      </c>
      <c r="I11" s="9">
        <f>'P &amp; L Assumptions'!I27</f>
        <v>-27733.51460000001</v>
      </c>
      <c r="J11" s="9">
        <f>'P &amp; L Assumptions'!J27</f>
        <v>-30506.866060000015</v>
      </c>
      <c r="K11" s="9">
        <f>'P &amp; L Assumptions'!K27</f>
        <v>-33557.552666000018</v>
      </c>
      <c r="L11" s="3"/>
      <c r="M11" s="3"/>
    </row>
    <row r="12" spans="2:13" x14ac:dyDescent="0.35">
      <c r="B12" s="34" t="s">
        <v>109</v>
      </c>
      <c r="C12" s="35">
        <f>C9+C11</f>
        <v>20317.317333333289</v>
      </c>
      <c r="D12" s="35">
        <f t="shared" ref="D12:G12" si="10">D9+D11</f>
        <v>21213.936000000016</v>
      </c>
      <c r="E12" s="35">
        <f t="shared" si="10"/>
        <v>29560.873574602992</v>
      </c>
      <c r="F12" s="68"/>
      <c r="G12" s="35">
        <f t="shared" si="10"/>
        <v>34673.364000000009</v>
      </c>
      <c r="H12" s="35">
        <f t="shared" ref="H12" si="11">H9+H11</f>
        <v>37882.200399999987</v>
      </c>
      <c r="I12" s="35">
        <f t="shared" ref="I12" si="12">I9+I11</f>
        <v>41411.920440000002</v>
      </c>
      <c r="J12" s="35">
        <f t="shared" ref="J12" si="13">J9+J11</f>
        <v>45294.612483999997</v>
      </c>
      <c r="K12" s="35">
        <f t="shared" ref="K12" si="14">K9+K11</f>
        <v>49565.573732400007</v>
      </c>
      <c r="L12" s="3"/>
      <c r="M12" s="3"/>
    </row>
    <row r="13" spans="2:13" x14ac:dyDescent="0.35">
      <c r="B13" s="3"/>
      <c r="C13" s="8"/>
      <c r="D13" s="8"/>
      <c r="E13" s="8"/>
      <c r="F13" s="8"/>
      <c r="G13" s="9"/>
      <c r="H13" s="9"/>
      <c r="I13" s="9"/>
      <c r="J13" s="9"/>
      <c r="K13" s="9"/>
      <c r="L13" s="3"/>
      <c r="M13" s="3"/>
    </row>
    <row r="14" spans="2:13" x14ac:dyDescent="0.35">
      <c r="B14" s="3" t="s">
        <v>29</v>
      </c>
      <c r="C14" s="8">
        <f>'P &amp; L Assumptions'!C33</f>
        <v>-2907.8000000000006</v>
      </c>
      <c r="D14" s="8">
        <f>'P &amp; L Assumptions'!D33</f>
        <v>-4649.8</v>
      </c>
      <c r="E14" s="8">
        <f>'P &amp; L Assumptions'!E33</f>
        <v>-6430.6600000000008</v>
      </c>
      <c r="F14" s="8"/>
      <c r="G14" s="9">
        <f>'P &amp; L Assumptions'!G33</f>
        <v>-4584.0520000000006</v>
      </c>
      <c r="H14" s="9">
        <f>'P &amp; L Assumptions'!H33</f>
        <v>-5042.4572000000007</v>
      </c>
      <c r="I14" s="9">
        <f>'P &amp; L Assumptions'!I33</f>
        <v>-5546.7029200000015</v>
      </c>
      <c r="J14" s="9">
        <f>'P &amp; L Assumptions'!J33</f>
        <v>-6101.3732120000022</v>
      </c>
      <c r="K14" s="9">
        <f>'P &amp; L Assumptions'!K33</f>
        <v>-6711.510533200003</v>
      </c>
      <c r="L14" s="3"/>
      <c r="M14" s="3"/>
    </row>
    <row r="15" spans="2:13" x14ac:dyDescent="0.35">
      <c r="B15" s="34" t="s">
        <v>55</v>
      </c>
      <c r="C15" s="35">
        <f>C12+C14</f>
        <v>17409.51733333329</v>
      </c>
      <c r="D15" s="35">
        <f t="shared" ref="D15:G15" si="15">D12+D14</f>
        <v>16564.136000000017</v>
      </c>
      <c r="E15" s="35">
        <f t="shared" si="15"/>
        <v>23130.213574602993</v>
      </c>
      <c r="F15" s="68"/>
      <c r="G15" s="35">
        <f t="shared" si="15"/>
        <v>30089.312000000009</v>
      </c>
      <c r="H15" s="35">
        <f t="shared" ref="H15" si="16">H12+H14</f>
        <v>32839.743199999983</v>
      </c>
      <c r="I15" s="35">
        <f t="shared" ref="I15" si="17">I12+I14</f>
        <v>35865.217519999998</v>
      </c>
      <c r="J15" s="35">
        <f t="shared" ref="J15" si="18">J12+J14</f>
        <v>39193.239271999992</v>
      </c>
      <c r="K15" s="35">
        <f t="shared" ref="K15" si="19">K12+K14</f>
        <v>42854.063199200005</v>
      </c>
      <c r="L15" s="3"/>
      <c r="M15" s="3"/>
    </row>
    <row r="16" spans="2:13" x14ac:dyDescent="0.35">
      <c r="B16" s="38"/>
      <c r="C16" s="40"/>
      <c r="D16" s="40"/>
      <c r="E16" s="40"/>
      <c r="F16" s="40"/>
      <c r="G16" s="9"/>
      <c r="H16" s="9"/>
      <c r="I16" s="9"/>
      <c r="J16" s="9"/>
      <c r="K16" s="9"/>
      <c r="L16" s="3"/>
      <c r="M16" s="3"/>
    </row>
    <row r="17" spans="2:13" x14ac:dyDescent="0.35">
      <c r="B17" s="3" t="s">
        <v>30</v>
      </c>
      <c r="C17" s="8">
        <f>'P &amp; L Assumptions'!C39</f>
        <v>-1266.3000000000002</v>
      </c>
      <c r="D17" s="8">
        <f>'P &amp; L Assumptions'!D39</f>
        <v>-2190.9</v>
      </c>
      <c r="E17" s="8">
        <f>'P &amp; L Assumptions'!E39</f>
        <v>-2663.92</v>
      </c>
      <c r="F17" s="8"/>
      <c r="G17" s="9">
        <f>'P &amp; L Assumptions'!G39</f>
        <v>-2663.92</v>
      </c>
      <c r="H17" s="9">
        <f>'P &amp; L Assumptions'!H39</f>
        <v>-2663.92</v>
      </c>
      <c r="I17" s="9">
        <f>'P &amp; L Assumptions'!I39</f>
        <v>-2663.92</v>
      </c>
      <c r="J17" s="9">
        <f>'P &amp; L Assumptions'!J39</f>
        <v>-2663.92</v>
      </c>
      <c r="K17" s="9">
        <f>'P &amp; L Assumptions'!K39</f>
        <v>-2663.92</v>
      </c>
      <c r="L17" s="3"/>
      <c r="M17" s="3"/>
    </row>
    <row r="18" spans="2:13" x14ac:dyDescent="0.35">
      <c r="B18" s="3" t="s">
        <v>31</v>
      </c>
      <c r="C18" s="8">
        <f>'P &amp; L Assumptions'!C45</f>
        <v>-317.58000000000004</v>
      </c>
      <c r="D18" s="8">
        <f>'P &amp; L Assumptions'!D45</f>
        <v>-864.30000000000007</v>
      </c>
      <c r="E18" s="8">
        <f>'P &amp; L Assumptions'!E45</f>
        <v>-320.26</v>
      </c>
      <c r="F18" s="8"/>
      <c r="G18" s="9">
        <f>'P &amp; L Assumptions'!G45</f>
        <v>0</v>
      </c>
      <c r="H18" s="9">
        <f>'P &amp; L Assumptions'!H45</f>
        <v>0</v>
      </c>
      <c r="I18" s="9">
        <f>'P &amp; L Assumptions'!I45</f>
        <v>0</v>
      </c>
      <c r="J18" s="9">
        <f>'P &amp; L Assumptions'!J45</f>
        <v>0</v>
      </c>
      <c r="K18" s="9">
        <f>'P &amp; L Assumptions'!K45</f>
        <v>0</v>
      </c>
      <c r="L18" s="3"/>
      <c r="M18" s="3"/>
    </row>
    <row r="19" spans="2:13" x14ac:dyDescent="0.35">
      <c r="B19" s="34" t="s">
        <v>112</v>
      </c>
      <c r="C19" s="35">
        <f>C15+C17+C18</f>
        <v>15825.63733333329</v>
      </c>
      <c r="D19" s="35">
        <f t="shared" ref="D19:G19" si="20">D15+D17+D18</f>
        <v>13508.936000000018</v>
      </c>
      <c r="E19" s="35">
        <f t="shared" si="20"/>
        <v>20146.033574602992</v>
      </c>
      <c r="F19" s="68"/>
      <c r="G19" s="35">
        <f t="shared" si="20"/>
        <v>27425.392000000007</v>
      </c>
      <c r="H19" s="35">
        <f t="shared" ref="H19" si="21">H15+H17+H18</f>
        <v>30175.823199999984</v>
      </c>
      <c r="I19" s="35">
        <f t="shared" ref="I19" si="22">I15+I17+I18</f>
        <v>33201.29752</v>
      </c>
      <c r="J19" s="35">
        <f t="shared" ref="J19" si="23">J15+J17+J18</f>
        <v>36529.319271999993</v>
      </c>
      <c r="K19" s="35">
        <f t="shared" ref="K19" si="24">K15+K17+K18</f>
        <v>40190.143199200007</v>
      </c>
      <c r="L19" s="3"/>
      <c r="M19" s="3"/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32</v>
      </c>
      <c r="C21" s="70">
        <f>'P &amp; L Assumptions'!C51</f>
        <v>-3805.7759999999998</v>
      </c>
      <c r="D21" s="70">
        <f>'P &amp; L Assumptions'!D51</f>
        <v>-3050.192</v>
      </c>
      <c r="E21" s="70">
        <f>'P &amp; L Assumptions'!E51</f>
        <v>-3814.88</v>
      </c>
      <c r="F21" s="8"/>
      <c r="G21" s="15">
        <f>G19*G22</f>
        <v>-4936.570560000001</v>
      </c>
      <c r="H21" s="15">
        <f t="shared" ref="H21:K21" si="25">H19*H22</f>
        <v>-5431.648175999997</v>
      </c>
      <c r="I21" s="15">
        <f t="shared" si="25"/>
        <v>-5976.2335536000001</v>
      </c>
      <c r="J21" s="15">
        <f t="shared" si="25"/>
        <v>-6575.2774689599983</v>
      </c>
      <c r="K21" s="15">
        <f t="shared" si="25"/>
        <v>-7234.2257758560008</v>
      </c>
      <c r="L21" s="3"/>
      <c r="M21" s="3"/>
    </row>
    <row r="22" spans="2:13" x14ac:dyDescent="0.35">
      <c r="B22" s="3" t="s">
        <v>129</v>
      </c>
      <c r="C22" s="32">
        <f>'P &amp; L Assumptions'!C52</f>
        <v>-0.2404816892893126</v>
      </c>
      <c r="D22" s="32">
        <f>'P &amp; L Assumptions'!D52</f>
        <v>-0.22579069143565386</v>
      </c>
      <c r="E22" s="32">
        <f>'P &amp; L Assumptions'!E52</f>
        <v>-0.18936134430001197</v>
      </c>
      <c r="F22" s="8"/>
      <c r="G22" s="33">
        <f>'P &amp; L Assumptions'!G52</f>
        <v>-0.18</v>
      </c>
      <c r="H22" s="33">
        <f>'P &amp; L Assumptions'!H52</f>
        <v>-0.18</v>
      </c>
      <c r="I22" s="33">
        <f>'P &amp; L Assumptions'!I52</f>
        <v>-0.18</v>
      </c>
      <c r="J22" s="33">
        <f>'P &amp; L Assumptions'!J52</f>
        <v>-0.18</v>
      </c>
      <c r="K22" s="33">
        <f>'P &amp; L Assumptions'!K52</f>
        <v>-0.18</v>
      </c>
      <c r="L22" s="3"/>
      <c r="M22" s="3"/>
    </row>
    <row r="23" spans="2:13" x14ac:dyDescent="0.35">
      <c r="B23" s="3"/>
      <c r="C23" s="8"/>
      <c r="D23" s="8"/>
      <c r="E23" s="8"/>
      <c r="F23" s="8"/>
      <c r="G23" s="19"/>
      <c r="H23" s="19"/>
      <c r="I23" s="19"/>
      <c r="J23" s="19"/>
      <c r="K23" s="19"/>
      <c r="L23" s="3"/>
      <c r="M23" s="3"/>
    </row>
    <row r="24" spans="2:13" x14ac:dyDescent="0.35">
      <c r="B24" s="47" t="s">
        <v>113</v>
      </c>
      <c r="C24" s="48">
        <f>C19+C21</f>
        <v>12019.861333333291</v>
      </c>
      <c r="D24" s="48">
        <f t="shared" ref="D24:K24" si="26">D19+D21</f>
        <v>10458.744000000017</v>
      </c>
      <c r="E24" s="48">
        <f t="shared" si="26"/>
        <v>16331.153574602991</v>
      </c>
      <c r="F24" s="48"/>
      <c r="G24" s="48">
        <f t="shared" si="26"/>
        <v>22488.821440000007</v>
      </c>
      <c r="H24" s="48">
        <f t="shared" si="26"/>
        <v>24744.175023999989</v>
      </c>
      <c r="I24" s="48">
        <f t="shared" si="26"/>
        <v>27225.063966400001</v>
      </c>
      <c r="J24" s="48">
        <f t="shared" si="26"/>
        <v>29954.041803039996</v>
      </c>
      <c r="K24" s="48">
        <f t="shared" si="26"/>
        <v>32955.917423344006</v>
      </c>
      <c r="L24" s="3"/>
      <c r="M2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B3C-8A9E-48BA-B9E6-B42E92A04503}">
  <dimension ref="B1:M26"/>
  <sheetViews>
    <sheetView showGridLines="0" topLeftCell="A3" zoomScale="110" zoomScaleNormal="110" workbookViewId="0">
      <selection activeCell="A26" sqref="A26:XFD26"/>
    </sheetView>
  </sheetViews>
  <sheetFormatPr defaultRowHeight="14.5" x14ac:dyDescent="0.35"/>
  <cols>
    <col min="1" max="1" width="3" customWidth="1"/>
    <col min="2" max="2" width="22.1796875" bestFit="1" customWidth="1"/>
    <col min="6" max="6" width="1.7265625" customWidth="1"/>
    <col min="12" max="12" width="2" customWidth="1"/>
  </cols>
  <sheetData>
    <row r="1" spans="2:13" ht="15.5" x14ac:dyDescent="0.35"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9.25" customHeight="1" thickBot="1" x14ac:dyDescent="0.4">
      <c r="B3" s="4" t="s">
        <v>130</v>
      </c>
      <c r="C3" s="5" t="s">
        <v>160</v>
      </c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</row>
    <row r="4" spans="2:13" x14ac:dyDescent="0.35">
      <c r="B4" s="3" t="s">
        <v>46</v>
      </c>
      <c r="C4" s="8">
        <f>'BS Source'!D4</f>
        <v>5961.6</v>
      </c>
      <c r="D4" s="8">
        <f>'BS Source'!E4</f>
        <v>5840</v>
      </c>
      <c r="E4" s="8">
        <f>'BS Source'!F4</f>
        <v>5650</v>
      </c>
      <c r="F4" s="3"/>
      <c r="G4" s="9">
        <f>E4</f>
        <v>5650</v>
      </c>
      <c r="H4" s="9">
        <f>G4</f>
        <v>5650</v>
      </c>
      <c r="I4" s="9">
        <f t="shared" ref="I4:K4" si="0">H4</f>
        <v>5650</v>
      </c>
      <c r="J4" s="9">
        <f t="shared" si="0"/>
        <v>5650</v>
      </c>
      <c r="K4" s="9">
        <f t="shared" si="0"/>
        <v>5650</v>
      </c>
      <c r="L4" s="3"/>
      <c r="M4" s="3" t="s">
        <v>193</v>
      </c>
    </row>
    <row r="5" spans="2:13" x14ac:dyDescent="0.35">
      <c r="B5" s="3" t="s">
        <v>40</v>
      </c>
      <c r="C5" s="8">
        <f>'BS Assumptions'!C14</f>
        <v>45106.400000000001</v>
      </c>
      <c r="D5" s="8">
        <f>'BS Assumptions'!D14</f>
        <v>49072.4</v>
      </c>
      <c r="E5" s="8">
        <f>'BS Assumptions'!E14</f>
        <v>56109.2</v>
      </c>
      <c r="F5" s="3"/>
      <c r="G5" s="9">
        <f>'BS Assumptions'!G14</f>
        <v>59898.018769381182</v>
      </c>
      <c r="H5" s="9">
        <f>'BS Assumptions'!H14</f>
        <v>65887.820646319306</v>
      </c>
      <c r="I5" s="9">
        <f>'BS Assumptions'!I14</f>
        <v>72476.602710951251</v>
      </c>
      <c r="J5" s="9">
        <f>'BS Assumptions'!J14</f>
        <v>79724.262982046392</v>
      </c>
      <c r="K5" s="9">
        <f>'BS Assumptions'!K14</f>
        <v>87696.689280251027</v>
      </c>
      <c r="L5" s="3"/>
      <c r="M5" s="3" t="s">
        <v>194</v>
      </c>
    </row>
    <row r="6" spans="2:13" x14ac:dyDescent="0.35">
      <c r="B6" s="3" t="s">
        <v>47</v>
      </c>
      <c r="C6" s="8">
        <f>'BS Source'!D6</f>
        <v>8824</v>
      </c>
      <c r="D6" s="8">
        <f>'BS Source'!E6</f>
        <v>9831</v>
      </c>
      <c r="E6" s="8">
        <f>'BS Source'!F6</f>
        <v>10323</v>
      </c>
      <c r="F6" s="3"/>
      <c r="G6" s="9">
        <f>E6</f>
        <v>10323</v>
      </c>
      <c r="H6" s="9">
        <f>G6</f>
        <v>10323</v>
      </c>
      <c r="I6" s="9">
        <f t="shared" ref="I6:K6" si="1">H6</f>
        <v>10323</v>
      </c>
      <c r="J6" s="9">
        <f t="shared" si="1"/>
        <v>10323</v>
      </c>
      <c r="K6" s="9">
        <f t="shared" si="1"/>
        <v>10323</v>
      </c>
      <c r="L6" s="3"/>
      <c r="M6" s="3" t="s">
        <v>193</v>
      </c>
    </row>
    <row r="7" spans="2:13" x14ac:dyDescent="0.35">
      <c r="B7" s="3"/>
      <c r="C7" s="8"/>
      <c r="D7" s="8"/>
      <c r="E7" s="8"/>
      <c r="F7" s="3"/>
      <c r="G7" s="9"/>
      <c r="H7" s="9"/>
      <c r="I7" s="9"/>
      <c r="J7" s="9"/>
      <c r="K7" s="9"/>
      <c r="L7" s="3"/>
      <c r="M7" s="3"/>
    </row>
    <row r="8" spans="2:13" x14ac:dyDescent="0.35">
      <c r="B8" s="3" t="s">
        <v>36</v>
      </c>
      <c r="C8" s="8">
        <f>'BS Assumptions'!C8</f>
        <v>31167.200000000001</v>
      </c>
      <c r="D8" s="8">
        <f>'BS Assumptions'!D8</f>
        <v>36396.800000000003</v>
      </c>
      <c r="E8" s="8">
        <f>'BS Assumptions'!E8</f>
        <v>46212</v>
      </c>
      <c r="F8" s="3"/>
      <c r="G8" s="9">
        <f>'BS Assumptions'!G8</f>
        <v>51102.670511975753</v>
      </c>
      <c r="H8" s="9">
        <f>'BS Assumptions'!H8</f>
        <v>56212.937563173342</v>
      </c>
      <c r="I8" s="9">
        <f>'BS Assumptions'!I8</f>
        <v>61834.231319490689</v>
      </c>
      <c r="J8" s="9">
        <f>'BS Assumptions'!J8</f>
        <v>68017.654451439768</v>
      </c>
      <c r="K8" s="9">
        <f>'BS Assumptions'!K8</f>
        <v>74819.419896583742</v>
      </c>
      <c r="L8" s="3"/>
      <c r="M8" s="3" t="s">
        <v>194</v>
      </c>
    </row>
    <row r="9" spans="2:13" x14ac:dyDescent="0.35">
      <c r="B9" s="3" t="s">
        <v>34</v>
      </c>
      <c r="C9" s="8">
        <f>'BS Assumptions'!C5</f>
        <v>32883.599999999999</v>
      </c>
      <c r="D9" s="8">
        <f>'BS Assumptions'!D5</f>
        <v>38556</v>
      </c>
      <c r="E9" s="8">
        <f>'BS Assumptions'!E5</f>
        <v>43581.599999999999</v>
      </c>
      <c r="F9" s="3"/>
      <c r="G9" s="9">
        <f>'BS Assumptions'!G5</f>
        <v>47939.76</v>
      </c>
      <c r="H9" s="9">
        <f>'BS Assumptions'!H5</f>
        <v>52733.736000000004</v>
      </c>
      <c r="I9" s="9">
        <f>'BS Assumptions'!I5</f>
        <v>58007.109600000018</v>
      </c>
      <c r="J9" s="9">
        <f>'BS Assumptions'!J5</f>
        <v>63807.820560000029</v>
      </c>
      <c r="K9" s="9">
        <f>'BS Assumptions'!K5</f>
        <v>70188.602616000047</v>
      </c>
      <c r="L9" s="3"/>
      <c r="M9" s="3" t="s">
        <v>194</v>
      </c>
    </row>
    <row r="10" spans="2:13" x14ac:dyDescent="0.35">
      <c r="B10" s="3" t="s">
        <v>42</v>
      </c>
      <c r="C10" s="8">
        <f>'BS Assumptions'!C17</f>
        <v>8841.6</v>
      </c>
      <c r="D10" s="8">
        <f>'BS Assumptions'!D17</f>
        <v>11359.199999999999</v>
      </c>
      <c r="E10" s="8">
        <f>'BS Assumptions'!E17</f>
        <v>17602.8</v>
      </c>
      <c r="F10" s="3"/>
      <c r="G10" s="9">
        <f>'BS Assumptions'!G17</f>
        <v>14898.169000000002</v>
      </c>
      <c r="H10" s="9">
        <f>'BS Assumptions'!H17</f>
        <v>16387.985900000003</v>
      </c>
      <c r="I10" s="9">
        <f>'BS Assumptions'!I17</f>
        <v>18026.784490000005</v>
      </c>
      <c r="J10" s="9">
        <f>'BS Assumptions'!J17</f>
        <v>19829.462939000008</v>
      </c>
      <c r="K10" s="9">
        <f>'BS Assumptions'!K17</f>
        <v>21812.409232900009</v>
      </c>
      <c r="L10" s="3"/>
      <c r="M10" s="3" t="s">
        <v>194</v>
      </c>
    </row>
    <row r="11" spans="2:13" x14ac:dyDescent="0.35">
      <c r="B11" s="3"/>
      <c r="C11" s="8"/>
      <c r="D11" s="8"/>
      <c r="E11" s="8"/>
      <c r="F11" s="3"/>
      <c r="G11" s="9"/>
      <c r="H11" s="9"/>
      <c r="I11" s="9"/>
      <c r="J11" s="9"/>
      <c r="K11" s="9"/>
      <c r="L11" s="3"/>
      <c r="M11" s="3"/>
    </row>
    <row r="12" spans="2:13" x14ac:dyDescent="0.35">
      <c r="B12" s="3" t="s">
        <v>48</v>
      </c>
      <c r="C12" s="8">
        <f>'BS Source'!D14</f>
        <v>11791.199999999999</v>
      </c>
      <c r="D12" s="8">
        <f>'BS Source'!E14</f>
        <v>19408.8</v>
      </c>
      <c r="E12" s="8">
        <f>'BS Source'!F14</f>
        <v>8173.6</v>
      </c>
      <c r="F12" s="8">
        <f>'BS Source'!G14</f>
        <v>0</v>
      </c>
      <c r="G12" s="9">
        <f>'Cash Flow'!G33</f>
        <v>23708.035822058475</v>
      </c>
      <c r="H12" s="9">
        <f>'Cash Flow'!H33</f>
        <v>35872.516926803983</v>
      </c>
      <c r="I12" s="9">
        <f>'Cash Flow'!I33</f>
        <v>49259.917582024049</v>
      </c>
      <c r="J12" s="9">
        <f>'Cash Flow'!J33</f>
        <v>63992.529742766121</v>
      </c>
      <c r="K12" s="9">
        <f>'Cash Flow'!K33</f>
        <v>80204.874559582444</v>
      </c>
      <c r="L12" s="3"/>
      <c r="M12" s="3" t="s">
        <v>195</v>
      </c>
    </row>
    <row r="13" spans="2:13" x14ac:dyDescent="0.35">
      <c r="B13" s="3"/>
      <c r="C13" s="3"/>
      <c r="D13" s="3"/>
      <c r="E13" s="3"/>
      <c r="F13" s="3"/>
      <c r="G13" s="9"/>
      <c r="H13" s="9"/>
      <c r="I13" s="9"/>
      <c r="J13" s="9"/>
      <c r="K13" s="9"/>
      <c r="L13" s="3"/>
      <c r="M13" s="3"/>
    </row>
    <row r="14" spans="2:13" ht="15" thickBot="1" x14ac:dyDescent="0.4">
      <c r="B14" s="24" t="s">
        <v>49</v>
      </c>
      <c r="C14" s="25">
        <f>SUM(C4:C12)</f>
        <v>144575.6</v>
      </c>
      <c r="D14" s="25">
        <f t="shared" ref="D14:K14" si="2">SUM(D4:D12)</f>
        <v>170464.2</v>
      </c>
      <c r="E14" s="25">
        <f t="shared" si="2"/>
        <v>187652.19999999998</v>
      </c>
      <c r="F14" s="26"/>
      <c r="G14" s="25">
        <f t="shared" si="2"/>
        <v>213519.65410341541</v>
      </c>
      <c r="H14" s="25">
        <f t="shared" si="2"/>
        <v>243067.99703629664</v>
      </c>
      <c r="I14" s="25">
        <f t="shared" si="2"/>
        <v>275577.64570246602</v>
      </c>
      <c r="J14" s="25">
        <f t="shared" si="2"/>
        <v>311344.73067525233</v>
      </c>
      <c r="K14" s="25">
        <f t="shared" si="2"/>
        <v>350694.99558531726</v>
      </c>
      <c r="L14" s="3"/>
      <c r="M14" s="3"/>
    </row>
    <row r="15" spans="2:13" x14ac:dyDescent="0.35">
      <c r="B15" s="3"/>
      <c r="C15" s="8"/>
      <c r="D15" s="8"/>
      <c r="E15" s="8"/>
      <c r="F15" s="8"/>
      <c r="G15" s="9"/>
      <c r="H15" s="9"/>
      <c r="I15" s="9"/>
      <c r="J15" s="9"/>
      <c r="K15" s="9"/>
      <c r="L15" s="3"/>
      <c r="M15" s="3"/>
    </row>
    <row r="16" spans="2:13" x14ac:dyDescent="0.35">
      <c r="B16" s="3" t="s">
        <v>38</v>
      </c>
      <c r="C16" s="8">
        <f>'BS Assumptions'!C11</f>
        <v>15891.2</v>
      </c>
      <c r="D16" s="8">
        <f>'BS Assumptions'!D11</f>
        <v>26351.599999999999</v>
      </c>
      <c r="E16" s="8">
        <f>'BS Assumptions'!E11</f>
        <v>36189.599999999999</v>
      </c>
      <c r="F16" s="8"/>
      <c r="G16" s="9">
        <f>'BS Assumptions'!G11</f>
        <v>40019.588088812387</v>
      </c>
      <c r="H16" s="9">
        <f>'BS Assumptions'!H11</f>
        <v>44021.546897693624</v>
      </c>
      <c r="I16" s="9">
        <f>'BS Assumptions'!I11</f>
        <v>48423.701587462994</v>
      </c>
      <c r="J16" s="9">
        <f>'BS Assumptions'!J11</f>
        <v>53266.071746209302</v>
      </c>
      <c r="K16" s="9">
        <f>'BS Assumptions'!K11</f>
        <v>58592.678920830236</v>
      </c>
      <c r="L16" s="3"/>
      <c r="M16" s="3" t="s">
        <v>194</v>
      </c>
    </row>
    <row r="17" spans="2:13" x14ac:dyDescent="0.35">
      <c r="B17" s="3" t="s">
        <v>43</v>
      </c>
      <c r="C17" s="8">
        <f>'BS Assumptions'!C20</f>
        <v>5969.0386666666891</v>
      </c>
      <c r="D17" s="8">
        <f>'BS Assumptions'!D20</f>
        <v>5800.3560000000052</v>
      </c>
      <c r="E17" s="8">
        <f>'BS Assumptions'!E20</f>
        <v>8473.4464253970418</v>
      </c>
      <c r="F17" s="8" t="e">
        <f>'BS Assumptions'!F20</f>
        <v>#VALUE!</v>
      </c>
      <c r="G17" s="9">
        <f>'BS Assumptions'!G20</f>
        <v>8022.0910000000013</v>
      </c>
      <c r="H17" s="9">
        <f>'BS Assumptions'!H20</f>
        <v>8824.3001000000022</v>
      </c>
      <c r="I17" s="9">
        <f>'BS Assumptions'!I20</f>
        <v>9706.7301100000041</v>
      </c>
      <c r="J17" s="9">
        <f>'BS Assumptions'!J20</f>
        <v>10677.403121000005</v>
      </c>
      <c r="K17" s="9">
        <f>'BS Assumptions'!K20</f>
        <v>11745.143433100005</v>
      </c>
      <c r="L17" s="3"/>
      <c r="M17" s="3" t="s">
        <v>194</v>
      </c>
    </row>
    <row r="18" spans="2:13" x14ac:dyDescent="0.35">
      <c r="B18" s="3"/>
      <c r="C18" s="8"/>
      <c r="D18" s="8"/>
      <c r="E18" s="8"/>
      <c r="F18" s="8"/>
      <c r="G18" s="9"/>
      <c r="H18" s="9"/>
      <c r="I18" s="9"/>
      <c r="J18" s="9"/>
      <c r="K18" s="9"/>
      <c r="L18" s="3"/>
      <c r="M18" s="3"/>
    </row>
    <row r="19" spans="2:13" x14ac:dyDescent="0.35">
      <c r="B19" s="3" t="s">
        <v>50</v>
      </c>
      <c r="C19" s="8">
        <f>'BS Source'!J15+'BS Source'!J16</f>
        <v>41293.000000000007</v>
      </c>
      <c r="D19" s="8">
        <f>'BS Source'!K15+'BS Source'!K16</f>
        <v>50645.4</v>
      </c>
      <c r="E19" s="8">
        <f>'BS Source'!L15+'BS Source'!L16</f>
        <v>51120.799999999996</v>
      </c>
      <c r="F19" s="8"/>
      <c r="G19" s="9">
        <f>E19</f>
        <v>51120.799999999996</v>
      </c>
      <c r="H19" s="9">
        <f>G19</f>
        <v>51120.799999999996</v>
      </c>
      <c r="I19" s="9">
        <f t="shared" ref="I19:K19" si="3">H19</f>
        <v>51120.799999999996</v>
      </c>
      <c r="J19" s="9">
        <f t="shared" si="3"/>
        <v>51120.799999999996</v>
      </c>
      <c r="K19" s="9">
        <f t="shared" si="3"/>
        <v>51120.799999999996</v>
      </c>
      <c r="L19" s="3"/>
      <c r="M19" s="3" t="s">
        <v>196</v>
      </c>
    </row>
    <row r="20" spans="2:13" x14ac:dyDescent="0.35">
      <c r="B20" s="3"/>
      <c r="C20" s="8"/>
      <c r="D20" s="8"/>
      <c r="E20" s="8"/>
      <c r="F20" s="8"/>
      <c r="G20" s="9"/>
      <c r="H20" s="9"/>
      <c r="I20" s="9"/>
      <c r="J20" s="9"/>
      <c r="K20" s="9"/>
      <c r="L20" s="3"/>
      <c r="M20" s="3"/>
    </row>
    <row r="21" spans="2:13" x14ac:dyDescent="0.35">
      <c r="B21" s="3" t="s">
        <v>51</v>
      </c>
      <c r="C21" s="8">
        <f>'BS Source'!J8</f>
        <v>81422.361333333276</v>
      </c>
      <c r="D21" s="8">
        <f>'BS Source'!K8</f>
        <v>87666.844000000026</v>
      </c>
      <c r="E21" s="8">
        <f>'BS Source'!L8</f>
        <v>91868.353574602996</v>
      </c>
      <c r="F21" s="8"/>
      <c r="G21" s="9">
        <f>E21+'P &amp; L'!G24</f>
        <v>114357.17501460301</v>
      </c>
      <c r="H21" s="9">
        <f>G21+'P &amp; L'!H24</f>
        <v>139101.35003860301</v>
      </c>
      <c r="I21" s="9">
        <f>H21+'P &amp; L'!I24</f>
        <v>166326.414005003</v>
      </c>
      <c r="J21" s="9">
        <f>I21+'P &amp; L'!J24</f>
        <v>196280.45580804299</v>
      </c>
      <c r="K21" s="9">
        <f>J21+'P &amp; L'!K24</f>
        <v>229236.373231387</v>
      </c>
      <c r="L21" s="3"/>
      <c r="M21" s="3" t="s">
        <v>197</v>
      </c>
    </row>
    <row r="22" spans="2:13" x14ac:dyDescent="0.35">
      <c r="B22" s="3"/>
      <c r="C22" s="8"/>
      <c r="D22" s="8"/>
      <c r="E22" s="8"/>
      <c r="F22" s="8"/>
      <c r="G22" s="9"/>
      <c r="H22" s="9"/>
      <c r="I22" s="9"/>
      <c r="J22" s="9"/>
      <c r="K22" s="9"/>
      <c r="L22" s="3"/>
      <c r="M22" s="3"/>
    </row>
    <row r="23" spans="2:13" ht="15" thickBot="1" x14ac:dyDescent="0.4">
      <c r="B23" s="24" t="s">
        <v>52</v>
      </c>
      <c r="C23" s="25">
        <f>SUM(C16:C21)</f>
        <v>144575.59999999998</v>
      </c>
      <c r="D23" s="25">
        <f t="shared" ref="D23:K23" si="4">SUM(D16:D21)</f>
        <v>170464.2</v>
      </c>
      <c r="E23" s="25">
        <f t="shared" si="4"/>
        <v>187652.2</v>
      </c>
      <c r="F23" s="26"/>
      <c r="G23" s="25">
        <f t="shared" si="4"/>
        <v>213519.65410341538</v>
      </c>
      <c r="H23" s="25">
        <f t="shared" si="4"/>
        <v>243067.99703629664</v>
      </c>
      <c r="I23" s="25">
        <f t="shared" si="4"/>
        <v>275577.64570246602</v>
      </c>
      <c r="J23" s="25">
        <f t="shared" si="4"/>
        <v>311344.73067525227</v>
      </c>
      <c r="K23" s="25">
        <f t="shared" si="4"/>
        <v>350694.99558531726</v>
      </c>
      <c r="L23" s="3"/>
      <c r="M23" s="3"/>
    </row>
    <row r="24" spans="2:13" x14ac:dyDescent="0.35">
      <c r="B24" s="3"/>
      <c r="C24" s="3"/>
      <c r="D24" s="3"/>
      <c r="E24" s="3"/>
      <c r="F24" s="3"/>
      <c r="G24" s="8"/>
      <c r="H24" s="8"/>
      <c r="I24" s="8"/>
      <c r="J24" s="8"/>
      <c r="K24" s="8"/>
      <c r="L24" s="3"/>
      <c r="M24" s="3"/>
    </row>
    <row r="25" spans="2:13" x14ac:dyDescent="0.35">
      <c r="B25" s="3"/>
      <c r="C25" s="3"/>
      <c r="D25" s="3"/>
      <c r="E25" s="3"/>
      <c r="F25" s="3"/>
      <c r="G25" s="8"/>
      <c r="H25" s="8"/>
      <c r="I25" s="8"/>
      <c r="J25" s="8"/>
      <c r="K25" s="8"/>
      <c r="L25" s="3"/>
      <c r="M25" s="3"/>
    </row>
    <row r="26" spans="2:13" x14ac:dyDescent="0.35">
      <c r="B26" s="3" t="s">
        <v>53</v>
      </c>
      <c r="C26" s="3">
        <f>C14-C23</f>
        <v>0</v>
      </c>
      <c r="D26" s="3">
        <f>D14-D23</f>
        <v>0</v>
      </c>
      <c r="E26" s="3">
        <f>E14-E23</f>
        <v>0</v>
      </c>
      <c r="F26" s="3"/>
      <c r="G26" s="8">
        <f>G14-G23</f>
        <v>0</v>
      </c>
      <c r="H26" s="8">
        <f>H14-H23</f>
        <v>0</v>
      </c>
      <c r="I26" s="8">
        <f>I14-I23</f>
        <v>0</v>
      </c>
      <c r="J26" s="8">
        <f>J14-J23</f>
        <v>0</v>
      </c>
      <c r="K26" s="8">
        <f>K14-K23</f>
        <v>0</v>
      </c>
      <c r="L26" s="3"/>
      <c r="M2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CB3-4C87-4139-A01E-445B83A746D2}">
  <dimension ref="B1:P36"/>
  <sheetViews>
    <sheetView showGridLines="0" workbookViewId="0">
      <selection activeCell="D28" sqref="D28"/>
    </sheetView>
  </sheetViews>
  <sheetFormatPr defaultRowHeight="14.5" x14ac:dyDescent="0.35"/>
  <cols>
    <col min="1" max="1" width="3.54296875" customWidth="1"/>
    <col min="2" max="2" width="31.453125" bestFit="1" customWidth="1"/>
    <col min="6" max="6" width="2.1796875" customWidth="1"/>
    <col min="12" max="12" width="2.54296875" customWidth="1"/>
  </cols>
  <sheetData>
    <row r="1" spans="2:16" ht="15.5" x14ac:dyDescent="0.35">
      <c r="B1" s="27" t="s">
        <v>10</v>
      </c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2:16" x14ac:dyDescent="0.35">
      <c r="B2" s="28" t="s">
        <v>54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2:16" ht="24.5" thickBot="1" x14ac:dyDescent="0.4">
      <c r="B3" s="4" t="s">
        <v>130</v>
      </c>
      <c r="C3" s="4"/>
      <c r="D3" s="5" t="s">
        <v>161</v>
      </c>
      <c r="E3" s="5" t="s">
        <v>162</v>
      </c>
      <c r="F3" s="6"/>
      <c r="G3" s="7" t="s">
        <v>163</v>
      </c>
      <c r="H3" s="7" t="s">
        <v>164</v>
      </c>
      <c r="I3" s="7" t="s">
        <v>165</v>
      </c>
      <c r="J3" s="7" t="s">
        <v>166</v>
      </c>
      <c r="K3" s="7" t="s">
        <v>167</v>
      </c>
      <c r="L3" s="3"/>
      <c r="M3" s="23" t="s">
        <v>45</v>
      </c>
      <c r="N3" s="28"/>
      <c r="O3" s="28"/>
      <c r="P3" s="28"/>
    </row>
    <row r="4" spans="2:16" x14ac:dyDescent="0.35">
      <c r="B4" s="28" t="s">
        <v>55</v>
      </c>
      <c r="C4" s="28" t="s">
        <v>8</v>
      </c>
      <c r="D4" s="29">
        <f>'P &amp; L'!D15</f>
        <v>16564.136000000017</v>
      </c>
      <c r="E4" s="29">
        <f>'P &amp; L'!E15</f>
        <v>23130.213574602993</v>
      </c>
      <c r="F4" s="29"/>
      <c r="G4" s="30">
        <f>'P &amp; L'!G15</f>
        <v>30089.312000000009</v>
      </c>
      <c r="H4" s="30">
        <f>'P &amp; L'!H15</f>
        <v>32839.743199999983</v>
      </c>
      <c r="I4" s="30">
        <f>'P &amp; L'!I15</f>
        <v>35865.217519999998</v>
      </c>
      <c r="J4" s="30">
        <f>'P &amp; L'!J15</f>
        <v>39193.239271999992</v>
      </c>
      <c r="K4" s="30">
        <f>'P &amp; L'!K15</f>
        <v>42854.063199200005</v>
      </c>
      <c r="L4" s="28"/>
      <c r="M4" s="28"/>
      <c r="N4" s="28"/>
      <c r="O4" s="28"/>
      <c r="P4" s="28"/>
    </row>
    <row r="5" spans="2:16" x14ac:dyDescent="0.35">
      <c r="B5" s="28" t="s">
        <v>56</v>
      </c>
      <c r="C5" s="28" t="s">
        <v>8</v>
      </c>
      <c r="D5" s="31">
        <f>D4*D6</f>
        <v>-3740.0277204742097</v>
      </c>
      <c r="E5" s="31">
        <f>E4*E6</f>
        <v>-4379.9683364332077</v>
      </c>
      <c r="F5" s="29"/>
      <c r="G5" s="30">
        <f>G4*G6</f>
        <v>-5416.0761600000014</v>
      </c>
      <c r="H5" s="30">
        <f t="shared" ref="H5:K5" si="0">H4*H6</f>
        <v>-5911.1537759999965</v>
      </c>
      <c r="I5" s="30">
        <f t="shared" si="0"/>
        <v>-6455.7391535999996</v>
      </c>
      <c r="J5" s="30">
        <f t="shared" si="0"/>
        <v>-7054.7830689599987</v>
      </c>
      <c r="K5" s="30">
        <f t="shared" si="0"/>
        <v>-7713.7313758560003</v>
      </c>
      <c r="L5" s="28"/>
      <c r="M5" s="28"/>
      <c r="N5" s="28"/>
      <c r="O5" s="28"/>
      <c r="P5" s="28"/>
    </row>
    <row r="6" spans="2:16" x14ac:dyDescent="0.35">
      <c r="B6" s="28" t="s">
        <v>57</v>
      </c>
      <c r="C6" s="28"/>
      <c r="D6" s="32">
        <f>'P &amp; L'!D22</f>
        <v>-0.22579069143565386</v>
      </c>
      <c r="E6" s="32">
        <f>'P &amp; L'!E22</f>
        <v>-0.18936134430001197</v>
      </c>
      <c r="F6" s="32"/>
      <c r="G6" s="33">
        <f>'P &amp; L'!G22</f>
        <v>-0.18</v>
      </c>
      <c r="H6" s="33">
        <f>'P &amp; L'!H22</f>
        <v>-0.18</v>
      </c>
      <c r="I6" s="33">
        <f>'P &amp; L'!I22</f>
        <v>-0.18</v>
      </c>
      <c r="J6" s="33">
        <f>'P &amp; L'!J22</f>
        <v>-0.18</v>
      </c>
      <c r="K6" s="33">
        <f>'P &amp; L'!K22</f>
        <v>-0.18</v>
      </c>
      <c r="L6" s="28"/>
      <c r="M6" s="28"/>
      <c r="N6" s="28"/>
      <c r="O6" s="28"/>
      <c r="P6" s="28"/>
    </row>
    <row r="7" spans="2:16" x14ac:dyDescent="0.35">
      <c r="B7" s="34" t="s">
        <v>58</v>
      </c>
      <c r="C7" s="34"/>
      <c r="D7" s="35">
        <f>D4+D5</f>
        <v>12824.108279525808</v>
      </c>
      <c r="E7" s="35">
        <f>E4+E5</f>
        <v>18750.245238169784</v>
      </c>
      <c r="F7" s="36"/>
      <c r="G7" s="37">
        <f>G4+G5</f>
        <v>24673.235840000008</v>
      </c>
      <c r="H7" s="37">
        <f t="shared" ref="H7:K7" si="1">H4+H5</f>
        <v>26928.589423999987</v>
      </c>
      <c r="I7" s="37">
        <f t="shared" si="1"/>
        <v>29409.478366399999</v>
      </c>
      <c r="J7" s="37">
        <f t="shared" si="1"/>
        <v>32138.456203039994</v>
      </c>
      <c r="K7" s="37">
        <f t="shared" si="1"/>
        <v>35140.331823344008</v>
      </c>
      <c r="L7" s="28"/>
      <c r="M7" s="28"/>
      <c r="N7" s="28"/>
      <c r="O7" s="28"/>
      <c r="P7" s="28"/>
    </row>
    <row r="8" spans="2:16" x14ac:dyDescent="0.35">
      <c r="B8" s="38"/>
      <c r="C8" s="38"/>
      <c r="D8" s="39"/>
      <c r="E8" s="39"/>
      <c r="F8" s="40"/>
      <c r="G8" s="41"/>
      <c r="H8" s="41"/>
      <c r="I8" s="41"/>
      <c r="J8" s="41"/>
      <c r="K8" s="41"/>
      <c r="L8" s="28"/>
      <c r="M8" s="28"/>
      <c r="N8" s="28"/>
      <c r="O8" s="28"/>
      <c r="P8" s="28"/>
    </row>
    <row r="9" spans="2:16" x14ac:dyDescent="0.35">
      <c r="B9" s="28" t="s">
        <v>59</v>
      </c>
      <c r="C9" s="28" t="s">
        <v>8</v>
      </c>
      <c r="D9" s="29">
        <f>-'P &amp; L'!D14</f>
        <v>4649.8</v>
      </c>
      <c r="E9" s="29">
        <f>-'P &amp; L'!E14</f>
        <v>6430.6600000000008</v>
      </c>
      <c r="F9" s="28"/>
      <c r="G9" s="9">
        <f>-'P &amp; L'!G14</f>
        <v>4584.0520000000006</v>
      </c>
      <c r="H9" s="9">
        <f>-'P &amp; L'!H14</f>
        <v>5042.4572000000007</v>
      </c>
      <c r="I9" s="9">
        <f>-'P &amp; L'!I14</f>
        <v>5546.7029200000015</v>
      </c>
      <c r="J9" s="9">
        <f>-'P &amp; L'!J14</f>
        <v>6101.3732120000022</v>
      </c>
      <c r="K9" s="9">
        <f>-'P &amp; L'!K14</f>
        <v>6711.510533200003</v>
      </c>
      <c r="L9" s="28"/>
      <c r="M9" s="28"/>
      <c r="N9" s="28"/>
      <c r="O9" s="28"/>
      <c r="P9" s="28"/>
    </row>
    <row r="10" spans="2:16" x14ac:dyDescent="0.35">
      <c r="B10" s="34" t="s">
        <v>60</v>
      </c>
      <c r="C10" s="34"/>
      <c r="D10" s="35">
        <f>D7+D9</f>
        <v>17473.908279525807</v>
      </c>
      <c r="E10" s="35">
        <f>E7+E9</f>
        <v>25180.905238169784</v>
      </c>
      <c r="F10" s="36"/>
      <c r="G10" s="37">
        <f>G7+G9</f>
        <v>29257.287840000008</v>
      </c>
      <c r="H10" s="37">
        <f t="shared" ref="H10:K10" si="2">H7+H9</f>
        <v>31971.046623999988</v>
      </c>
      <c r="I10" s="37">
        <f t="shared" si="2"/>
        <v>34956.181286400002</v>
      </c>
      <c r="J10" s="37">
        <f t="shared" si="2"/>
        <v>38239.829415039996</v>
      </c>
      <c r="K10" s="37">
        <f t="shared" si="2"/>
        <v>41851.84235654401</v>
      </c>
      <c r="L10" s="28"/>
      <c r="M10" s="28" t="s">
        <v>61</v>
      </c>
      <c r="N10" s="28"/>
      <c r="O10" s="28"/>
      <c r="P10" s="28"/>
    </row>
    <row r="11" spans="2:16" x14ac:dyDescent="0.35">
      <c r="B11" s="38"/>
      <c r="C11" s="38"/>
      <c r="D11" s="39"/>
      <c r="E11" s="39"/>
      <c r="F11" s="40"/>
      <c r="G11" s="41"/>
      <c r="H11" s="41"/>
      <c r="I11" s="41"/>
      <c r="J11" s="41"/>
      <c r="K11" s="41"/>
      <c r="L11" s="28"/>
      <c r="M11" s="28"/>
      <c r="N11" s="28"/>
      <c r="O11" s="28"/>
      <c r="P11" s="28"/>
    </row>
    <row r="12" spans="2:16" x14ac:dyDescent="0.35">
      <c r="B12" s="28" t="s">
        <v>36</v>
      </c>
      <c r="C12" s="28" t="s">
        <v>9</v>
      </c>
      <c r="D12" s="29">
        <f>BS!C8-BS!D8</f>
        <v>-5229.6000000000022</v>
      </c>
      <c r="E12" s="29">
        <f>BS!D8-BS!E8</f>
        <v>-9815.1999999999971</v>
      </c>
      <c r="F12" s="28"/>
      <c r="G12" s="9">
        <f>BS!E8-BS!G8</f>
        <v>-4890.6705119757535</v>
      </c>
      <c r="H12" s="9">
        <f>BS!G8-BS!H8</f>
        <v>-5110.2670511975884</v>
      </c>
      <c r="I12" s="9">
        <f>BS!H8-BS!I8</f>
        <v>-5621.2937563173473</v>
      </c>
      <c r="J12" s="9">
        <f>BS!I8-BS!J8</f>
        <v>-6183.4231319490791</v>
      </c>
      <c r="K12" s="9">
        <f>BS!J8-BS!K8</f>
        <v>-6801.7654451439739</v>
      </c>
      <c r="L12" s="28"/>
      <c r="M12" s="28"/>
      <c r="N12" s="28"/>
      <c r="O12" s="28"/>
      <c r="P12" s="28"/>
    </row>
    <row r="13" spans="2:16" x14ac:dyDescent="0.35">
      <c r="B13" s="28" t="s">
        <v>62</v>
      </c>
      <c r="C13" s="28" t="s">
        <v>9</v>
      </c>
      <c r="D13" s="29">
        <f>BS!C9-BS!D9</f>
        <v>-5672.4000000000015</v>
      </c>
      <c r="E13" s="29">
        <f>BS!D9-BS!E9</f>
        <v>-5025.5999999999985</v>
      </c>
      <c r="F13" s="28"/>
      <c r="G13" s="9">
        <f>BS!E9-BS!G9</f>
        <v>-4358.1600000000035</v>
      </c>
      <c r="H13" s="9">
        <f>BS!G9-BS!H9</f>
        <v>-4793.9760000000024</v>
      </c>
      <c r="I13" s="9">
        <f>BS!H9-BS!I9</f>
        <v>-5273.3736000000135</v>
      </c>
      <c r="J13" s="9">
        <f>BS!I9-BS!J9</f>
        <v>-5800.7109600000113</v>
      </c>
      <c r="K13" s="9">
        <f>BS!J9-BS!K9</f>
        <v>-6380.7820560000182</v>
      </c>
      <c r="L13" s="28"/>
      <c r="M13" s="28"/>
      <c r="N13" s="28"/>
      <c r="O13" s="28"/>
      <c r="P13" s="28"/>
    </row>
    <row r="14" spans="2:16" x14ac:dyDescent="0.35">
      <c r="B14" s="28" t="s">
        <v>63</v>
      </c>
      <c r="C14" s="28" t="s">
        <v>9</v>
      </c>
      <c r="D14" s="29">
        <f>BS!D16-BS!C16</f>
        <v>10460.399999999998</v>
      </c>
      <c r="E14" s="29">
        <f>BS!E16-BS!D16</f>
        <v>9838</v>
      </c>
      <c r="F14" s="28"/>
      <c r="G14" s="9">
        <f>BS!G16-BS!E16</f>
        <v>3829.988088812388</v>
      </c>
      <c r="H14" s="9">
        <f>BS!H16-BS!G16</f>
        <v>4001.9588088812379</v>
      </c>
      <c r="I14" s="9">
        <f>BS!I16-BS!H16</f>
        <v>4402.1546897693697</v>
      </c>
      <c r="J14" s="9">
        <f>BS!J16-BS!I16</f>
        <v>4842.3701587463074</v>
      </c>
      <c r="K14" s="9">
        <f>BS!K16-BS!J16</f>
        <v>5326.6071746209345</v>
      </c>
      <c r="L14" s="28"/>
      <c r="M14" s="28"/>
      <c r="N14" s="28"/>
      <c r="O14" s="28"/>
      <c r="P14" s="28"/>
    </row>
    <row r="15" spans="2:16" x14ac:dyDescent="0.35">
      <c r="B15" s="34" t="s">
        <v>64</v>
      </c>
      <c r="C15" s="34"/>
      <c r="D15" s="35">
        <f>SUM(D12:D14)</f>
        <v>-441.60000000000582</v>
      </c>
      <c r="E15" s="35">
        <f>SUM(E12:E14)</f>
        <v>-5002.7999999999956</v>
      </c>
      <c r="F15" s="36"/>
      <c r="G15" s="35">
        <f>SUM(G12:G14)</f>
        <v>-5418.8424231633689</v>
      </c>
      <c r="H15" s="35">
        <f t="shared" ref="H15:K15" si="3">SUM(H12:H14)</f>
        <v>-5902.2842423163529</v>
      </c>
      <c r="I15" s="35">
        <f t="shared" si="3"/>
        <v>-6492.5126665479911</v>
      </c>
      <c r="J15" s="35">
        <f t="shared" si="3"/>
        <v>-7141.7639332027829</v>
      </c>
      <c r="K15" s="35">
        <f t="shared" si="3"/>
        <v>-7855.9403265230576</v>
      </c>
      <c r="L15" s="28"/>
      <c r="M15" s="28" t="s">
        <v>65</v>
      </c>
      <c r="N15" s="28"/>
      <c r="O15" s="28"/>
      <c r="P15" s="28"/>
    </row>
    <row r="16" spans="2:16" x14ac:dyDescent="0.35">
      <c r="B16" s="42" t="s">
        <v>66</v>
      </c>
      <c r="C16" s="43" t="s">
        <v>9</v>
      </c>
      <c r="D16" s="44">
        <f>(BS!C10-BS!D10)+(BS!D17-BS!C17)</f>
        <v>-2686.2826666666824</v>
      </c>
      <c r="E16" s="44">
        <f>(BS!D10-BS!E10)+(BS!E17-BS!D17)</f>
        <v>-3570.5095746029638</v>
      </c>
      <c r="F16" s="45"/>
      <c r="G16" s="41">
        <f>(BS!E10-BS!G10)+(BS!G17-BS!E17)</f>
        <v>2253.275574602957</v>
      </c>
      <c r="H16" s="41">
        <f>(BS!G10-BS!H10)+(BS!H17-BS!G17)</f>
        <v>-687.60780000000068</v>
      </c>
      <c r="I16" s="41">
        <f>(BS!H10-BS!I10)+(BS!I17-BS!H17)</f>
        <v>-756.36858000000029</v>
      </c>
      <c r="J16" s="41">
        <f>(BS!I10-BS!J10)+(BS!J17-BS!I17)</f>
        <v>-832.00543800000196</v>
      </c>
      <c r="K16" s="41">
        <f>(BS!J10-BS!K10)+(BS!K17-BS!J17)</f>
        <v>-915.20598179999979</v>
      </c>
      <c r="L16" s="28"/>
      <c r="M16" s="28" t="s">
        <v>67</v>
      </c>
      <c r="N16" s="28"/>
      <c r="O16" s="28"/>
      <c r="P16" s="28"/>
    </row>
    <row r="17" spans="2:16" x14ac:dyDescent="0.35">
      <c r="B17" s="42"/>
      <c r="C17" s="43"/>
      <c r="D17" s="45"/>
      <c r="E17" s="45"/>
      <c r="F17" s="45"/>
      <c r="G17" s="9"/>
      <c r="H17" s="9"/>
      <c r="I17" s="9"/>
      <c r="J17" s="9"/>
      <c r="K17" s="9"/>
      <c r="L17" s="28"/>
      <c r="M17" s="28"/>
      <c r="N17" s="28"/>
      <c r="O17" s="28"/>
      <c r="P17" s="28"/>
    </row>
    <row r="18" spans="2:16" x14ac:dyDescent="0.35">
      <c r="B18" s="42" t="s">
        <v>68</v>
      </c>
      <c r="C18" s="43" t="s">
        <v>9</v>
      </c>
      <c r="D18" s="44">
        <f>-(BS!D5-BS!C5)+'P &amp; L'!D14</f>
        <v>-8615.7999999999993</v>
      </c>
      <c r="E18" s="44">
        <f>-(BS!E5-BS!D5)+'P &amp; L'!E14</f>
        <v>-13467.459999999995</v>
      </c>
      <c r="F18" s="28"/>
      <c r="G18" s="41">
        <f>-(BS!G5-BS!E5)+'P &amp; L'!G14</f>
        <v>-8372.8707693811848</v>
      </c>
      <c r="H18" s="41">
        <f>-(BS!H5-BS!G5)+'P &amp; L'!H14</f>
        <v>-11032.259076938124</v>
      </c>
      <c r="I18" s="41">
        <f>-(BS!I5-BS!H5)+'P &amp; L'!I14</f>
        <v>-12135.484984631947</v>
      </c>
      <c r="J18" s="41">
        <f>-(BS!J5-BS!I5)+'P &amp; L'!J14</f>
        <v>-13349.033483095143</v>
      </c>
      <c r="K18" s="41">
        <f>-(BS!K5-BS!J5)+'P &amp; L'!K14</f>
        <v>-14683.936831404637</v>
      </c>
      <c r="L18" s="28"/>
      <c r="M18" s="28" t="s">
        <v>69</v>
      </c>
      <c r="N18" s="28"/>
      <c r="O18" s="28"/>
      <c r="P18" s="28"/>
    </row>
    <row r="19" spans="2:16" x14ac:dyDescent="0.35">
      <c r="B19" s="42" t="s">
        <v>70</v>
      </c>
      <c r="C19" s="43" t="s">
        <v>9</v>
      </c>
      <c r="D19" s="44">
        <f>(BS!C4-BS!D4)+(BS!C6-BS!D6)</f>
        <v>-885.39999999999964</v>
      </c>
      <c r="E19" s="44">
        <f>(BS!D4-BS!E4)+(BS!D6-BS!E6)</f>
        <v>-302</v>
      </c>
      <c r="F19" s="28"/>
      <c r="G19" s="41">
        <f>(BS!E4-BS!G4)+(BS!E6-BS!G6)</f>
        <v>0</v>
      </c>
      <c r="H19" s="41">
        <f>(BS!G4-BS!H4)+(BS!G6-BS!H6)</f>
        <v>0</v>
      </c>
      <c r="I19" s="41">
        <f>(BS!H4-BS!I4)+(BS!H6-BS!I6)</f>
        <v>0</v>
      </c>
      <c r="J19" s="41">
        <f>(BS!I4-BS!J4)+(BS!I6-BS!J6)</f>
        <v>0</v>
      </c>
      <c r="K19" s="41">
        <f>(BS!J4-BS!K4)+(BS!J6-BS!K6)</f>
        <v>0</v>
      </c>
      <c r="L19" s="28"/>
      <c r="M19" s="28" t="s">
        <v>71</v>
      </c>
      <c r="N19" s="28"/>
      <c r="O19" s="28"/>
      <c r="P19" s="28"/>
    </row>
    <row r="20" spans="2:16" x14ac:dyDescent="0.35">
      <c r="B20" s="28"/>
      <c r="C20" s="28"/>
      <c r="D20" s="28"/>
      <c r="E20" s="28"/>
      <c r="F20" s="28"/>
      <c r="G20" s="41"/>
      <c r="H20" s="41"/>
      <c r="I20" s="41"/>
      <c r="J20" s="41"/>
      <c r="K20" s="41"/>
      <c r="L20" s="28"/>
      <c r="M20" s="28"/>
      <c r="N20" s="28"/>
      <c r="O20" s="28"/>
      <c r="P20" s="28"/>
    </row>
    <row r="21" spans="2:16" x14ac:dyDescent="0.35">
      <c r="B21" s="42" t="s">
        <v>31</v>
      </c>
      <c r="C21" s="43" t="s">
        <v>8</v>
      </c>
      <c r="D21" s="44">
        <f>'P &amp; L'!D18</f>
        <v>-864.30000000000007</v>
      </c>
      <c r="E21" s="44">
        <f>'P &amp; L'!E18</f>
        <v>-320.26</v>
      </c>
      <c r="F21" s="28"/>
      <c r="G21" s="41">
        <f>'P &amp; L'!G18</f>
        <v>0</v>
      </c>
      <c r="H21" s="41">
        <f>'P &amp; L'!H18</f>
        <v>0</v>
      </c>
      <c r="I21" s="41">
        <f>'P &amp; L'!I18</f>
        <v>0</v>
      </c>
      <c r="J21" s="41">
        <f>'P &amp; L'!J18</f>
        <v>0</v>
      </c>
      <c r="K21" s="41">
        <f>'P &amp; L'!K18</f>
        <v>0</v>
      </c>
      <c r="L21" s="28"/>
      <c r="M21" s="28" t="s">
        <v>72</v>
      </c>
      <c r="N21" s="28"/>
      <c r="O21" s="28"/>
      <c r="P21" s="28"/>
    </row>
    <row r="22" spans="2:16" x14ac:dyDescent="0.35">
      <c r="B22" s="28"/>
      <c r="C22" s="28"/>
      <c r="D22" s="28"/>
      <c r="E22" s="28"/>
      <c r="F22" s="28"/>
      <c r="G22" s="46"/>
      <c r="H22" s="46"/>
      <c r="I22" s="46"/>
      <c r="J22" s="46"/>
      <c r="K22" s="46"/>
      <c r="L22" s="28"/>
      <c r="M22" s="28"/>
      <c r="N22" s="28"/>
      <c r="O22" s="28"/>
      <c r="P22" s="28"/>
    </row>
    <row r="23" spans="2:16" x14ac:dyDescent="0.35">
      <c r="B23" s="47" t="s">
        <v>73</v>
      </c>
      <c r="C23" s="47"/>
      <c r="D23" s="48">
        <f>D10+D15+D16+D18+D19+D21</f>
        <v>3980.52561285912</v>
      </c>
      <c r="E23" s="48">
        <f>E10+E15+E16+E18+E19+E21</f>
        <v>2517.8756635668306</v>
      </c>
      <c r="F23" s="47"/>
      <c r="G23" s="48">
        <f>G10+G15+G16+G18+G19+G21</f>
        <v>17718.850222058412</v>
      </c>
      <c r="H23" s="48">
        <f t="shared" ref="H23:K23" si="4">H10+H15+H16+H18+H19+H21</f>
        <v>14348.895504745509</v>
      </c>
      <c r="I23" s="48">
        <f t="shared" si="4"/>
        <v>15571.815055220062</v>
      </c>
      <c r="J23" s="48">
        <f t="shared" si="4"/>
        <v>16917.02656074207</v>
      </c>
      <c r="K23" s="48">
        <f t="shared" si="4"/>
        <v>18396.759216816317</v>
      </c>
      <c r="L23" s="28"/>
      <c r="M23" s="28" t="s">
        <v>74</v>
      </c>
      <c r="N23" s="28"/>
      <c r="O23" s="28"/>
      <c r="P23" s="28"/>
    </row>
    <row r="24" spans="2:16" x14ac:dyDescent="0.35">
      <c r="B24" s="28"/>
      <c r="C24" s="28"/>
      <c r="D24" s="28"/>
      <c r="E24" s="28"/>
      <c r="F24" s="28"/>
      <c r="G24" s="46"/>
      <c r="H24" s="46"/>
      <c r="I24" s="46"/>
      <c r="J24" s="46"/>
      <c r="K24" s="46"/>
      <c r="L24" s="28"/>
      <c r="M24" s="28"/>
      <c r="N24" s="28"/>
      <c r="O24" s="28"/>
      <c r="P24" s="28"/>
    </row>
    <row r="25" spans="2:16" x14ac:dyDescent="0.35">
      <c r="B25" s="28" t="s">
        <v>30</v>
      </c>
      <c r="C25" s="28" t="s">
        <v>8</v>
      </c>
      <c r="D25" s="29">
        <f>'P &amp; L'!D17</f>
        <v>-2190.9</v>
      </c>
      <c r="E25" s="29">
        <f>'P &amp; L'!E17</f>
        <v>-2663.92</v>
      </c>
      <c r="F25" s="28"/>
      <c r="G25" s="41">
        <f>'P &amp; L'!G17</f>
        <v>-2663.92</v>
      </c>
      <c r="H25" s="41">
        <f>'P &amp; L'!H17</f>
        <v>-2663.92</v>
      </c>
      <c r="I25" s="41">
        <f>'P &amp; L'!I17</f>
        <v>-2663.92</v>
      </c>
      <c r="J25" s="41">
        <f>'P &amp; L'!J17</f>
        <v>-2663.92</v>
      </c>
      <c r="K25" s="41">
        <f>'P &amp; L'!K17</f>
        <v>-2663.92</v>
      </c>
      <c r="L25" s="28"/>
      <c r="M25" s="28" t="s">
        <v>75</v>
      </c>
      <c r="N25" s="28"/>
      <c r="O25" s="28"/>
      <c r="P25" s="28"/>
    </row>
    <row r="26" spans="2:16" x14ac:dyDescent="0.35">
      <c r="B26" s="28" t="s">
        <v>76</v>
      </c>
      <c r="C26" s="28" t="s">
        <v>8</v>
      </c>
      <c r="D26" s="29">
        <f>-(D5-'P &amp; L'!D21)</f>
        <v>689.83572047420967</v>
      </c>
      <c r="E26" s="29">
        <f>-(E5-'P &amp; L'!E21)</f>
        <v>565.08833643320759</v>
      </c>
      <c r="F26" s="28"/>
      <c r="G26" s="41">
        <f>-(G5-'P &amp; L'!G21)</f>
        <v>479.50560000000041</v>
      </c>
      <c r="H26" s="41">
        <f>-(H5-'P &amp; L'!H21)</f>
        <v>479.5055999999995</v>
      </c>
      <c r="I26" s="41">
        <f>-(I5-'P &amp; L'!I21)</f>
        <v>479.5055999999995</v>
      </c>
      <c r="J26" s="41">
        <f>-(J5-'P &amp; L'!J21)</f>
        <v>479.50560000000041</v>
      </c>
      <c r="K26" s="41">
        <f>-(K5-'P &amp; L'!K21)</f>
        <v>479.5055999999995</v>
      </c>
      <c r="L26" s="28"/>
      <c r="M26" s="28" t="s">
        <v>77</v>
      </c>
      <c r="N26" s="28"/>
      <c r="O26" s="28"/>
      <c r="P26" s="28"/>
    </row>
    <row r="27" spans="2:16" x14ac:dyDescent="0.35">
      <c r="B27" s="28" t="s">
        <v>78</v>
      </c>
      <c r="C27" s="28" t="s">
        <v>9</v>
      </c>
      <c r="D27" s="29">
        <f>BS!D19-BS!C19</f>
        <v>9352.3999999999942</v>
      </c>
      <c r="E27" s="29">
        <f>BS!E19-BS!D19</f>
        <v>475.39999999999418</v>
      </c>
      <c r="F27" s="28"/>
      <c r="G27" s="41">
        <f>BS!G19-BS!E19</f>
        <v>0</v>
      </c>
      <c r="H27" s="41">
        <f>BS!H19-BS!G19</f>
        <v>0</v>
      </c>
      <c r="I27" s="41">
        <f>BS!I19-BS!H19</f>
        <v>0</v>
      </c>
      <c r="J27" s="41">
        <f>BS!J19-BS!I19</f>
        <v>0</v>
      </c>
      <c r="K27" s="41">
        <f>BS!K19-BS!J19</f>
        <v>0</v>
      </c>
      <c r="L27" s="28"/>
      <c r="M27" s="28" t="s">
        <v>79</v>
      </c>
      <c r="N27" s="28"/>
      <c r="O27" s="28"/>
      <c r="P27" s="28"/>
    </row>
    <row r="28" spans="2:16" x14ac:dyDescent="0.35">
      <c r="B28" s="28" t="s">
        <v>80</v>
      </c>
      <c r="C28" s="28" t="s">
        <v>81</v>
      </c>
      <c r="D28" s="29">
        <f>BS!D21-BS!C21-'P &amp; L'!D24</f>
        <v>-4214.2613333332665</v>
      </c>
      <c r="E28" s="29">
        <f>BS!E21-BS!D21-'P &amp; L'!E24</f>
        <v>-12129.644000000022</v>
      </c>
      <c r="F28" s="28"/>
      <c r="G28" s="41">
        <f>BS!G21-BS!E21-'P &amp; L'!G24</f>
        <v>0</v>
      </c>
      <c r="H28" s="41">
        <f>BS!H21-BS!G21-'P &amp; L'!H24</f>
        <v>0</v>
      </c>
      <c r="I28" s="41">
        <f>BS!I21-BS!H21-'P &amp; L'!I24</f>
        <v>0</v>
      </c>
      <c r="J28" s="41">
        <f>BS!J21-BS!I21-'P &amp; L'!J24</f>
        <v>0</v>
      </c>
      <c r="K28" s="41">
        <f>BS!K21-BS!J21-'P &amp; L'!K24</f>
        <v>0</v>
      </c>
      <c r="L28" s="28"/>
      <c r="M28" s="28" t="s">
        <v>82</v>
      </c>
      <c r="N28" s="28"/>
      <c r="O28" s="28"/>
      <c r="P28" s="28"/>
    </row>
    <row r="29" spans="2:16" x14ac:dyDescent="0.35">
      <c r="B29" s="28"/>
      <c r="C29" s="28"/>
      <c r="D29" s="28"/>
      <c r="E29" s="28"/>
      <c r="F29" s="28"/>
      <c r="G29" s="41"/>
      <c r="H29" s="41"/>
      <c r="I29" s="41"/>
      <c r="J29" s="41"/>
      <c r="K29" s="41"/>
      <c r="L29" s="28"/>
      <c r="M29" s="28"/>
      <c r="N29" s="28"/>
      <c r="O29" s="28"/>
      <c r="P29" s="28"/>
    </row>
    <row r="30" spans="2:16" x14ac:dyDescent="0.35">
      <c r="B30" s="47" t="s">
        <v>83</v>
      </c>
      <c r="C30" s="47"/>
      <c r="D30" s="48">
        <f>D23+D25+D26+D27+D28</f>
        <v>7617.6000000000568</v>
      </c>
      <c r="E30" s="48">
        <f>E23+E25+E26+E27+E28</f>
        <v>-11235.19999999999</v>
      </c>
      <c r="F30" s="47"/>
      <c r="G30" s="48">
        <f>G23+G25+G26+G27+G28</f>
        <v>15534.435822058413</v>
      </c>
      <c r="H30" s="48">
        <f t="shared" ref="H30:K30" si="5">H23+H25+H26+H27+H28</f>
        <v>12164.481104745508</v>
      </c>
      <c r="I30" s="48">
        <f t="shared" si="5"/>
        <v>13387.400655220063</v>
      </c>
      <c r="J30" s="48">
        <f t="shared" si="5"/>
        <v>14732.61216074207</v>
      </c>
      <c r="K30" s="48">
        <f t="shared" si="5"/>
        <v>16212.344816816316</v>
      </c>
      <c r="L30" s="28"/>
      <c r="M30" s="28" t="s">
        <v>84</v>
      </c>
      <c r="N30" s="28"/>
      <c r="O30" s="28"/>
      <c r="P30" s="28"/>
    </row>
    <row r="31" spans="2:16" x14ac:dyDescent="0.3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 x14ac:dyDescent="0.35">
      <c r="B32" s="49" t="s">
        <v>85</v>
      </c>
      <c r="C32" s="49"/>
      <c r="D32" s="50">
        <f>BS!C12</f>
        <v>11791.199999999999</v>
      </c>
      <c r="E32" s="50">
        <f>D33</f>
        <v>19408.800000000054</v>
      </c>
      <c r="F32" s="50"/>
      <c r="G32" s="50">
        <f>E33</f>
        <v>8173.600000000064</v>
      </c>
      <c r="H32" s="50">
        <f>G33</f>
        <v>23708.035822058475</v>
      </c>
      <c r="I32" s="50">
        <f t="shared" ref="I32:K32" si="6">H33</f>
        <v>35872.516926803983</v>
      </c>
      <c r="J32" s="50">
        <f t="shared" si="6"/>
        <v>49259.917582024049</v>
      </c>
      <c r="K32" s="50">
        <f t="shared" si="6"/>
        <v>63992.529742766121</v>
      </c>
      <c r="L32" s="28"/>
      <c r="M32" s="28"/>
      <c r="N32" s="28"/>
      <c r="O32" s="28"/>
      <c r="P32" s="28"/>
    </row>
    <row r="33" spans="2:16" x14ac:dyDescent="0.35">
      <c r="B33" s="49" t="s">
        <v>86</v>
      </c>
      <c r="C33" s="49"/>
      <c r="D33" s="50">
        <f>D32+D30</f>
        <v>19408.800000000054</v>
      </c>
      <c r="E33" s="50">
        <f>E32+E30</f>
        <v>8173.600000000064</v>
      </c>
      <c r="F33" s="50"/>
      <c r="G33" s="50">
        <f>G32+G30</f>
        <v>23708.035822058475</v>
      </c>
      <c r="H33" s="50">
        <f t="shared" ref="H33:K33" si="7">H32+H30</f>
        <v>35872.516926803983</v>
      </c>
      <c r="I33" s="50">
        <f t="shared" si="7"/>
        <v>49259.917582024049</v>
      </c>
      <c r="J33" s="50">
        <f t="shared" si="7"/>
        <v>63992.529742766121</v>
      </c>
      <c r="K33" s="50">
        <f t="shared" si="7"/>
        <v>80204.874559582444</v>
      </c>
      <c r="L33" s="28"/>
      <c r="M33" s="28"/>
      <c r="N33" s="28"/>
      <c r="O33" s="28"/>
      <c r="P33" s="28"/>
    </row>
    <row r="34" spans="2:16" x14ac:dyDescent="0.3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2:16" x14ac:dyDescent="0.35">
      <c r="B35" s="51" t="s">
        <v>53</v>
      </c>
      <c r="C35" s="51"/>
      <c r="D35" s="52"/>
      <c r="E35" s="51"/>
      <c r="F35" s="51"/>
      <c r="G35" s="52"/>
      <c r="H35" s="52"/>
      <c r="I35" s="52"/>
      <c r="J35" s="52"/>
      <c r="K35" s="52"/>
      <c r="L35" s="28"/>
      <c r="M35" s="28"/>
      <c r="N35" s="28"/>
      <c r="O35" s="28"/>
      <c r="P35" s="28"/>
    </row>
    <row r="36" spans="2:16" x14ac:dyDescent="0.35">
      <c r="B36" s="51"/>
      <c r="C36" s="51"/>
      <c r="D36" s="53"/>
      <c r="E36" s="53"/>
      <c r="F36" s="51"/>
      <c r="G36" s="51"/>
      <c r="H36" s="51"/>
      <c r="I36" s="51"/>
      <c r="J36" s="51"/>
      <c r="K36" s="51"/>
      <c r="L36" s="28"/>
      <c r="M36" s="28"/>
      <c r="N36" s="28"/>
      <c r="O36" s="28"/>
      <c r="P3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5706-205F-48AA-A950-86007A6F8C4A}">
  <dimension ref="B1:U25"/>
  <sheetViews>
    <sheetView showGridLines="0" topLeftCell="A13" workbookViewId="0">
      <selection activeCell="F33" sqref="F33"/>
    </sheetView>
  </sheetViews>
  <sheetFormatPr defaultRowHeight="14.5" x14ac:dyDescent="0.35"/>
  <cols>
    <col min="1" max="1" width="3" customWidth="1"/>
    <col min="2" max="2" width="18.81640625" bestFit="1" customWidth="1"/>
    <col min="6" max="6" width="9.6328125" bestFit="1" customWidth="1"/>
    <col min="7" max="7" width="14.54296875" bestFit="1" customWidth="1"/>
    <col min="8" max="10" width="9.36328125" bestFit="1" customWidth="1"/>
    <col min="12" max="12" width="2.453125" customWidth="1"/>
  </cols>
  <sheetData>
    <row r="1" spans="2:21" ht="15.5" x14ac:dyDescent="0.3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x14ac:dyDescent="0.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ht="15" thickBot="1" x14ac:dyDescent="0.4">
      <c r="B4" s="3" t="s">
        <v>87</v>
      </c>
      <c r="C4" s="114">
        <f>Index!R18</f>
        <v>0.11475675747052065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35">
      <c r="B5" s="3" t="s">
        <v>88</v>
      </c>
      <c r="C5" s="113">
        <f>Index!R10</f>
        <v>3.5000000000000003E-2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35">
      <c r="B6" s="3"/>
      <c r="C6" s="3"/>
      <c r="D6" s="3"/>
      <c r="E6" s="3"/>
      <c r="F6" s="3"/>
      <c r="G6" s="3">
        <v>1</v>
      </c>
      <c r="H6" s="3">
        <v>2</v>
      </c>
      <c r="I6" s="3">
        <v>3</v>
      </c>
      <c r="J6" s="3">
        <v>4</v>
      </c>
      <c r="K6" s="3">
        <v>5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24.5" thickBot="1" x14ac:dyDescent="0.4">
      <c r="B7" s="4" t="s">
        <v>130</v>
      </c>
      <c r="C7" s="5" t="s">
        <v>160</v>
      </c>
      <c r="D7" s="5" t="s">
        <v>161</v>
      </c>
      <c r="E7" s="5" t="s">
        <v>162</v>
      </c>
      <c r="F7" s="6"/>
      <c r="G7" s="7" t="s">
        <v>163</v>
      </c>
      <c r="H7" s="7" t="s">
        <v>164</v>
      </c>
      <c r="I7" s="7" t="s">
        <v>165</v>
      </c>
      <c r="J7" s="7" t="s">
        <v>166</v>
      </c>
      <c r="K7" s="7" t="s">
        <v>167</v>
      </c>
      <c r="L7" s="3"/>
      <c r="M7" s="23" t="s">
        <v>45</v>
      </c>
      <c r="N7" s="3"/>
      <c r="O7" s="3"/>
      <c r="P7" s="3"/>
      <c r="Q7" s="3"/>
      <c r="R7" s="3"/>
      <c r="S7" s="3"/>
      <c r="T7" s="3"/>
      <c r="U7" s="3"/>
    </row>
    <row r="8" spans="2:21" x14ac:dyDescent="0.35">
      <c r="B8" s="3" t="s">
        <v>73</v>
      </c>
      <c r="C8" s="13"/>
      <c r="D8" s="54"/>
      <c r="E8" s="54"/>
      <c r="F8" s="3"/>
      <c r="G8" s="9">
        <f>'Cash Flow'!G23</f>
        <v>17718.850222058412</v>
      </c>
      <c r="H8" s="9">
        <f>'Cash Flow'!H23</f>
        <v>14348.895504745509</v>
      </c>
      <c r="I8" s="9">
        <f>'Cash Flow'!I23</f>
        <v>15571.815055220062</v>
      </c>
      <c r="J8" s="9">
        <f>'Cash Flow'!J23</f>
        <v>16917.02656074207</v>
      </c>
      <c r="K8" s="9">
        <f>'Cash Flow'!K23</f>
        <v>18396.759216816317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35">
      <c r="B9" s="3"/>
      <c r="C9" s="13"/>
      <c r="D9" s="13"/>
      <c r="E9" s="13"/>
      <c r="F9" s="3"/>
      <c r="G9" s="9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35">
      <c r="B10" s="3" t="s">
        <v>89</v>
      </c>
      <c r="C10" s="13"/>
      <c r="D10" s="13"/>
      <c r="E10" s="13"/>
      <c r="F10" s="3"/>
      <c r="G10" s="55"/>
      <c r="H10" s="55"/>
      <c r="I10" s="55"/>
      <c r="J10" s="55"/>
      <c r="K10" s="55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35">
      <c r="B11" s="34" t="s">
        <v>90</v>
      </c>
      <c r="C11" s="56"/>
      <c r="D11" s="56"/>
      <c r="E11" s="56"/>
      <c r="F11" s="35"/>
      <c r="G11" s="37">
        <f>-PV($C$4,G6,,G8)</f>
        <v>15894.81301935681</v>
      </c>
      <c r="H11" s="37">
        <f t="shared" ref="H11:K11" si="0">-PV($C$4,H6,,H8)</f>
        <v>11546.709656730711</v>
      </c>
      <c r="I11" s="37">
        <f t="shared" si="0"/>
        <v>11240.843361268153</v>
      </c>
      <c r="J11" s="37">
        <f t="shared" si="0"/>
        <v>10954.777889572015</v>
      </c>
      <c r="K11" s="37">
        <f t="shared" si="0"/>
        <v>10686.629575219433</v>
      </c>
      <c r="L11" s="3"/>
      <c r="M11" s="3" t="s">
        <v>91</v>
      </c>
      <c r="N11" s="3"/>
      <c r="O11" s="3"/>
      <c r="P11" s="3"/>
      <c r="Q11" s="3"/>
      <c r="R11" s="3"/>
      <c r="S11" s="3"/>
      <c r="T11" s="3"/>
      <c r="U11" s="3"/>
    </row>
    <row r="12" spans="2:21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35">
      <c r="B14" s="106" t="s">
        <v>0</v>
      </c>
      <c r="C14" s="106"/>
      <c r="D14" s="106"/>
      <c r="E14" s="106"/>
      <c r="F14" s="106"/>
      <c r="G14" s="106"/>
      <c r="H14" s="106"/>
      <c r="I14" s="106"/>
      <c r="J14" s="106"/>
      <c r="K14" s="106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35">
      <c r="B15" s="3" t="s">
        <v>92</v>
      </c>
      <c r="C15" s="8">
        <f>SUM(G11:K11)</f>
        <v>60323.773502147124</v>
      </c>
      <c r="D15" s="3"/>
      <c r="E15" s="57">
        <f>C15/C18</f>
        <v>0.3031288975265764</v>
      </c>
      <c r="F15" s="58" t="s">
        <v>199</v>
      </c>
      <c r="G15" s="32" t="s">
        <v>93</v>
      </c>
      <c r="H15" s="3"/>
      <c r="I15" s="3"/>
      <c r="J15" s="3"/>
      <c r="K15" s="3"/>
      <c r="L15" s="3"/>
      <c r="M15" s="3" t="s">
        <v>94</v>
      </c>
      <c r="N15" s="3"/>
      <c r="O15" s="3"/>
      <c r="P15" s="3"/>
      <c r="Q15" s="3"/>
      <c r="R15" s="3"/>
      <c r="S15" s="3"/>
      <c r="T15" s="3"/>
      <c r="U15" s="3"/>
    </row>
    <row r="16" spans="2:21" x14ac:dyDescent="0.35">
      <c r="B16" s="3" t="s">
        <v>95</v>
      </c>
      <c r="C16" s="8">
        <f>((K8*(1+C5))/(C4-C5))</f>
        <v>238733.95049244084</v>
      </c>
      <c r="D16" s="3"/>
      <c r="E16" s="10"/>
      <c r="F16" s="5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35">
      <c r="B17" s="3" t="s">
        <v>96</v>
      </c>
      <c r="C17" s="8">
        <f>-PV(C4,5,,C16)</f>
        <v>138679.93084398279</v>
      </c>
      <c r="D17" s="3"/>
      <c r="E17" s="57">
        <f>C17/C18</f>
        <v>0.69687110247342365</v>
      </c>
      <c r="F17" s="58" t="s">
        <v>200</v>
      </c>
      <c r="G17" s="32" t="s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35">
      <c r="B18" s="34" t="s">
        <v>97</v>
      </c>
      <c r="C18" s="35">
        <f>C15+C17</f>
        <v>199003.7043461299</v>
      </c>
      <c r="D18" s="34"/>
      <c r="E18" s="115">
        <f>E15+E17</f>
        <v>1</v>
      </c>
      <c r="F18" s="3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35">
      <c r="B19" s="59" t="s">
        <v>98</v>
      </c>
      <c r="C19" s="8">
        <f>BS!E19</f>
        <v>51120.799999999996</v>
      </c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35">
      <c r="B20" s="60" t="s">
        <v>99</v>
      </c>
      <c r="C20" s="8">
        <f>BS!E12</f>
        <v>8173.6</v>
      </c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35">
      <c r="B21" s="34" t="s">
        <v>100</v>
      </c>
      <c r="C21" s="35">
        <f>C18-C19+C20</f>
        <v>156056.50434612992</v>
      </c>
      <c r="D21" s="34"/>
      <c r="E21" s="39"/>
      <c r="F21" s="116">
        <f>C18</f>
        <v>199003.7043461299</v>
      </c>
      <c r="G21" s="117">
        <v>0.1</v>
      </c>
      <c r="H21" s="117">
        <v>0.11</v>
      </c>
      <c r="I21" s="117">
        <v>0.12</v>
      </c>
      <c r="J21" s="117">
        <v>0.13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35">
      <c r="F22" s="118">
        <v>0.03</v>
      </c>
      <c r="G22" s="119">
        <f t="dataTable" ref="G22:J25" dt2D="1" dtr="1" r1="C4" r2="C5"/>
        <v>230723.87287910975</v>
      </c>
      <c r="H22" s="120">
        <v>201619.99895754579</v>
      </c>
      <c r="I22" s="120">
        <v>178999.2965138483</v>
      </c>
      <c r="J22" s="120">
        <v>160916.0360713664</v>
      </c>
    </row>
    <row r="23" spans="2:21" x14ac:dyDescent="0.35">
      <c r="F23" s="118">
        <v>0.04</v>
      </c>
      <c r="G23" s="119">
        <v>260641.09687957866</v>
      </c>
      <c r="H23" s="120">
        <v>223260.20452898223</v>
      </c>
      <c r="I23" s="120">
        <v>195237.45355044203</v>
      </c>
      <c r="J23" s="120">
        <v>173452.78824501269</v>
      </c>
    </row>
    <row r="24" spans="2:21" x14ac:dyDescent="0.35">
      <c r="F24" s="118">
        <v>0.05</v>
      </c>
      <c r="G24" s="119">
        <v>302525.21048023505</v>
      </c>
      <c r="H24" s="120">
        <v>252113.81195756426</v>
      </c>
      <c r="I24" s="120">
        <v>216115.08402606254</v>
      </c>
      <c r="J24" s="120">
        <v>189123.72846207052</v>
      </c>
    </row>
    <row r="25" spans="2:21" x14ac:dyDescent="0.35">
      <c r="F25" s="118">
        <v>0.06</v>
      </c>
      <c r="G25" s="119">
        <v>365351.38088121969</v>
      </c>
      <c r="H25" s="120">
        <v>292508.86235757894</v>
      </c>
      <c r="I25" s="120">
        <v>243951.92466022319</v>
      </c>
      <c r="J25" s="120">
        <v>209272.08016971627</v>
      </c>
    </row>
  </sheetData>
  <mergeCells count="1">
    <mergeCell ref="B14:K1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5942-2A82-4C20-A2D6-FFAEDE5EE581}">
  <dimension ref="A2:M50"/>
  <sheetViews>
    <sheetView tabSelected="1" topLeftCell="A31" zoomScale="73" workbookViewId="0">
      <selection activeCell="D51" sqref="D51"/>
    </sheetView>
  </sheetViews>
  <sheetFormatPr defaultRowHeight="14.5" x14ac:dyDescent="0.35"/>
  <cols>
    <col min="1" max="1" width="35.1796875" bestFit="1" customWidth="1"/>
    <col min="2" max="2" width="11.453125" bestFit="1" customWidth="1"/>
    <col min="4" max="4" width="12.54296875" customWidth="1"/>
    <col min="5" max="5" width="15.81640625" customWidth="1"/>
    <col min="6" max="6" width="26.7265625" customWidth="1"/>
    <col min="8" max="8" width="14" customWidth="1"/>
    <col min="9" max="9" width="13.81640625" customWidth="1"/>
    <col min="10" max="10" width="14.26953125" customWidth="1"/>
  </cols>
  <sheetData>
    <row r="2" spans="1:11" x14ac:dyDescent="0.35">
      <c r="A2" s="71" t="s">
        <v>131</v>
      </c>
      <c r="B2" s="72"/>
      <c r="C2" s="72"/>
      <c r="D2" s="72"/>
      <c r="E2" s="72"/>
      <c r="F2" s="72"/>
      <c r="G2" s="72"/>
      <c r="H2" s="72"/>
      <c r="I2" s="72"/>
      <c r="J2" s="72"/>
    </row>
    <row r="4" spans="1:11" x14ac:dyDescent="0.35">
      <c r="H4" s="109" t="s">
        <v>132</v>
      </c>
      <c r="I4" s="110"/>
      <c r="J4" s="110"/>
    </row>
    <row r="5" spans="1:11" x14ac:dyDescent="0.35">
      <c r="D5" s="107" t="s">
        <v>133</v>
      </c>
      <c r="E5" s="108"/>
      <c r="F5" s="108"/>
      <c r="H5" s="107"/>
      <c r="I5" s="108"/>
      <c r="J5" s="108"/>
    </row>
    <row r="6" spans="1:11" x14ac:dyDescent="0.35">
      <c r="A6" s="73"/>
      <c r="B6" s="73" t="s">
        <v>168</v>
      </c>
      <c r="C6" s="73"/>
      <c r="D6" s="73"/>
      <c r="E6" s="73" t="s">
        <v>135</v>
      </c>
      <c r="F6" s="73" t="s">
        <v>136</v>
      </c>
      <c r="H6" s="73"/>
      <c r="I6" s="73" t="s">
        <v>135</v>
      </c>
      <c r="J6" s="73" t="s">
        <v>136</v>
      </c>
    </row>
    <row r="7" spans="1:11" x14ac:dyDescent="0.35">
      <c r="A7" s="73"/>
      <c r="B7" s="74" t="s">
        <v>137</v>
      </c>
      <c r="C7" s="74"/>
      <c r="D7" s="74" t="s">
        <v>138</v>
      </c>
      <c r="E7" s="74" t="s">
        <v>139</v>
      </c>
      <c r="F7" s="74" t="s">
        <v>140</v>
      </c>
      <c r="H7" s="74" t="s">
        <v>138</v>
      </c>
      <c r="I7" s="74" t="s">
        <v>139</v>
      </c>
      <c r="J7" s="74" t="s">
        <v>140</v>
      </c>
    </row>
    <row r="8" spans="1:11" x14ac:dyDescent="0.35">
      <c r="A8" s="75" t="s">
        <v>141</v>
      </c>
    </row>
    <row r="9" spans="1:11" x14ac:dyDescent="0.35">
      <c r="A9" t="s">
        <v>142</v>
      </c>
      <c r="B9" s="89">
        <v>140000</v>
      </c>
      <c r="C9" s="92"/>
      <c r="D9" s="89">
        <v>230000</v>
      </c>
      <c r="E9" s="89">
        <v>22500</v>
      </c>
      <c r="F9" s="89">
        <v>17800</v>
      </c>
      <c r="H9" s="90">
        <f>B9/D9</f>
        <v>0.60869565217391308</v>
      </c>
      <c r="I9" s="90">
        <f>B9/E9</f>
        <v>6.2222222222222223</v>
      </c>
      <c r="J9" s="90">
        <f>B9/F9</f>
        <v>7.8651685393258424</v>
      </c>
    </row>
    <row r="10" spans="1:11" x14ac:dyDescent="0.35">
      <c r="A10" t="s">
        <v>143</v>
      </c>
      <c r="B10" s="89">
        <v>145000</v>
      </c>
      <c r="C10" s="92"/>
      <c r="D10" s="89">
        <v>240000</v>
      </c>
      <c r="E10" s="89">
        <v>23000</v>
      </c>
      <c r="F10" s="89">
        <v>18000</v>
      </c>
      <c r="H10" s="90">
        <f t="shared" ref="H10:H11" si="0">B10/D10</f>
        <v>0.60416666666666663</v>
      </c>
      <c r="I10" s="90">
        <f t="shared" ref="I10:I11" si="1">B10/E10</f>
        <v>6.3043478260869561</v>
      </c>
      <c r="J10" s="90">
        <f t="shared" ref="J10:J11" si="2">B10/F10</f>
        <v>8.0555555555555554</v>
      </c>
    </row>
    <row r="11" spans="1:11" x14ac:dyDescent="0.35">
      <c r="A11" t="s">
        <v>144</v>
      </c>
      <c r="B11" s="89">
        <v>150000</v>
      </c>
      <c r="C11" s="92"/>
      <c r="D11" s="89">
        <v>235000</v>
      </c>
      <c r="E11" s="89">
        <v>22750</v>
      </c>
      <c r="F11" s="89">
        <v>17900</v>
      </c>
      <c r="H11" s="90">
        <f t="shared" si="0"/>
        <v>0.63829787234042556</v>
      </c>
      <c r="I11" s="90">
        <f t="shared" si="1"/>
        <v>6.5934065934065931</v>
      </c>
      <c r="J11" s="90">
        <f t="shared" si="2"/>
        <v>8.3798882681564244</v>
      </c>
    </row>
    <row r="12" spans="1:11" x14ac:dyDescent="0.35">
      <c r="A12" s="77" t="s">
        <v>145</v>
      </c>
      <c r="B12" s="89">
        <f>MEDIAN(B9:B11)</f>
        <v>145000</v>
      </c>
      <c r="C12" s="92"/>
      <c r="D12" s="89">
        <f>MEDIAN(D9:D11)</f>
        <v>235000</v>
      </c>
      <c r="E12" s="89">
        <f>MEDIAN(E9:E11)</f>
        <v>22750</v>
      </c>
      <c r="F12" s="89">
        <f>MEDIAN(F9:F11)</f>
        <v>17900</v>
      </c>
      <c r="H12" s="91">
        <f>MEDIAN(H9:H11)</f>
        <v>0.60869565217391308</v>
      </c>
      <c r="I12" s="91">
        <f>MEDIAN(I9:I11)</f>
        <v>6.3043478260869561</v>
      </c>
      <c r="J12" s="91">
        <f t="shared" ref="J12:K12" si="3">MEDIAN(J9:J11)</f>
        <v>8.0555555555555554</v>
      </c>
      <c r="K12" s="91"/>
    </row>
    <row r="14" spans="1:11" x14ac:dyDescent="0.35">
      <c r="A14" s="75" t="s">
        <v>146</v>
      </c>
    </row>
    <row r="15" spans="1:11" x14ac:dyDescent="0.35">
      <c r="A15" t="s">
        <v>146</v>
      </c>
      <c r="B15" s="89">
        <v>900000</v>
      </c>
      <c r="C15" s="92"/>
      <c r="D15" s="89">
        <v>1400000</v>
      </c>
      <c r="E15" s="89">
        <v>120000</v>
      </c>
      <c r="F15" s="89">
        <v>96500</v>
      </c>
      <c r="G15" s="92"/>
      <c r="H15" s="76">
        <f>B15/D15</f>
        <v>0.6428571428571429</v>
      </c>
      <c r="I15" s="76">
        <f>B15/E15</f>
        <v>7.5</v>
      </c>
      <c r="J15" s="76">
        <f>B15/F15</f>
        <v>9.3264248704663206</v>
      </c>
    </row>
    <row r="17" spans="1:10" x14ac:dyDescent="0.35">
      <c r="D17" s="109" t="s">
        <v>147</v>
      </c>
      <c r="E17" s="110"/>
      <c r="F17" s="110"/>
    </row>
    <row r="18" spans="1:10" x14ac:dyDescent="0.35">
      <c r="D18" s="107" t="s">
        <v>148</v>
      </c>
      <c r="E18" s="108"/>
      <c r="F18" s="108"/>
    </row>
    <row r="19" spans="1:10" x14ac:dyDescent="0.35">
      <c r="D19" s="73"/>
      <c r="E19" s="73" t="s">
        <v>135</v>
      </c>
      <c r="F19" s="73" t="s">
        <v>136</v>
      </c>
    </row>
    <row r="20" spans="1:10" x14ac:dyDescent="0.35">
      <c r="D20" s="74" t="s">
        <v>138</v>
      </c>
      <c r="E20" s="74" t="s">
        <v>139</v>
      </c>
      <c r="F20" s="74" t="s">
        <v>140</v>
      </c>
    </row>
    <row r="21" spans="1:10" x14ac:dyDescent="0.35">
      <c r="A21" s="75"/>
    </row>
    <row r="22" spans="1:10" x14ac:dyDescent="0.35">
      <c r="A22" t="s">
        <v>149</v>
      </c>
      <c r="D22" s="78">
        <f>H12*'P &amp; L'!G4</f>
        <v>139514.62608695653</v>
      </c>
      <c r="E22" s="78">
        <f>I12*'P &amp; L'!G24</f>
        <v>141777.35255652177</v>
      </c>
      <c r="F22" s="78">
        <f>J12*'Cash Flow'!G23</f>
        <v>142735.18234435943</v>
      </c>
    </row>
    <row r="23" spans="1:10" x14ac:dyDescent="0.35">
      <c r="A23" t="s">
        <v>150</v>
      </c>
      <c r="D23" s="78">
        <f>H15*'P &amp; L'!G4</f>
        <v>147344.52857142859</v>
      </c>
      <c r="E23" s="78">
        <f>I15*'P &amp; L'!G24</f>
        <v>168666.16080000004</v>
      </c>
      <c r="F23" s="78">
        <f>J15*'Cash Flow'!G23</f>
        <v>165253.52538707326</v>
      </c>
    </row>
    <row r="25" spans="1:10" x14ac:dyDescent="0.35">
      <c r="D25" s="79"/>
    </row>
    <row r="26" spans="1:10" x14ac:dyDescent="0.35">
      <c r="A26" s="71" t="s">
        <v>151</v>
      </c>
      <c r="B26" s="72"/>
      <c r="C26" s="72"/>
      <c r="D26" s="72"/>
      <c r="E26" s="72"/>
      <c r="F26" s="72"/>
      <c r="G26" s="72"/>
      <c r="H26" s="72"/>
      <c r="I26" s="72"/>
      <c r="J26" s="72"/>
    </row>
    <row r="28" spans="1:10" x14ac:dyDescent="0.35">
      <c r="H28" s="109" t="s">
        <v>132</v>
      </c>
      <c r="I28" s="110"/>
      <c r="J28" s="110"/>
    </row>
    <row r="29" spans="1:10" x14ac:dyDescent="0.35">
      <c r="D29" s="107" t="s">
        <v>133</v>
      </c>
      <c r="E29" s="108"/>
      <c r="F29" s="108"/>
      <c r="H29" s="107"/>
      <c r="I29" s="108"/>
      <c r="J29" s="108"/>
    </row>
    <row r="30" spans="1:10" x14ac:dyDescent="0.35">
      <c r="A30" s="73"/>
      <c r="B30" s="73" t="s">
        <v>134</v>
      </c>
      <c r="C30" s="73"/>
      <c r="D30" s="73"/>
      <c r="E30" s="73" t="s">
        <v>135</v>
      </c>
      <c r="F30" s="73"/>
      <c r="H30" s="73"/>
      <c r="I30" s="73" t="s">
        <v>135</v>
      </c>
      <c r="J30" s="73"/>
    </row>
    <row r="31" spans="1:10" x14ac:dyDescent="0.35">
      <c r="A31" s="73"/>
      <c r="B31" s="74" t="s">
        <v>137</v>
      </c>
      <c r="C31" s="74"/>
      <c r="D31" s="74" t="s">
        <v>138</v>
      </c>
      <c r="E31" s="74" t="s">
        <v>139</v>
      </c>
      <c r="F31" s="74" t="s">
        <v>152</v>
      </c>
      <c r="H31" s="74" t="s">
        <v>138</v>
      </c>
      <c r="I31" s="74" t="s">
        <v>139</v>
      </c>
      <c r="J31" s="74" t="s">
        <v>152</v>
      </c>
    </row>
    <row r="32" spans="1:10" x14ac:dyDescent="0.35">
      <c r="A32" s="75" t="s">
        <v>153</v>
      </c>
    </row>
    <row r="33" spans="1:13" x14ac:dyDescent="0.35">
      <c r="A33" t="s">
        <v>154</v>
      </c>
      <c r="B33" s="89">
        <v>120000</v>
      </c>
      <c r="C33" s="92"/>
      <c r="D33" s="89">
        <v>170000</v>
      </c>
      <c r="E33" s="89">
        <v>17000</v>
      </c>
      <c r="F33" s="89">
        <v>175000</v>
      </c>
      <c r="G33" s="92"/>
      <c r="H33" s="90">
        <f>B33/D33</f>
        <v>0.70588235294117652</v>
      </c>
      <c r="I33" s="90">
        <f>B33/E33</f>
        <v>7.0588235294117645</v>
      </c>
      <c r="J33" s="90">
        <f>B33/F33</f>
        <v>0.68571428571428572</v>
      </c>
      <c r="K33" s="92"/>
      <c r="L33" s="92"/>
      <c r="M33" s="92"/>
    </row>
    <row r="34" spans="1:13" x14ac:dyDescent="0.35">
      <c r="A34" t="s">
        <v>155</v>
      </c>
      <c r="B34" s="89">
        <v>130000</v>
      </c>
      <c r="C34" s="92"/>
      <c r="D34" s="89">
        <v>185000</v>
      </c>
      <c r="E34" s="89">
        <v>18000</v>
      </c>
      <c r="F34" s="89">
        <v>185000</v>
      </c>
      <c r="G34" s="92"/>
      <c r="H34" s="90">
        <f t="shared" ref="H34:H35" si="4">B34/D34</f>
        <v>0.70270270270270274</v>
      </c>
      <c r="I34" s="90">
        <f t="shared" ref="I34:I35" si="5">B34/E34</f>
        <v>7.2222222222222223</v>
      </c>
      <c r="J34" s="90">
        <f t="shared" ref="J34:J35" si="6">B34/F34</f>
        <v>0.70270270270270274</v>
      </c>
      <c r="K34" s="92"/>
      <c r="L34" s="92"/>
      <c r="M34" s="92"/>
    </row>
    <row r="35" spans="1:13" x14ac:dyDescent="0.35">
      <c r="A35" t="s">
        <v>156</v>
      </c>
      <c r="B35" s="89">
        <v>140000</v>
      </c>
      <c r="C35" s="92"/>
      <c r="D35" s="89">
        <v>190000</v>
      </c>
      <c r="E35" s="89">
        <v>18500</v>
      </c>
      <c r="F35" s="89">
        <v>180000</v>
      </c>
      <c r="G35" s="92"/>
      <c r="H35" s="90">
        <f t="shared" si="4"/>
        <v>0.73684210526315785</v>
      </c>
      <c r="I35" s="90">
        <f t="shared" si="5"/>
        <v>7.5675675675675675</v>
      </c>
      <c r="J35" s="90">
        <f t="shared" si="6"/>
        <v>0.77777777777777779</v>
      </c>
      <c r="K35" s="92"/>
      <c r="L35" s="92"/>
      <c r="M35" s="92"/>
    </row>
    <row r="36" spans="1:13" x14ac:dyDescent="0.35">
      <c r="A36" s="77" t="s">
        <v>145</v>
      </c>
      <c r="B36" s="89">
        <f>MEDIAN(B33:B35)</f>
        <v>130000</v>
      </c>
      <c r="C36" s="92"/>
      <c r="D36" s="89">
        <f>MEDIAN(D33:D35)</f>
        <v>185000</v>
      </c>
      <c r="E36" s="89">
        <f>MEDIAN(E33:E35)</f>
        <v>18000</v>
      </c>
      <c r="F36" s="89">
        <f>MEDIAN(F33:F35)</f>
        <v>180000</v>
      </c>
      <c r="G36" s="92"/>
      <c r="H36" s="90">
        <f>MEDIAN(H33:H35)</f>
        <v>0.70588235294117652</v>
      </c>
      <c r="I36" s="90">
        <f t="shared" ref="I36:J36" si="7">MEDIAN(I33:I35)</f>
        <v>7.2222222222222223</v>
      </c>
      <c r="J36" s="90">
        <f t="shared" si="7"/>
        <v>0.70270270270270274</v>
      </c>
      <c r="K36" s="92"/>
      <c r="L36" s="92"/>
      <c r="M36" s="92"/>
    </row>
    <row r="38" spans="1:13" x14ac:dyDescent="0.35">
      <c r="D38" s="109" t="s">
        <v>147</v>
      </c>
      <c r="E38" s="110"/>
      <c r="F38" s="110"/>
    </row>
    <row r="39" spans="1:13" x14ac:dyDescent="0.35">
      <c r="D39" s="107" t="s">
        <v>157</v>
      </c>
      <c r="E39" s="108"/>
      <c r="F39" s="108"/>
    </row>
    <row r="40" spans="1:13" x14ac:dyDescent="0.35">
      <c r="D40" s="73"/>
      <c r="E40" s="73" t="s">
        <v>135</v>
      </c>
      <c r="F40" s="73"/>
    </row>
    <row r="41" spans="1:13" x14ac:dyDescent="0.35">
      <c r="D41" s="74" t="s">
        <v>138</v>
      </c>
      <c r="E41" s="74" t="s">
        <v>139</v>
      </c>
      <c r="F41" s="74" t="s">
        <v>152</v>
      </c>
    </row>
    <row r="42" spans="1:13" x14ac:dyDescent="0.35">
      <c r="A42" s="75"/>
    </row>
    <row r="43" spans="1:13" x14ac:dyDescent="0.35">
      <c r="A43" t="s">
        <v>158</v>
      </c>
      <c r="D43" s="78">
        <f>H36*'P &amp; L'!G4</f>
        <v>161790.07058823531</v>
      </c>
      <c r="E43" s="78">
        <f>I36*'P &amp; L'!G24</f>
        <v>162419.2659555556</v>
      </c>
      <c r="F43" s="78">
        <f>J36*BS!G14</f>
        <v>150040.83801861625</v>
      </c>
    </row>
    <row r="45" spans="1:13" x14ac:dyDescent="0.35">
      <c r="C45" t="s">
        <v>204</v>
      </c>
    </row>
    <row r="46" spans="1:13" x14ac:dyDescent="0.35">
      <c r="A46" t="s">
        <v>201</v>
      </c>
      <c r="B46">
        <f>'DCF Valuation'!C18</f>
        <v>199003.7043461299</v>
      </c>
      <c r="C46">
        <v>0.6</v>
      </c>
      <c r="D46">
        <f>B46*C46</f>
        <v>119402.22260767793</v>
      </c>
    </row>
    <row r="47" spans="1:13" x14ac:dyDescent="0.35">
      <c r="A47" t="s">
        <v>202</v>
      </c>
      <c r="B47" s="79">
        <f>MEDIAN(D22:F23)</f>
        <v>145039.85545789401</v>
      </c>
      <c r="C47">
        <v>0.15</v>
      </c>
      <c r="D47">
        <f t="shared" ref="D47:D48" si="8">B47*C47</f>
        <v>21755.978318684101</v>
      </c>
    </row>
    <row r="48" spans="1:13" x14ac:dyDescent="0.35">
      <c r="A48" t="s">
        <v>203</v>
      </c>
      <c r="B48" s="79">
        <f>MEDIAN(D43:F43)</f>
        <v>161790.07058823531</v>
      </c>
      <c r="C48">
        <v>0.25</v>
      </c>
      <c r="D48">
        <f t="shared" si="8"/>
        <v>40447.517647058827</v>
      </c>
    </row>
    <row r="50" spans="2:4" x14ac:dyDescent="0.35">
      <c r="B50" t="s">
        <v>205</v>
      </c>
      <c r="D50" s="121">
        <f>SUM(D46:D48)</f>
        <v>181605.71857342086</v>
      </c>
    </row>
  </sheetData>
  <mergeCells count="10">
    <mergeCell ref="D29:F29"/>
    <mergeCell ref="H29:J29"/>
    <mergeCell ref="D38:F38"/>
    <mergeCell ref="D39:F39"/>
    <mergeCell ref="H4:J4"/>
    <mergeCell ref="D5:F5"/>
    <mergeCell ref="H5:J5"/>
    <mergeCell ref="D17:F17"/>
    <mergeCell ref="D18:F18"/>
    <mergeCell ref="H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Index</vt:lpstr>
      <vt:lpstr>P &amp; L Source</vt:lpstr>
      <vt:lpstr>P &amp; L Assumptions</vt:lpstr>
      <vt:lpstr>BS Source</vt:lpstr>
      <vt:lpstr>BS Assumptions</vt:lpstr>
      <vt:lpstr>P &amp; L</vt:lpstr>
      <vt:lpstr>BS</vt:lpstr>
      <vt:lpstr>Cash Flow</vt:lpstr>
      <vt:lpstr>DCF Valuation</vt:lpstr>
      <vt:lpstr>Relative Valuation</vt:lpstr>
      <vt:lpstr>MedCompPFCF</vt:lpstr>
      <vt:lpstr>MedCompPNI</vt:lpstr>
      <vt:lpstr>MedCompPS</vt:lpstr>
      <vt:lpstr>MedCoPA</vt:lpstr>
      <vt:lpstr>MedCoPNI</vt:lpstr>
      <vt:lpstr>MedCoPS</vt:lpstr>
      <vt:lpstr>SIPFCF</vt:lpstr>
      <vt:lpstr>SIPNI</vt:lpstr>
      <vt:lpstr>SIPS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 Narayanaswamy</dc:creator>
  <cp:lastModifiedBy>Ankita Pattanayak</cp:lastModifiedBy>
  <dcterms:created xsi:type="dcterms:W3CDTF">2015-06-05T18:17:20Z</dcterms:created>
  <dcterms:modified xsi:type="dcterms:W3CDTF">2024-03-05T08:52:20Z</dcterms:modified>
</cp:coreProperties>
</file>