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9320" windowHeight="7845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Print_Area" localSheetId="2">Sheet3!$I$28:$P$51</definedName>
  </definedNames>
  <calcPr calcId="124519"/>
</workbook>
</file>

<file path=xl/calcChain.xml><?xml version="1.0" encoding="utf-8"?>
<calcChain xmlns="http://schemas.openxmlformats.org/spreadsheetml/2006/main">
  <c r="H5" i="3"/>
  <c r="O25"/>
  <c r="O24"/>
  <c r="O23"/>
  <c r="O22"/>
  <c r="O20"/>
  <c r="O19"/>
  <c r="O18"/>
  <c r="O17"/>
  <c r="O15"/>
  <c r="O14"/>
  <c r="O13"/>
  <c r="O12"/>
  <c r="O10"/>
  <c r="O8"/>
  <c r="O7"/>
  <c r="Q29" l="1"/>
  <c r="Q30" s="1"/>
  <c r="O31" l="1"/>
  <c r="N31"/>
  <c r="M31"/>
  <c r="G31"/>
  <c r="F31"/>
  <c r="E31"/>
  <c r="D31"/>
  <c r="L31" s="1"/>
  <c r="N4" i="5" l="1"/>
  <c r="K5"/>
  <c r="H5"/>
  <c r="E5"/>
  <c r="F5" s="1"/>
  <c r="M4"/>
  <c r="L4"/>
  <c r="K4"/>
  <c r="I4"/>
  <c r="H4"/>
  <c r="F4"/>
  <c r="E4"/>
  <c r="I5" l="1"/>
  <c r="L5"/>
  <c r="M5"/>
  <c r="P25" i="3" l="1"/>
  <c r="P24"/>
  <c r="P23"/>
  <c r="P22"/>
  <c r="P20"/>
  <c r="P19"/>
  <c r="P18"/>
  <c r="P17"/>
  <c r="P12"/>
  <c r="P13"/>
  <c r="P14"/>
  <c r="P15"/>
  <c r="P10"/>
  <c r="J6" l="1"/>
  <c r="O6" s="1"/>
  <c r="Q23"/>
  <c r="R23"/>
  <c r="R18"/>
  <c r="Q18"/>
  <c r="R13"/>
  <c r="Q13"/>
  <c r="M23"/>
  <c r="L23"/>
  <c r="K23"/>
  <c r="M18"/>
  <c r="L18"/>
  <c r="K18"/>
  <c r="M13"/>
  <c r="L13"/>
  <c r="K13"/>
  <c r="D23"/>
  <c r="J23" s="1"/>
  <c r="E23"/>
  <c r="F23"/>
  <c r="G23"/>
  <c r="D18"/>
  <c r="J18" s="1"/>
  <c r="E18"/>
  <c r="F18"/>
  <c r="G18"/>
  <c r="D13"/>
  <c r="J13" s="1"/>
  <c r="E13"/>
  <c r="F13"/>
  <c r="G13"/>
  <c r="M8"/>
  <c r="R8" s="1"/>
  <c r="D8"/>
  <c r="J8" s="1"/>
  <c r="E8"/>
  <c r="K8" s="1"/>
  <c r="P8" s="1"/>
  <c r="F8"/>
  <c r="L8" s="1"/>
  <c r="G8"/>
  <c r="D26" i="4"/>
  <c r="D23"/>
  <c r="D24"/>
  <c r="F23"/>
  <c r="E23"/>
  <c r="F18"/>
  <c r="E18"/>
  <c r="F17"/>
  <c r="D17"/>
  <c r="F16"/>
  <c r="E16"/>
  <c r="D16"/>
  <c r="F15" l="1"/>
  <c r="E15"/>
  <c r="D15"/>
  <c r="D14"/>
  <c r="F14"/>
  <c r="E14"/>
  <c r="D13"/>
  <c r="E13" s="1"/>
  <c r="F13" l="1"/>
  <c r="C20" l="1"/>
  <c r="C11"/>
  <c r="G13"/>
  <c r="H13"/>
  <c r="H32"/>
  <c r="H31"/>
  <c r="H29"/>
  <c r="H28"/>
  <c r="H27"/>
  <c r="H26"/>
  <c r="H14"/>
  <c r="G26"/>
  <c r="H25"/>
  <c r="H24"/>
  <c r="H17"/>
  <c r="H16"/>
  <c r="H15"/>
  <c r="H23" l="1"/>
  <c r="H33" s="1"/>
  <c r="H34" s="1"/>
  <c r="H18"/>
  <c r="H19" s="1"/>
  <c r="H20" s="1"/>
  <c r="E32" i="1"/>
  <c r="H6" i="3" l="1"/>
  <c r="D33" l="1"/>
  <c r="G33"/>
  <c r="E48"/>
  <c r="G48"/>
  <c r="E43"/>
  <c r="G43"/>
  <c r="E38"/>
  <c r="G38"/>
  <c r="D48"/>
  <c r="F48"/>
  <c r="D43"/>
  <c r="F43"/>
  <c r="D38"/>
  <c r="F38"/>
  <c r="G14" i="4"/>
  <c r="D9" i="3"/>
  <c r="J9" s="1"/>
  <c r="O9" s="1"/>
  <c r="E9"/>
  <c r="K9" s="1"/>
  <c r="F9"/>
  <c r="L9" s="1"/>
  <c r="Q9" s="1"/>
  <c r="F34" s="1"/>
  <c r="G9"/>
  <c r="M9" s="1"/>
  <c r="R9" s="1"/>
  <c r="G34" s="1"/>
  <c r="D10"/>
  <c r="J10" s="1"/>
  <c r="E10"/>
  <c r="K10" s="1"/>
  <c r="E35" s="1"/>
  <c r="F10"/>
  <c r="L10" s="1"/>
  <c r="Q10" s="1"/>
  <c r="F35" s="1"/>
  <c r="G10"/>
  <c r="M10" s="1"/>
  <c r="R10" s="1"/>
  <c r="G35" s="1"/>
  <c r="D12"/>
  <c r="J12" s="1"/>
  <c r="E12"/>
  <c r="F12"/>
  <c r="G12"/>
  <c r="D14"/>
  <c r="J14" s="1"/>
  <c r="E14"/>
  <c r="K14" s="1"/>
  <c r="E39" s="1"/>
  <c r="F14"/>
  <c r="L14" s="1"/>
  <c r="Q14" s="1"/>
  <c r="G14"/>
  <c r="M14" s="1"/>
  <c r="R14" s="1"/>
  <c r="G39" s="1"/>
  <c r="D15"/>
  <c r="J15" s="1"/>
  <c r="E15"/>
  <c r="K15" s="1"/>
  <c r="E40" s="1"/>
  <c r="F15"/>
  <c r="L15" s="1"/>
  <c r="Q15" s="1"/>
  <c r="F40" s="1"/>
  <c r="G15"/>
  <c r="M15" s="1"/>
  <c r="R15" s="1"/>
  <c r="G40" s="1"/>
  <c r="D17"/>
  <c r="E17"/>
  <c r="F17"/>
  <c r="G17"/>
  <c r="D19"/>
  <c r="J19" s="1"/>
  <c r="E19"/>
  <c r="K19" s="1"/>
  <c r="E44" s="1"/>
  <c r="F19"/>
  <c r="L19" s="1"/>
  <c r="Q19" s="1"/>
  <c r="F44" s="1"/>
  <c r="G19"/>
  <c r="M19" s="1"/>
  <c r="R19" s="1"/>
  <c r="G44" s="1"/>
  <c r="D20"/>
  <c r="J20" s="1"/>
  <c r="E20"/>
  <c r="K20" s="1"/>
  <c r="E45" s="1"/>
  <c r="F20"/>
  <c r="L20" s="1"/>
  <c r="Q20" s="1"/>
  <c r="F45" s="1"/>
  <c r="G20"/>
  <c r="M20" s="1"/>
  <c r="R20" s="1"/>
  <c r="G45" s="1"/>
  <c r="D22"/>
  <c r="J22" s="1"/>
  <c r="E22"/>
  <c r="K22" s="1"/>
  <c r="E47" s="1"/>
  <c r="F22"/>
  <c r="L22" s="1"/>
  <c r="Q22" s="1"/>
  <c r="F47" s="1"/>
  <c r="G22"/>
  <c r="M22" s="1"/>
  <c r="R22" s="1"/>
  <c r="G47" s="1"/>
  <c r="D24"/>
  <c r="J24" s="1"/>
  <c r="E24"/>
  <c r="K24" s="1"/>
  <c r="E49" s="1"/>
  <c r="F24"/>
  <c r="L24" s="1"/>
  <c r="Q24" s="1"/>
  <c r="F49" s="1"/>
  <c r="G24"/>
  <c r="M24" s="1"/>
  <c r="R24" s="1"/>
  <c r="G49" s="1"/>
  <c r="D25"/>
  <c r="J25" s="1"/>
  <c r="E25"/>
  <c r="K25" s="1"/>
  <c r="E50" s="1"/>
  <c r="F25"/>
  <c r="L25" s="1"/>
  <c r="Q25" s="1"/>
  <c r="F50" s="1"/>
  <c r="G25"/>
  <c r="M25" s="1"/>
  <c r="R25" s="1"/>
  <c r="G50" s="1"/>
  <c r="E7"/>
  <c r="F7"/>
  <c r="L7" s="1"/>
  <c r="G7"/>
  <c r="D7"/>
  <c r="J7" s="1"/>
  <c r="D32" s="1"/>
  <c r="D50" l="1"/>
  <c r="D47"/>
  <c r="D44"/>
  <c r="D39"/>
  <c r="D35"/>
  <c r="D49"/>
  <c r="D45"/>
  <c r="D40"/>
  <c r="D37"/>
  <c r="P9"/>
  <c r="E34" s="1"/>
  <c r="N38"/>
  <c r="H61"/>
  <c r="N43"/>
  <c r="H66"/>
  <c r="N48"/>
  <c r="H71"/>
  <c r="O38"/>
  <c r="I61"/>
  <c r="O43"/>
  <c r="I66"/>
  <c r="O48"/>
  <c r="I71"/>
  <c r="M38"/>
  <c r="G61"/>
  <c r="M43"/>
  <c r="G66"/>
  <c r="M48"/>
  <c r="G71"/>
  <c r="L38"/>
  <c r="F61"/>
  <c r="L43"/>
  <c r="F66"/>
  <c r="L48"/>
  <c r="F71"/>
  <c r="O33"/>
  <c r="I56"/>
  <c r="L17"/>
  <c r="Q17" s="1"/>
  <c r="F42" s="1"/>
  <c r="H65" s="1"/>
  <c r="J17"/>
  <c r="L12"/>
  <c r="Q12" s="1"/>
  <c r="F37" s="1"/>
  <c r="H60" s="1"/>
  <c r="M17"/>
  <c r="R17" s="1"/>
  <c r="G42" s="1"/>
  <c r="I65" s="1"/>
  <c r="K17"/>
  <c r="E42" s="1"/>
  <c r="G65" s="1"/>
  <c r="M12"/>
  <c r="R12" s="1"/>
  <c r="G37" s="1"/>
  <c r="O37" s="1"/>
  <c r="K12"/>
  <c r="E37" s="1"/>
  <c r="M37" s="1"/>
  <c r="H73"/>
  <c r="N50"/>
  <c r="N47"/>
  <c r="H70"/>
  <c r="L32"/>
  <c r="Q7"/>
  <c r="F32" s="1"/>
  <c r="H55" s="1"/>
  <c r="Q8"/>
  <c r="F33" s="1"/>
  <c r="O50"/>
  <c r="I73"/>
  <c r="G73"/>
  <c r="M50"/>
  <c r="O47"/>
  <c r="I70"/>
  <c r="M47"/>
  <c r="G70"/>
  <c r="I68"/>
  <c r="O45"/>
  <c r="G68"/>
  <c r="M45"/>
  <c r="O40"/>
  <c r="I63"/>
  <c r="G63"/>
  <c r="M40"/>
  <c r="O35"/>
  <c r="I58"/>
  <c r="M35"/>
  <c r="G58"/>
  <c r="O34"/>
  <c r="I57"/>
  <c r="H68"/>
  <c r="N45"/>
  <c r="H63"/>
  <c r="N40"/>
  <c r="N37"/>
  <c r="N35"/>
  <c r="H58"/>
  <c r="N34"/>
  <c r="H57"/>
  <c r="D34"/>
  <c r="N32"/>
  <c r="I72"/>
  <c r="O49"/>
  <c r="G72"/>
  <c r="M49"/>
  <c r="I67"/>
  <c r="O44"/>
  <c r="G67"/>
  <c r="M44"/>
  <c r="I62"/>
  <c r="O39"/>
  <c r="G62"/>
  <c r="M39"/>
  <c r="H72"/>
  <c r="N49"/>
  <c r="H67"/>
  <c r="N44"/>
  <c r="F39"/>
  <c r="M7"/>
  <c r="K7"/>
  <c r="P7" s="1"/>
  <c r="B15" i="2"/>
  <c r="B13"/>
  <c r="B14" s="1"/>
  <c r="B16" s="1"/>
  <c r="M42" i="3" l="1"/>
  <c r="N42"/>
  <c r="O21"/>
  <c r="F72"/>
  <c r="L49"/>
  <c r="L39"/>
  <c r="F62"/>
  <c r="L37"/>
  <c r="F60"/>
  <c r="F68"/>
  <c r="L45"/>
  <c r="L35"/>
  <c r="F58"/>
  <c r="L44"/>
  <c r="F67"/>
  <c r="L50"/>
  <c r="F73"/>
  <c r="L40"/>
  <c r="F63"/>
  <c r="F70"/>
  <c r="L47"/>
  <c r="D42"/>
  <c r="G60"/>
  <c r="M34"/>
  <c r="G57"/>
  <c r="O16"/>
  <c r="I60"/>
  <c r="O42"/>
  <c r="F55"/>
  <c r="N33"/>
  <c r="H56"/>
  <c r="L33"/>
  <c r="F56"/>
  <c r="E32"/>
  <c r="G55" s="1"/>
  <c r="E33"/>
  <c r="L34"/>
  <c r="F57"/>
  <c r="R7"/>
  <c r="G32" s="1"/>
  <c r="H62"/>
  <c r="N39"/>
  <c r="R11" i="1"/>
  <c r="Q11"/>
  <c r="M11"/>
  <c r="S11"/>
  <c r="L42" i="3" l="1"/>
  <c r="F65"/>
  <c r="M32"/>
  <c r="M33"/>
  <c r="G56"/>
  <c r="I55"/>
  <c r="O32"/>
  <c r="U11" i="1"/>
  <c r="V33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V11"/>
  <c r="I41"/>
  <c r="F41"/>
  <c r="I35"/>
  <c r="I36" s="1"/>
  <c r="E41"/>
  <c r="F37"/>
  <c r="F36"/>
  <c r="F35"/>
  <c r="H33"/>
  <c r="I33"/>
  <c r="J33"/>
  <c r="K33"/>
  <c r="L33"/>
  <c r="M33"/>
  <c r="N33"/>
  <c r="O33"/>
  <c r="P33"/>
  <c r="R31"/>
  <c r="M31"/>
  <c r="H31"/>
  <c r="J31" s="1"/>
  <c r="G31"/>
  <c r="N31" s="1"/>
  <c r="Q31" s="1"/>
  <c r="R30"/>
  <c r="M30"/>
  <c r="H30"/>
  <c r="J30" s="1"/>
  <c r="G30"/>
  <c r="N30" s="1"/>
  <c r="Q30" s="1"/>
  <c r="R29"/>
  <c r="M29"/>
  <c r="H29"/>
  <c r="J29" s="1"/>
  <c r="G29"/>
  <c r="N29" s="1"/>
  <c r="Q29" s="1"/>
  <c r="R28"/>
  <c r="M28"/>
  <c r="H28"/>
  <c r="J28" s="1"/>
  <c r="G28"/>
  <c r="N28" s="1"/>
  <c r="Q28" s="1"/>
  <c r="R27"/>
  <c r="M27"/>
  <c r="H27"/>
  <c r="J27" s="1"/>
  <c r="G27"/>
  <c r="N27" s="1"/>
  <c r="Q27" s="1"/>
  <c r="P26"/>
  <c r="R26" s="1"/>
  <c r="O26"/>
  <c r="L26"/>
  <c r="K26"/>
  <c r="M26" s="1"/>
  <c r="I26"/>
  <c r="G26"/>
  <c r="N26" s="1"/>
  <c r="Q26" s="1"/>
  <c r="P25"/>
  <c r="R25" s="1"/>
  <c r="O25"/>
  <c r="N25"/>
  <c r="L25"/>
  <c r="K25"/>
  <c r="I25"/>
  <c r="H25"/>
  <c r="J25" s="1"/>
  <c r="G25"/>
  <c r="A25"/>
  <c r="A26" s="1"/>
  <c r="A27" s="1"/>
  <c r="A28" s="1"/>
  <c r="A29" s="1"/>
  <c r="A30" s="1"/>
  <c r="A31" s="1"/>
  <c r="R24"/>
  <c r="M24"/>
  <c r="H24"/>
  <c r="G24"/>
  <c r="G33" s="1"/>
  <c r="R23"/>
  <c r="M23"/>
  <c r="H23"/>
  <c r="J23" s="1"/>
  <c r="G23"/>
  <c r="N23" s="1"/>
  <c r="Q23" s="1"/>
  <c r="R22"/>
  <c r="M22"/>
  <c r="H22"/>
  <c r="J22" s="1"/>
  <c r="G22"/>
  <c r="N22" s="1"/>
  <c r="Q22" s="1"/>
  <c r="R21"/>
  <c r="M21"/>
  <c r="H21"/>
  <c r="J21" s="1"/>
  <c r="G21"/>
  <c r="N21" s="1"/>
  <c r="Q21" s="1"/>
  <c r="R20"/>
  <c r="M20"/>
  <c r="H20"/>
  <c r="J20" s="1"/>
  <c r="G20"/>
  <c r="N20" s="1"/>
  <c r="Q20" s="1"/>
  <c r="R19"/>
  <c r="M19"/>
  <c r="H19"/>
  <c r="J19" s="1"/>
  <c r="G19"/>
  <c r="N19" s="1"/>
  <c r="Q19" s="1"/>
  <c r="R18"/>
  <c r="M18"/>
  <c r="H18"/>
  <c r="J18" s="1"/>
  <c r="G18"/>
  <c r="N18" s="1"/>
  <c r="Q18" s="1"/>
  <c r="R17"/>
  <c r="M17"/>
  <c r="H17"/>
  <c r="J17" s="1"/>
  <c r="G17"/>
  <c r="N17" s="1"/>
  <c r="Q17" s="1"/>
  <c r="R16"/>
  <c r="M16"/>
  <c r="H16"/>
  <c r="J16" s="1"/>
  <c r="G16"/>
  <c r="N16" s="1"/>
  <c r="Q16" s="1"/>
  <c r="R15"/>
  <c r="M15"/>
  <c r="H15"/>
  <c r="J15" s="1"/>
  <c r="G15"/>
  <c r="N15" s="1"/>
  <c r="Q15" s="1"/>
  <c r="R14"/>
  <c r="M14"/>
  <c r="H14"/>
  <c r="J14" s="1"/>
  <c r="G14"/>
  <c r="N14" s="1"/>
  <c r="Q14" s="1"/>
  <c r="R13"/>
  <c r="M13"/>
  <c r="H13"/>
  <c r="J13" s="1"/>
  <c r="G13"/>
  <c r="N13" s="1"/>
  <c r="Q13" s="1"/>
  <c r="R12"/>
  <c r="M12"/>
  <c r="H12"/>
  <c r="J12" s="1"/>
  <c r="G12"/>
  <c r="N12" s="1"/>
  <c r="Q12" s="1"/>
  <c r="A12"/>
  <c r="A13" s="1"/>
  <c r="A14" s="1"/>
  <c r="A15" s="1"/>
  <c r="A16" s="1"/>
  <c r="A17" s="1"/>
  <c r="A18" s="1"/>
  <c r="A19" s="1"/>
  <c r="A20" s="1"/>
  <c r="A21" s="1"/>
  <c r="A22" s="1"/>
  <c r="H11"/>
  <c r="J11" s="1"/>
  <c r="G11"/>
  <c r="J24" l="1"/>
  <c r="N24"/>
  <c r="M25"/>
  <c r="Q25"/>
  <c r="H26"/>
  <c r="J26" s="1"/>
  <c r="N11"/>
  <c r="R33" l="1"/>
  <c r="Q24"/>
  <c r="Q33"/>
</calcChain>
</file>

<file path=xl/comments1.xml><?xml version="1.0" encoding="utf-8"?>
<comments xmlns="http://schemas.openxmlformats.org/spreadsheetml/2006/main">
  <authors>
    <author>compaq</author>
    <author>hery.lugiantoro</author>
  </authors>
  <commentList>
    <comment ref="P5" authorId="0">
      <text>
        <r>
          <rPr>
            <b/>
            <sz val="8"/>
            <color indexed="81"/>
            <rFont val="Tahoma"/>
            <family val="2"/>
          </rPr>
          <t>compaq:</t>
        </r>
        <r>
          <rPr>
            <sz val="8"/>
            <color indexed="81"/>
            <rFont val="Tahoma"/>
            <family val="2"/>
          </rPr>
          <t xml:space="preserve">
Total gaji TFO+JUMBO/total mesin/30/24</t>
        </r>
      </text>
    </comment>
    <comment ref="Q5" authorId="1">
      <text>
        <r>
          <rPr>
            <b/>
            <sz val="9"/>
            <color indexed="81"/>
            <rFont val="Tahoma"/>
            <family val="2"/>
          </rPr>
          <t>hery.lugiantoro:</t>
        </r>
        <r>
          <rPr>
            <sz val="9"/>
            <color indexed="81"/>
            <rFont val="Tahoma"/>
            <family val="2"/>
          </rPr>
          <t xml:space="preserve">
Overhead Twist dan kakinoki/jml mesin/30/24
</t>
        </r>
      </text>
    </comment>
  </commentList>
</comments>
</file>

<file path=xl/sharedStrings.xml><?xml version="1.0" encoding="utf-8"?>
<sst xmlns="http://schemas.openxmlformats.org/spreadsheetml/2006/main" count="219" uniqueCount="164">
  <si>
    <t>NO.</t>
  </si>
  <si>
    <t>Jenis Benang</t>
  </si>
  <si>
    <t>TPM</t>
  </si>
  <si>
    <t>Berat</t>
  </si>
  <si>
    <t>Total</t>
  </si>
  <si>
    <t>Proses Produksi Teoritis ( Jam )</t>
  </si>
  <si>
    <t>Proses</t>
  </si>
  <si>
    <t>Lost</t>
  </si>
  <si>
    <t>Total Produksi Teoritis ( KG )</t>
  </si>
  <si>
    <t>Effisiensi</t>
  </si>
  <si>
    <t>( Gram )</t>
  </si>
  <si>
    <t>Doffing</t>
  </si>
  <si>
    <t>Waktu Proses</t>
  </si>
  <si>
    <t xml:space="preserve">Pasang </t>
  </si>
  <si>
    <t>Produksi</t>
  </si>
  <si>
    <t>Time</t>
  </si>
  <si>
    <t>Waktu</t>
  </si>
  <si>
    <t xml:space="preserve">Waktu </t>
  </si>
  <si>
    <t>MC</t>
  </si>
  <si>
    <t>( Jam )</t>
  </si>
  <si>
    <t>Doffing ( Jam )</t>
  </si>
  <si>
    <t>Actual ( Jam )</t>
  </si>
  <si>
    <t>Per Jam</t>
  </si>
  <si>
    <t>Normal</t>
  </si>
  <si>
    <t>Actual</t>
  </si>
  <si>
    <t>Actual ( KG )</t>
  </si>
  <si>
    <t>%</t>
  </si>
  <si>
    <t>Dty 150/48 Polychem</t>
  </si>
  <si>
    <t>FD 150/144 Tifico</t>
  </si>
  <si>
    <t>June 135/72 Sipatex</t>
  </si>
  <si>
    <t>Maxfill 150/120 spt</t>
  </si>
  <si>
    <t>Psy 135/108 Idr</t>
  </si>
  <si>
    <t>Psy 135/84 Sipatex</t>
  </si>
  <si>
    <t xml:space="preserve">Rayon 360/90 </t>
  </si>
  <si>
    <t>TIY 190/108 Skki</t>
  </si>
  <si>
    <t>TT 175/144 Sipatex</t>
  </si>
  <si>
    <t>V.Int 270/78</t>
  </si>
  <si>
    <t>Sdy 75/36 Texmaco</t>
  </si>
  <si>
    <t>Sub Total ( 1 )</t>
  </si>
  <si>
    <t>Dty 225/84 Dbl</t>
  </si>
  <si>
    <t>Dty 300/96 Sipatex</t>
  </si>
  <si>
    <t>H Imy 300/96</t>
  </si>
  <si>
    <t>Jam kerja</t>
  </si>
  <si>
    <t>Jam/tot mesin</t>
  </si>
  <si>
    <t>Jam/mesin</t>
  </si>
  <si>
    <t>hari</t>
  </si>
  <si>
    <t xml:space="preserve">Biaya listrik </t>
  </si>
  <si>
    <t>Biaya Overhead</t>
  </si>
  <si>
    <t>Biaya SDM</t>
  </si>
  <si>
    <t>Rp/jam/mesin</t>
  </si>
  <si>
    <t>Rp/jam</t>
  </si>
  <si>
    <t>Rupiah</t>
  </si>
  <si>
    <t>Rp/TPM</t>
  </si>
  <si>
    <t>Dty 150/48 F</t>
  </si>
  <si>
    <t>Polychem</t>
  </si>
  <si>
    <t>Dty 300/96</t>
  </si>
  <si>
    <t>Sipatex</t>
  </si>
  <si>
    <t>FD 150/144</t>
  </si>
  <si>
    <t>Tifico</t>
  </si>
  <si>
    <t>Polysindo</t>
  </si>
  <si>
    <t>June 135/72</t>
  </si>
  <si>
    <t>H Maxfill 150/120</t>
  </si>
  <si>
    <t>Psy 135/84</t>
  </si>
  <si>
    <t>Psy 135/108</t>
  </si>
  <si>
    <t>Skki</t>
  </si>
  <si>
    <t>Rayon 360/90</t>
  </si>
  <si>
    <t>Sdy 75/36</t>
  </si>
  <si>
    <t>TT 175/144</t>
  </si>
  <si>
    <t>TIY 190/108</t>
  </si>
  <si>
    <t xml:space="preserve">Pasang Dopping </t>
  </si>
  <si>
    <t>Energi</t>
  </si>
  <si>
    <t>Biaya</t>
  </si>
  <si>
    <t>Kwh</t>
  </si>
  <si>
    <t>KWH per mesin</t>
  </si>
  <si>
    <t>Running</t>
  </si>
  <si>
    <t>Total mesin TFO running</t>
  </si>
  <si>
    <t>Total jumlah mesin TFO</t>
  </si>
  <si>
    <t>Nama Machine</t>
  </si>
  <si>
    <t>Pirn Winder</t>
  </si>
  <si>
    <t>Spindle</t>
  </si>
  <si>
    <t>KWH</t>
  </si>
  <si>
    <t>TFO</t>
  </si>
  <si>
    <t>Machine</t>
  </si>
  <si>
    <t xml:space="preserve">Input </t>
  </si>
  <si>
    <t>RPM</t>
  </si>
  <si>
    <t>Spindel</t>
  </si>
  <si>
    <t>Jumlah Mesin</t>
  </si>
  <si>
    <t>No benang</t>
  </si>
  <si>
    <t>T/P</t>
  </si>
  <si>
    <t>kg</t>
  </si>
  <si>
    <t>Kebutuhan</t>
  </si>
  <si>
    <t>Pencapaian</t>
  </si>
  <si>
    <t xml:space="preserve">Perhitungan Energi Twisting </t>
  </si>
  <si>
    <t>NO</t>
  </si>
  <si>
    <t>JENIS BENANG</t>
  </si>
  <si>
    <t>KONDISI</t>
  </si>
  <si>
    <t>SPINDEL</t>
  </si>
  <si>
    <t>PASANG</t>
  </si>
  <si>
    <t>DOPING</t>
  </si>
  <si>
    <t>TENAGA</t>
  </si>
  <si>
    <t>OVERHEAD</t>
  </si>
  <si>
    <t xml:space="preserve">Sehingga Harga Makloon adalah sbb </t>
  </si>
  <si>
    <t>Perhitungan Biaya Perbandingan Antara Proses Sizing dan Twist</t>
  </si>
  <si>
    <t>42/5 X 92 : 65,67 : 13836</t>
  </si>
  <si>
    <t>TWILL 3/2-1</t>
  </si>
  <si>
    <t xml:space="preserve">DTY 150-48-SD  T/M 1500 2S-2Z                   </t>
  </si>
  <si>
    <t>BERAT 135,02 GR/MT</t>
  </si>
  <si>
    <t xml:space="preserve">DTY 75-72-SD-IMY SIZING                            </t>
  </si>
  <si>
    <t>BERAT 134.43 GR/MT</t>
  </si>
  <si>
    <t xml:space="preserve">Proses Standar </t>
  </si>
  <si>
    <t>SIZE PICK UP   8%</t>
  </si>
  <si>
    <t xml:space="preserve">PROSES BEAMING </t>
  </si>
  <si>
    <t>PROSES DRAWING IN</t>
  </si>
  <si>
    <t>WEAVING PRODUKSI</t>
  </si>
  <si>
    <t>Asumsi berat</t>
  </si>
  <si>
    <t>gram</t>
  </si>
  <si>
    <t>PASANG BENANG DI MESIN PIRN WINDER 110 CONES @ 5 KG ( 600.000 METER ) X 7 = 6930 BOBYN PW.</t>
  </si>
  <si>
    <t>PASANG BENANG HASIL PINR WINDER DI MESIN TFO 256 SPINDLE @ 700 GRM ( 84000 ) 27 MESIN</t>
  </si>
  <si>
    <t>PROSES TWIST DI MSN TFO RPM 7000,TPM 250-S-( YARN SPEED 56 MTR/MENIT ) LAMA PROSES 1500 MENIT ( 25 JAM )</t>
  </si>
  <si>
    <t>PROSES STEAM DI MESIN VHS ( 1X PASANG 256 CLYNDER ) 80 MENIT RELAXING 24 JAM X 27 PROSES</t>
  </si>
  <si>
    <t xml:space="preserve">PASANG BENANG DI CEEL WARPING 1153 CLYNDER X 6 X PASANG </t>
  </si>
  <si>
    <t>PROSES WARVING SPEED 100 MTR/MENIT PANJANG 40000/BEAM X 12 BEAM SIZING</t>
  </si>
  <si>
    <t>WAXING PICK UP 2%</t>
  </si>
  <si>
    <t>PROSES BEAMING</t>
  </si>
  <si>
    <t xml:space="preserve">PROSES DRAWING IN </t>
  </si>
  <si>
    <t xml:space="preserve">PROSES WEAVING PRODUKSI </t>
  </si>
  <si>
    <t>PROSES LUSI 1 PARTAI ( PJG LUSI 48000 METER )</t>
  </si>
  <si>
    <t>Proses (jam)</t>
  </si>
  <si>
    <t xml:space="preserve">Jumlah Order </t>
  </si>
  <si>
    <t>Rupiah per TPM</t>
  </si>
  <si>
    <t>Total Biaya Yang dikerjakan</t>
  </si>
  <si>
    <t>LISTRIK+Steam</t>
  </si>
  <si>
    <t>Orang</t>
  </si>
  <si>
    <t>PASANG BENANG DI CREEL 1153 CONES BERAT @ 3,5 KG ( 600.000 MeTER ) 4036 kg</t>
  </si>
  <si>
    <t>per kg</t>
  </si>
  <si>
    <t>per m</t>
  </si>
  <si>
    <t>PROSES LUSI 1PARTAI 1153 CLYNDED X 6 = 6918 CLYNDER ( 1X PASANG JADI 2 BEAM SIZING ) = 13836 ( PJG 40000 )</t>
  </si>
  <si>
    <t>Tot Rupiah</t>
  </si>
  <si>
    <t>Rp/kg</t>
  </si>
  <si>
    <t>Rp/m</t>
  </si>
  <si>
    <t>PROSES SIZING DI CREEL TO BEAM SPEED 90 METER/MENIT ( 600.000 : 12 BEAM SIZING @ 50.000 ) @ 112 jam</t>
  </si>
  <si>
    <t>@ 8381</t>
  </si>
  <si>
    <t>PROSES PIRN WINDER @ 700 GRM ( 84000 MTR ) 1X PSG BNG 9 X DOPING ( YARN SPEED 400MTR/MNT ) @ 3,5 jam</t>
  </si>
  <si>
    <t>Ditinjau lagi jika ada perubahan Kurs atau energi</t>
  </si>
  <si>
    <t>(Hery Lugiantoro)</t>
  </si>
  <si>
    <t>(David leonardi)</t>
  </si>
  <si>
    <t>Menyetujui</t>
  </si>
  <si>
    <t>Dibuat</t>
  </si>
  <si>
    <t xml:space="preserve">No mesin </t>
  </si>
  <si>
    <t>Rata-rata RPM</t>
  </si>
  <si>
    <t>KG</t>
  </si>
  <si>
    <t>KW</t>
  </si>
  <si>
    <t>MESIN</t>
  </si>
  <si>
    <t xml:space="preserve">Perhitungan Twisting </t>
  </si>
  <si>
    <t>No Benang</t>
  </si>
  <si>
    <t>T/M     (yarn speed)</t>
  </si>
  <si>
    <t>Yarn speed</t>
  </si>
  <si>
    <t>Berat 1 spendel</t>
  </si>
  <si>
    <t>Waktu jam</t>
  </si>
  <si>
    <t>24 jam</t>
  </si>
  <si>
    <t>per hari</t>
  </si>
  <si>
    <t>Pasang dop</t>
  </si>
  <si>
    <t>(Harga makloon Twisting berlaku hingga Juni 2016)</t>
  </si>
  <si>
    <t>Rupiah per TPM sudah profit th 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</si>
</sst>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aramond"/>
      <family val="1"/>
    </font>
    <font>
      <b/>
      <sz val="10"/>
      <name val="Garamond"/>
      <family val="1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2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9" fontId="2" fillId="0" borderId="11" xfId="2" applyFont="1" applyFill="1" applyBorder="1" applyAlignment="1">
      <alignment horizontal="center"/>
    </xf>
    <xf numFmtId="9" fontId="2" fillId="0" borderId="12" xfId="2" applyFont="1" applyFill="1" applyBorder="1" applyAlignment="1">
      <alignment horizontal="center"/>
    </xf>
    <xf numFmtId="0" fontId="2" fillId="0" borderId="13" xfId="0" applyFont="1" applyFill="1" applyBorder="1"/>
    <xf numFmtId="0" fontId="2" fillId="0" borderId="14" xfId="0" applyFont="1" applyFill="1" applyBorder="1"/>
    <xf numFmtId="43" fontId="2" fillId="0" borderId="14" xfId="1" applyFont="1" applyFill="1" applyBorder="1" applyAlignment="1">
      <alignment vertical="center"/>
    </xf>
    <xf numFmtId="9" fontId="2" fillId="0" borderId="14" xfId="2" applyFont="1" applyFill="1" applyBorder="1" applyAlignment="1">
      <alignment horizontal="center"/>
    </xf>
    <xf numFmtId="9" fontId="2" fillId="0" borderId="15" xfId="2" applyFont="1" applyFill="1" applyBorder="1" applyAlignment="1">
      <alignment horizontal="center"/>
    </xf>
    <xf numFmtId="43" fontId="2" fillId="0" borderId="14" xfId="1" applyFont="1" applyFill="1" applyBorder="1"/>
    <xf numFmtId="0" fontId="2" fillId="0" borderId="7" xfId="0" applyFont="1" applyFill="1" applyBorder="1"/>
    <xf numFmtId="0" fontId="2" fillId="0" borderId="16" xfId="0" applyFont="1" applyFill="1" applyBorder="1"/>
    <xf numFmtId="0" fontId="2" fillId="0" borderId="17" xfId="0" applyFont="1" applyFill="1" applyBorder="1"/>
    <xf numFmtId="43" fontId="2" fillId="0" borderId="20" xfId="1" applyFont="1" applyFill="1" applyBorder="1" applyAlignment="1"/>
    <xf numFmtId="43" fontId="2" fillId="0" borderId="21" xfId="1" applyFont="1" applyFill="1" applyBorder="1"/>
    <xf numFmtId="9" fontId="2" fillId="0" borderId="21" xfId="2" applyFont="1" applyFill="1" applyBorder="1" applyAlignment="1">
      <alignment horizontal="center"/>
    </xf>
    <xf numFmtId="164" fontId="2" fillId="0" borderId="14" xfId="1" applyNumberFormat="1" applyFont="1" applyFill="1" applyBorder="1" applyAlignment="1"/>
    <xf numFmtId="43" fontId="2" fillId="0" borderId="22" xfId="1" applyFont="1" applyFill="1" applyBorder="1" applyAlignment="1">
      <alignment vertical="center"/>
    </xf>
    <xf numFmtId="43" fontId="2" fillId="0" borderId="22" xfId="1" applyFont="1" applyFill="1" applyBorder="1"/>
    <xf numFmtId="43" fontId="2" fillId="0" borderId="23" xfId="1" applyFont="1" applyFill="1" applyBorder="1"/>
    <xf numFmtId="164" fontId="2" fillId="0" borderId="0" xfId="1" applyNumberFormat="1" applyFont="1" applyFill="1" applyBorder="1" applyAlignment="1"/>
    <xf numFmtId="43" fontId="2" fillId="0" borderId="24" xfId="1" applyFont="1" applyFill="1" applyBorder="1"/>
    <xf numFmtId="43" fontId="2" fillId="0" borderId="8" xfId="1" applyFont="1" applyFill="1" applyBorder="1"/>
    <xf numFmtId="0" fontId="2" fillId="0" borderId="23" xfId="0" applyFont="1" applyFill="1" applyBorder="1" applyAlignment="1">
      <alignment horizontal="center"/>
    </xf>
    <xf numFmtId="0" fontId="2" fillId="0" borderId="14" xfId="0" applyFont="1" applyFill="1" applyBorder="1" applyAlignment="1"/>
    <xf numFmtId="164" fontId="2" fillId="0" borderId="14" xfId="1" applyNumberFormat="1" applyFont="1" applyFill="1" applyBorder="1" applyAlignment="1">
      <alignment horizontal="center"/>
    </xf>
    <xf numFmtId="43" fontId="0" fillId="0" borderId="0" xfId="0" applyNumberFormat="1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4" fillId="0" borderId="14" xfId="0" applyFont="1" applyFill="1" applyBorder="1"/>
    <xf numFmtId="164" fontId="4" fillId="0" borderId="14" xfId="1" applyNumberFormat="1" applyFont="1" applyFill="1" applyBorder="1"/>
    <xf numFmtId="0" fontId="4" fillId="0" borderId="22" xfId="0" applyFont="1" applyFill="1" applyBorder="1"/>
    <xf numFmtId="164" fontId="4" fillId="0" borderId="22" xfId="1" applyNumberFormat="1" applyFont="1" applyFill="1" applyBorder="1"/>
    <xf numFmtId="0" fontId="0" fillId="0" borderId="14" xfId="0" applyBorder="1"/>
    <xf numFmtId="0" fontId="0" fillId="0" borderId="22" xfId="0" applyBorder="1"/>
    <xf numFmtId="0" fontId="0" fillId="0" borderId="0" xfId="0" applyBorder="1"/>
    <xf numFmtId="0" fontId="4" fillId="0" borderId="27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/>
    <xf numFmtId="9" fontId="0" fillId="0" borderId="0" xfId="2" applyFont="1"/>
    <xf numFmtId="0" fontId="5" fillId="2" borderId="30" xfId="0" applyFont="1" applyFill="1" applyBorder="1"/>
    <xf numFmtId="0" fontId="5" fillId="2" borderId="31" xfId="0" applyFont="1" applyFill="1" applyBorder="1" applyAlignment="1">
      <alignment horizontal="center" vertical="center" wrapText="1"/>
    </xf>
    <xf numFmtId="0" fontId="5" fillId="2" borderId="31" xfId="0" applyFont="1" applyFill="1" applyBorder="1"/>
    <xf numFmtId="0" fontId="5" fillId="2" borderId="33" xfId="0" applyFont="1" applyFill="1" applyBorder="1"/>
    <xf numFmtId="0" fontId="5" fillId="2" borderId="38" xfId="0" applyFont="1" applyFill="1" applyBorder="1"/>
    <xf numFmtId="0" fontId="5" fillId="2" borderId="36" xfId="0" applyFont="1" applyFill="1" applyBorder="1" applyAlignment="1">
      <alignment horizontal="center" vertical="center" wrapText="1"/>
    </xf>
    <xf numFmtId="0" fontId="5" fillId="2" borderId="36" xfId="0" applyFont="1" applyFill="1" applyBorder="1"/>
    <xf numFmtId="0" fontId="5" fillId="2" borderId="39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37" xfId="0" applyFont="1" applyFill="1" applyBorder="1"/>
    <xf numFmtId="164" fontId="5" fillId="2" borderId="34" xfId="1" applyNumberFormat="1" applyFont="1" applyFill="1" applyBorder="1"/>
    <xf numFmtId="164" fontId="0" fillId="0" borderId="22" xfId="1" applyNumberFormat="1" applyFont="1" applyBorder="1"/>
    <xf numFmtId="43" fontId="0" fillId="0" borderId="22" xfId="0" applyNumberFormat="1" applyBorder="1"/>
    <xf numFmtId="0" fontId="6" fillId="0" borderId="0" xfId="0" applyFont="1"/>
    <xf numFmtId="2" fontId="0" fillId="0" borderId="22" xfId="0" applyNumberFormat="1" applyBorder="1"/>
    <xf numFmtId="0" fontId="5" fillId="2" borderId="41" xfId="0" applyFont="1" applyFill="1" applyBorder="1"/>
    <xf numFmtId="0" fontId="5" fillId="2" borderId="50" xfId="0" applyFont="1" applyFill="1" applyBorder="1" applyAlignment="1">
      <alignment horizontal="center"/>
    </xf>
    <xf numFmtId="2" fontId="0" fillId="0" borderId="47" xfId="0" applyNumberFormat="1" applyBorder="1"/>
    <xf numFmtId="2" fontId="0" fillId="0" borderId="36" xfId="0" applyNumberFormat="1" applyBorder="1"/>
    <xf numFmtId="2" fontId="0" fillId="0" borderId="37" xfId="0" applyNumberFormat="1" applyBorder="1"/>
    <xf numFmtId="2" fontId="0" fillId="0" borderId="52" xfId="0" applyNumberFormat="1" applyBorder="1"/>
    <xf numFmtId="2" fontId="0" fillId="0" borderId="41" xfId="0" applyNumberFormat="1" applyBorder="1"/>
    <xf numFmtId="0" fontId="5" fillId="2" borderId="49" xfId="0" applyFont="1" applyFill="1" applyBorder="1"/>
    <xf numFmtId="0" fontId="5" fillId="2" borderId="50" xfId="0" applyFont="1" applyFill="1" applyBorder="1"/>
    <xf numFmtId="0" fontId="0" fillId="0" borderId="53" xfId="0" applyBorder="1"/>
    <xf numFmtId="0" fontId="0" fillId="0" borderId="54" xfId="0" applyBorder="1"/>
    <xf numFmtId="0" fontId="5" fillId="2" borderId="55" xfId="0" applyFont="1" applyFill="1" applyBorder="1"/>
    <xf numFmtId="0" fontId="5" fillId="2" borderId="45" xfId="0" applyFont="1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5" fillId="2" borderId="49" xfId="0" applyFont="1" applyFill="1" applyBorder="1" applyAlignment="1">
      <alignment horizontal="center" vertical="center" wrapText="1"/>
    </xf>
    <xf numFmtId="0" fontId="5" fillId="2" borderId="50" xfId="0" applyFont="1" applyFill="1" applyBorder="1" applyAlignment="1">
      <alignment horizontal="center" vertical="center" wrapText="1"/>
    </xf>
    <xf numFmtId="0" fontId="0" fillId="0" borderId="59" xfId="0" applyBorder="1"/>
    <xf numFmtId="0" fontId="5" fillId="2" borderId="44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164" fontId="0" fillId="0" borderId="52" xfId="1" applyNumberFormat="1" applyFont="1" applyBorder="1"/>
    <xf numFmtId="164" fontId="0" fillId="0" borderId="60" xfId="1" applyNumberFormat="1" applyFont="1" applyBorder="1"/>
    <xf numFmtId="164" fontId="0" fillId="0" borderId="41" xfId="1" applyNumberFormat="1" applyFont="1" applyBorder="1"/>
    <xf numFmtId="164" fontId="0" fillId="0" borderId="46" xfId="1" applyNumberFormat="1" applyFont="1" applyBorder="1"/>
    <xf numFmtId="0" fontId="5" fillId="0" borderId="0" xfId="0" applyFont="1"/>
    <xf numFmtId="0" fontId="5" fillId="2" borderId="61" xfId="0" applyFont="1" applyFill="1" applyBorder="1" applyAlignment="1">
      <alignment horizontal="center"/>
    </xf>
    <xf numFmtId="0" fontId="5" fillId="2" borderId="61" xfId="0" applyFont="1" applyFill="1" applyBorder="1" applyAlignment="1">
      <alignment horizontal="center" vertical="center" wrapText="1"/>
    </xf>
    <xf numFmtId="0" fontId="0" fillId="0" borderId="0" xfId="0" quotePrefix="1"/>
    <xf numFmtId="2" fontId="0" fillId="0" borderId="60" xfId="0" applyNumberFormat="1" applyBorder="1"/>
    <xf numFmtId="2" fontId="0" fillId="0" borderId="46" xfId="0" applyNumberFormat="1" applyBorder="1"/>
    <xf numFmtId="0" fontId="8" fillId="0" borderId="0" xfId="0" applyFont="1"/>
    <xf numFmtId="0" fontId="0" fillId="0" borderId="0" xfId="0" applyFont="1"/>
    <xf numFmtId="0" fontId="0" fillId="0" borderId="51" xfId="0" applyFont="1" applyBorder="1"/>
    <xf numFmtId="0" fontId="7" fillId="0" borderId="0" xfId="0" applyFont="1"/>
    <xf numFmtId="0" fontId="0" fillId="0" borderId="57" xfId="0" applyFont="1" applyBorder="1"/>
    <xf numFmtId="0" fontId="5" fillId="2" borderId="55" xfId="0" applyFont="1" applyFill="1" applyBorder="1" applyAlignment="1">
      <alignment horizontal="center"/>
    </xf>
    <xf numFmtId="0" fontId="5" fillId="2" borderId="45" xfId="0" applyFont="1" applyFill="1" applyBorder="1" applyAlignment="1">
      <alignment horizontal="center"/>
    </xf>
    <xf numFmtId="1" fontId="0" fillId="0" borderId="25" xfId="0" applyNumberFormat="1" applyBorder="1"/>
    <xf numFmtId="0" fontId="0" fillId="0" borderId="27" xfId="0" applyBorder="1"/>
    <xf numFmtId="0" fontId="5" fillId="2" borderId="62" xfId="0" applyFont="1" applyFill="1" applyBorder="1"/>
    <xf numFmtId="0" fontId="5" fillId="2" borderId="63" xfId="0" applyFont="1" applyFill="1" applyBorder="1"/>
    <xf numFmtId="43" fontId="0" fillId="0" borderId="52" xfId="0" applyNumberFormat="1" applyBorder="1"/>
    <xf numFmtId="0" fontId="0" fillId="0" borderId="29" xfId="0" applyBorder="1"/>
    <xf numFmtId="0" fontId="5" fillId="2" borderId="61" xfId="0" applyFont="1" applyFill="1" applyBorder="1" applyAlignment="1">
      <alignment vertical="center"/>
    </xf>
    <xf numFmtId="0" fontId="5" fillId="2" borderId="50" xfId="0" applyFont="1" applyFill="1" applyBorder="1" applyAlignment="1">
      <alignment vertical="center"/>
    </xf>
    <xf numFmtId="0" fontId="0" fillId="0" borderId="64" xfId="0" applyBorder="1"/>
    <xf numFmtId="0" fontId="0" fillId="0" borderId="47" xfId="0" applyBorder="1"/>
    <xf numFmtId="0" fontId="0" fillId="0" borderId="38" xfId="0" applyBorder="1"/>
    <xf numFmtId="0" fontId="0" fillId="0" borderId="37" xfId="0" applyBorder="1"/>
    <xf numFmtId="43" fontId="0" fillId="0" borderId="47" xfId="0" applyNumberFormat="1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34" xfId="0" applyBorder="1"/>
    <xf numFmtId="164" fontId="0" fillId="0" borderId="36" xfId="1" applyNumberFormat="1" applyFont="1" applyBorder="1"/>
    <xf numFmtId="0" fontId="0" fillId="0" borderId="68" xfId="0" applyBorder="1"/>
    <xf numFmtId="43" fontId="0" fillId="0" borderId="41" xfId="0" applyNumberFormat="1" applyBorder="1"/>
    <xf numFmtId="43" fontId="0" fillId="0" borderId="36" xfId="0" applyNumberFormat="1" applyBorder="1"/>
    <xf numFmtId="43" fontId="0" fillId="0" borderId="37" xfId="0" applyNumberFormat="1" applyBorder="1"/>
    <xf numFmtId="0" fontId="5" fillId="3" borderId="53" xfId="0" applyFont="1" applyFill="1" applyBorder="1"/>
    <xf numFmtId="2" fontId="5" fillId="3" borderId="52" xfId="0" applyNumberFormat="1" applyFont="1" applyFill="1" applyBorder="1"/>
    <xf numFmtId="2" fontId="5" fillId="3" borderId="60" xfId="0" applyNumberFormat="1" applyFont="1" applyFill="1" applyBorder="1"/>
    <xf numFmtId="0" fontId="0" fillId="4" borderId="57" xfId="0" applyFill="1" applyBorder="1"/>
    <xf numFmtId="0" fontId="0" fillId="4" borderId="53" xfId="0" applyFill="1" applyBorder="1"/>
    <xf numFmtId="0" fontId="0" fillId="4" borderId="22" xfId="0" applyFill="1" applyBorder="1"/>
    <xf numFmtId="2" fontId="0" fillId="4" borderId="52" xfId="0" applyNumberFormat="1" applyFill="1" applyBorder="1"/>
    <xf numFmtId="2" fontId="0" fillId="4" borderId="22" xfId="0" applyNumberFormat="1" applyFill="1" applyBorder="1"/>
    <xf numFmtId="2" fontId="0" fillId="4" borderId="47" xfId="0" applyNumberFormat="1" applyFill="1" applyBorder="1"/>
    <xf numFmtId="0" fontId="5" fillId="4" borderId="36" xfId="0" applyFont="1" applyFill="1" applyBorder="1"/>
    <xf numFmtId="2" fontId="0" fillId="4" borderId="36" xfId="0" applyNumberFormat="1" applyFill="1" applyBorder="1"/>
    <xf numFmtId="43" fontId="2" fillId="0" borderId="0" xfId="1" applyFont="1" applyFill="1" applyBorder="1"/>
    <xf numFmtId="2" fontId="0" fillId="0" borderId="0" xfId="0" applyNumberFormat="1" applyFill="1" applyBorder="1"/>
    <xf numFmtId="43" fontId="5" fillId="3" borderId="0" xfId="1" applyFont="1" applyFill="1" applyBorder="1"/>
    <xf numFmtId="43" fontId="5" fillId="0" borderId="0" xfId="1" applyFont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43" fontId="3" fillId="0" borderId="18" xfId="1" applyFont="1" applyFill="1" applyBorder="1" applyAlignment="1">
      <alignment horizontal="center"/>
    </xf>
    <xf numFmtId="43" fontId="3" fillId="0" borderId="19" xfId="1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5" fillId="2" borderId="43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5" fillId="2" borderId="43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41"/>
  <sheetViews>
    <sheetView workbookViewId="0">
      <selection activeCell="G19" sqref="G19"/>
    </sheetView>
  </sheetViews>
  <sheetFormatPr defaultRowHeight="15"/>
  <cols>
    <col min="2" max="2" width="18.28515625" bestFit="1" customWidth="1"/>
    <col min="3" max="4" width="18.28515625" customWidth="1"/>
    <col min="5" max="5" width="15.28515625" bestFit="1" customWidth="1"/>
    <col min="6" max="6" width="13.28515625" bestFit="1" customWidth="1"/>
    <col min="8" max="8" width="11" bestFit="1" customWidth="1"/>
    <col min="9" max="9" width="12.28515625" bestFit="1" customWidth="1"/>
    <col min="10" max="10" width="9" bestFit="1" customWidth="1"/>
    <col min="14" max="16" width="9.85546875" bestFit="1" customWidth="1"/>
    <col min="19" max="19" width="9.5703125" bestFit="1" customWidth="1"/>
    <col min="21" max="21" width="11.5703125" bestFit="1" customWidth="1"/>
    <col min="22" max="22" width="9.5703125" bestFit="1" customWidth="1"/>
  </cols>
  <sheetData>
    <row r="2" spans="1:22">
      <c r="A2" t="s">
        <v>75</v>
      </c>
      <c r="E2">
        <v>150</v>
      </c>
      <c r="F2" t="s">
        <v>74</v>
      </c>
    </row>
    <row r="3" spans="1:22">
      <c r="A3" t="s">
        <v>76</v>
      </c>
      <c r="E3">
        <v>160</v>
      </c>
    </row>
    <row r="4" spans="1:22">
      <c r="A4" t="s">
        <v>73</v>
      </c>
      <c r="E4">
        <v>7.6</v>
      </c>
    </row>
    <row r="7" spans="1:22" ht="15.75" thickBot="1"/>
    <row r="8" spans="1:22" ht="15.75" thickTop="1">
      <c r="A8" s="1" t="s">
        <v>0</v>
      </c>
      <c r="B8" s="2" t="s">
        <v>1</v>
      </c>
      <c r="C8" s="2" t="s">
        <v>148</v>
      </c>
      <c r="D8" s="2" t="s">
        <v>149</v>
      </c>
      <c r="E8" s="2" t="s">
        <v>2</v>
      </c>
      <c r="F8" s="2" t="s">
        <v>3</v>
      </c>
      <c r="G8" s="2" t="s">
        <v>4</v>
      </c>
      <c r="H8" s="140" t="s">
        <v>5</v>
      </c>
      <c r="I8" s="141"/>
      <c r="J8" s="142"/>
      <c r="K8" s="2" t="s">
        <v>6</v>
      </c>
      <c r="L8" s="2" t="s">
        <v>7</v>
      </c>
      <c r="M8" s="140" t="s">
        <v>8</v>
      </c>
      <c r="N8" s="141"/>
      <c r="O8" s="142"/>
      <c r="P8" s="2" t="s">
        <v>4</v>
      </c>
      <c r="Q8" s="140" t="s">
        <v>9</v>
      </c>
      <c r="R8" s="143"/>
      <c r="S8" s="47" t="s">
        <v>72</v>
      </c>
      <c r="T8" s="47"/>
    </row>
    <row r="9" spans="1:22">
      <c r="A9" s="3"/>
      <c r="B9" s="4"/>
      <c r="C9" s="4"/>
      <c r="D9" s="4"/>
      <c r="E9" s="4"/>
      <c r="F9" s="4" t="s">
        <v>10</v>
      </c>
      <c r="G9" s="4" t="s">
        <v>11</v>
      </c>
      <c r="H9" s="4" t="s">
        <v>12</v>
      </c>
      <c r="I9" s="4" t="s">
        <v>13</v>
      </c>
      <c r="J9" s="4" t="s">
        <v>4</v>
      </c>
      <c r="K9" s="4" t="s">
        <v>14</v>
      </c>
      <c r="L9" s="4" t="s">
        <v>15</v>
      </c>
      <c r="M9" s="4" t="s">
        <v>14</v>
      </c>
      <c r="N9" s="4" t="s">
        <v>16</v>
      </c>
      <c r="O9" s="4" t="s">
        <v>17</v>
      </c>
      <c r="P9" s="4" t="s">
        <v>14</v>
      </c>
      <c r="Q9" s="4" t="s">
        <v>14</v>
      </c>
      <c r="R9" s="5" t="s">
        <v>18</v>
      </c>
      <c r="S9">
        <v>7.6</v>
      </c>
    </row>
    <row r="10" spans="1:22" ht="15.75" thickBot="1">
      <c r="A10" s="6"/>
      <c r="B10" s="7"/>
      <c r="C10" s="7"/>
      <c r="D10" s="7"/>
      <c r="E10" s="7"/>
      <c r="F10" s="7"/>
      <c r="G10" s="7"/>
      <c r="H10" s="7" t="s">
        <v>19</v>
      </c>
      <c r="I10" s="7" t="s">
        <v>20</v>
      </c>
      <c r="J10" s="7" t="s">
        <v>19</v>
      </c>
      <c r="K10" s="7" t="s">
        <v>21</v>
      </c>
      <c r="L10" s="7" t="s">
        <v>19</v>
      </c>
      <c r="M10" s="7" t="s">
        <v>22</v>
      </c>
      <c r="N10" s="7" t="s">
        <v>23</v>
      </c>
      <c r="O10" s="7" t="s">
        <v>24</v>
      </c>
      <c r="P10" s="7" t="s">
        <v>25</v>
      </c>
      <c r="Q10" s="8" t="s">
        <v>26</v>
      </c>
      <c r="R10" s="9" t="s">
        <v>26</v>
      </c>
      <c r="U10" t="s">
        <v>51</v>
      </c>
      <c r="V10" t="s">
        <v>52</v>
      </c>
    </row>
    <row r="11" spans="1:22" ht="15.75" thickTop="1">
      <c r="A11" s="10">
        <v>1</v>
      </c>
      <c r="B11" s="11" t="s">
        <v>27</v>
      </c>
      <c r="C11" s="11"/>
      <c r="D11" s="11"/>
      <c r="E11" s="31">
        <v>1500</v>
      </c>
      <c r="F11" s="30">
        <v>700</v>
      </c>
      <c r="G11" s="12">
        <f t="shared" ref="G11:G31" si="0">+I11/2</f>
        <v>5</v>
      </c>
      <c r="H11" s="12">
        <f t="shared" ref="H11:H31" si="1">+K11-L11-I11</f>
        <v>232.71</v>
      </c>
      <c r="I11" s="12">
        <v>10</v>
      </c>
      <c r="J11" s="12">
        <f t="shared" ref="J11:J31" si="2">+H11+I11</f>
        <v>242.71</v>
      </c>
      <c r="K11" s="12">
        <v>242.75</v>
      </c>
      <c r="L11" s="12">
        <v>0.04</v>
      </c>
      <c r="M11" s="12">
        <f>+O11/K11</f>
        <v>3.8502574665293512</v>
      </c>
      <c r="N11" s="12">
        <f t="shared" ref="N11:N31" si="3">256*G11*F11/1000</f>
        <v>896</v>
      </c>
      <c r="O11" s="12">
        <v>934.65</v>
      </c>
      <c r="P11" s="12">
        <v>812</v>
      </c>
      <c r="Q11" s="13">
        <f>P11/N11</f>
        <v>0.90625</v>
      </c>
      <c r="R11" s="14">
        <f>P11/O11</f>
        <v>0.86877440753223134</v>
      </c>
      <c r="S11" s="32">
        <f>S9*K11</f>
        <v>1844.8999999999999</v>
      </c>
      <c r="U11" s="32">
        <f>K11*I$41</f>
        <v>26997.525761671706</v>
      </c>
      <c r="V11" s="32">
        <f>U11/E11</f>
        <v>17.998350507781137</v>
      </c>
    </row>
    <row r="12" spans="1:22">
      <c r="A12" s="10">
        <f t="shared" ref="A12:A22" si="4">+A11+1</f>
        <v>2</v>
      </c>
      <c r="B12" s="11" t="s">
        <v>27</v>
      </c>
      <c r="C12" s="11"/>
      <c r="D12" s="11"/>
      <c r="E12" s="31">
        <v>1850</v>
      </c>
      <c r="F12" s="30">
        <v>700</v>
      </c>
      <c r="G12" s="12">
        <f t="shared" si="0"/>
        <v>19</v>
      </c>
      <c r="H12" s="12">
        <f t="shared" si="1"/>
        <v>1071.6499999999999</v>
      </c>
      <c r="I12" s="12">
        <v>38</v>
      </c>
      <c r="J12" s="12">
        <f t="shared" si="2"/>
        <v>1109.6499999999999</v>
      </c>
      <c r="K12" s="12">
        <v>1111.55</v>
      </c>
      <c r="L12" s="12">
        <v>1.9</v>
      </c>
      <c r="M12" s="12">
        <f t="shared" ref="M12:M31" si="5">+O12/K12</f>
        <v>3.1771670190274843</v>
      </c>
      <c r="N12" s="12">
        <f t="shared" si="3"/>
        <v>3404.8</v>
      </c>
      <c r="O12" s="12">
        <v>3531.58</v>
      </c>
      <c r="P12" s="12">
        <v>3219.3</v>
      </c>
      <c r="Q12" s="13">
        <f t="shared" ref="Q12:Q31" si="6">P12/N12</f>
        <v>0.94551809210526316</v>
      </c>
      <c r="R12" s="14">
        <f t="shared" ref="R12:R31" si="7">P12/O12</f>
        <v>0.91157498909836399</v>
      </c>
      <c r="U12" s="32">
        <f t="shared" ref="U12:U31" si="8">K12*I$41</f>
        <v>123621.42022816141</v>
      </c>
      <c r="V12" s="32">
        <f t="shared" ref="V12:V31" si="9">U12/E12</f>
        <v>66.822389312519689</v>
      </c>
    </row>
    <row r="13" spans="1:22">
      <c r="A13" s="10">
        <f t="shared" si="4"/>
        <v>3</v>
      </c>
      <c r="B13" s="11" t="s">
        <v>27</v>
      </c>
      <c r="C13" s="11"/>
      <c r="D13" s="11"/>
      <c r="E13" s="31">
        <v>2100</v>
      </c>
      <c r="F13" s="30">
        <v>700</v>
      </c>
      <c r="G13" s="15">
        <f t="shared" si="0"/>
        <v>11</v>
      </c>
      <c r="H13" s="15">
        <f t="shared" si="1"/>
        <v>651.59999999999991</v>
      </c>
      <c r="I13" s="15">
        <v>22</v>
      </c>
      <c r="J13" s="15">
        <f t="shared" si="2"/>
        <v>673.59999999999991</v>
      </c>
      <c r="K13" s="15">
        <v>674.3</v>
      </c>
      <c r="L13" s="15">
        <v>0.7</v>
      </c>
      <c r="M13" s="15">
        <f t="shared" si="5"/>
        <v>3.0251816698798759</v>
      </c>
      <c r="N13" s="12">
        <f t="shared" si="3"/>
        <v>1971.2</v>
      </c>
      <c r="O13" s="15">
        <v>2039.88</v>
      </c>
      <c r="P13" s="15">
        <v>1843.8</v>
      </c>
      <c r="Q13" s="13">
        <f t="shared" si="6"/>
        <v>0.93536931818181812</v>
      </c>
      <c r="R13" s="14">
        <f t="shared" si="7"/>
        <v>0.90387669862933107</v>
      </c>
      <c r="U13" s="32">
        <f t="shared" si="8"/>
        <v>74992.509252709497</v>
      </c>
      <c r="V13" s="32">
        <f t="shared" si="9"/>
        <v>35.710718691766424</v>
      </c>
    </row>
    <row r="14" spans="1:22">
      <c r="A14" s="10">
        <f t="shared" si="4"/>
        <v>4</v>
      </c>
      <c r="B14" s="11" t="s">
        <v>28</v>
      </c>
      <c r="C14" s="11"/>
      <c r="D14" s="11"/>
      <c r="E14" s="31">
        <v>500</v>
      </c>
      <c r="F14" s="30">
        <v>600</v>
      </c>
      <c r="G14" s="15">
        <f t="shared" si="0"/>
        <v>12</v>
      </c>
      <c r="H14" s="15">
        <f t="shared" si="1"/>
        <v>228.57</v>
      </c>
      <c r="I14" s="15">
        <v>24</v>
      </c>
      <c r="J14" s="15">
        <f t="shared" si="2"/>
        <v>252.57</v>
      </c>
      <c r="K14" s="15">
        <v>253.7</v>
      </c>
      <c r="L14" s="15">
        <v>1.1299999999999999</v>
      </c>
      <c r="M14" s="15">
        <f t="shared" si="5"/>
        <v>8.0640126133228218</v>
      </c>
      <c r="N14" s="15">
        <f t="shared" si="3"/>
        <v>1843.2</v>
      </c>
      <c r="O14" s="15">
        <v>2045.84</v>
      </c>
      <c r="P14" s="15">
        <v>1659.6</v>
      </c>
      <c r="Q14" s="13">
        <f t="shared" si="6"/>
        <v>0.90039062499999989</v>
      </c>
      <c r="R14" s="14">
        <f t="shared" si="7"/>
        <v>0.81120713252258236</v>
      </c>
      <c r="U14" s="32">
        <f t="shared" si="8"/>
        <v>28215.333823835681</v>
      </c>
      <c r="V14" s="32">
        <f t="shared" si="9"/>
        <v>56.430667647671363</v>
      </c>
    </row>
    <row r="15" spans="1:22">
      <c r="A15" s="10">
        <f t="shared" si="4"/>
        <v>5</v>
      </c>
      <c r="B15" s="11" t="s">
        <v>29</v>
      </c>
      <c r="C15" s="11"/>
      <c r="D15" s="11"/>
      <c r="E15" s="31">
        <v>1000</v>
      </c>
      <c r="F15" s="30">
        <v>700</v>
      </c>
      <c r="G15" s="12">
        <f t="shared" si="0"/>
        <v>24</v>
      </c>
      <c r="H15" s="12">
        <f t="shared" si="1"/>
        <v>1205.55</v>
      </c>
      <c r="I15" s="12">
        <v>48</v>
      </c>
      <c r="J15" s="12">
        <f t="shared" si="2"/>
        <v>1253.55</v>
      </c>
      <c r="K15" s="12">
        <v>1255.2</v>
      </c>
      <c r="L15" s="12">
        <v>1.65</v>
      </c>
      <c r="M15" s="12">
        <f t="shared" si="5"/>
        <v>3.5675111536010191</v>
      </c>
      <c r="N15" s="12">
        <f t="shared" si="3"/>
        <v>4300.8</v>
      </c>
      <c r="O15" s="12">
        <v>4477.9399999999996</v>
      </c>
      <c r="P15" s="12">
        <v>4060</v>
      </c>
      <c r="Q15" s="13">
        <f t="shared" si="6"/>
        <v>0.94401041666666663</v>
      </c>
      <c r="R15" s="14">
        <f t="shared" si="7"/>
        <v>0.90666690487143653</v>
      </c>
      <c r="U15" s="32">
        <f t="shared" si="8"/>
        <v>139597.50498887879</v>
      </c>
      <c r="V15" s="32">
        <f t="shared" si="9"/>
        <v>139.5975049888788</v>
      </c>
    </row>
    <row r="16" spans="1:22">
      <c r="A16" s="10">
        <f t="shared" si="4"/>
        <v>6</v>
      </c>
      <c r="B16" s="11" t="s">
        <v>30</v>
      </c>
      <c r="C16" s="11"/>
      <c r="D16" s="11"/>
      <c r="E16" s="31">
        <v>1000</v>
      </c>
      <c r="F16" s="30">
        <v>350</v>
      </c>
      <c r="G16" s="12">
        <f t="shared" si="0"/>
        <v>17</v>
      </c>
      <c r="H16" s="12">
        <f t="shared" si="1"/>
        <v>296.02000000000004</v>
      </c>
      <c r="I16" s="12">
        <v>34</v>
      </c>
      <c r="J16" s="12">
        <f t="shared" si="2"/>
        <v>330.02000000000004</v>
      </c>
      <c r="K16" s="12">
        <v>332.3</v>
      </c>
      <c r="L16" s="12">
        <v>2.2799999999999998</v>
      </c>
      <c r="M16" s="12">
        <f t="shared" si="5"/>
        <v>5.1455913331327112</v>
      </c>
      <c r="N16" s="12">
        <f t="shared" si="3"/>
        <v>1523.2</v>
      </c>
      <c r="O16" s="12">
        <v>1709.88</v>
      </c>
      <c r="P16" s="12">
        <v>1418.55</v>
      </c>
      <c r="Q16" s="13">
        <f t="shared" si="6"/>
        <v>0.93129595588235292</v>
      </c>
      <c r="R16" s="14">
        <f t="shared" si="7"/>
        <v>0.82961962242964415</v>
      </c>
      <c r="U16" s="32">
        <f t="shared" si="8"/>
        <v>36956.860187862032</v>
      </c>
      <c r="V16" s="32">
        <f t="shared" si="9"/>
        <v>36.956860187862034</v>
      </c>
    </row>
    <row r="17" spans="1:22">
      <c r="A17" s="10">
        <f t="shared" si="4"/>
        <v>7</v>
      </c>
      <c r="B17" s="11" t="s">
        <v>31</v>
      </c>
      <c r="C17" s="11"/>
      <c r="D17" s="11"/>
      <c r="E17" s="31">
        <v>1500</v>
      </c>
      <c r="F17" s="30">
        <v>675</v>
      </c>
      <c r="G17" s="12">
        <f t="shared" si="0"/>
        <v>2</v>
      </c>
      <c r="H17" s="12">
        <f t="shared" si="1"/>
        <v>142.86000000000001</v>
      </c>
      <c r="I17" s="12">
        <v>4</v>
      </c>
      <c r="J17" s="12">
        <f t="shared" si="2"/>
        <v>146.86000000000001</v>
      </c>
      <c r="K17" s="12">
        <v>146.9</v>
      </c>
      <c r="L17" s="12">
        <v>0.04</v>
      </c>
      <c r="M17" s="12">
        <f t="shared" si="5"/>
        <v>2.4191967324710686</v>
      </c>
      <c r="N17" s="12">
        <f t="shared" si="3"/>
        <v>345.6</v>
      </c>
      <c r="O17" s="12">
        <v>355.38</v>
      </c>
      <c r="P17" s="12">
        <v>315.23</v>
      </c>
      <c r="Q17" s="13">
        <f t="shared" si="6"/>
        <v>0.9121238425925926</v>
      </c>
      <c r="R17" s="14">
        <f t="shared" si="7"/>
        <v>0.88702234228150156</v>
      </c>
      <c r="U17" s="32">
        <f t="shared" si="8"/>
        <v>16337.534642181559</v>
      </c>
      <c r="V17" s="32">
        <f t="shared" si="9"/>
        <v>10.891689761454373</v>
      </c>
    </row>
    <row r="18" spans="1:22">
      <c r="A18" s="10">
        <f t="shared" si="4"/>
        <v>8</v>
      </c>
      <c r="B18" s="11" t="s">
        <v>32</v>
      </c>
      <c r="C18" s="11"/>
      <c r="D18" s="11"/>
      <c r="E18" s="31">
        <v>1600</v>
      </c>
      <c r="F18" s="30">
        <v>700</v>
      </c>
      <c r="G18" s="15">
        <f t="shared" si="0"/>
        <v>84</v>
      </c>
      <c r="H18" s="15">
        <f t="shared" si="1"/>
        <v>4861.1099999999997</v>
      </c>
      <c r="I18" s="15">
        <v>168</v>
      </c>
      <c r="J18" s="15">
        <f t="shared" si="2"/>
        <v>5029.1099999999997</v>
      </c>
      <c r="K18" s="15">
        <v>5040</v>
      </c>
      <c r="L18" s="15">
        <v>10.89</v>
      </c>
      <c r="M18" s="15">
        <f t="shared" si="5"/>
        <v>3.0965753968253966</v>
      </c>
      <c r="N18" s="15">
        <f t="shared" si="3"/>
        <v>15052.8</v>
      </c>
      <c r="O18" s="15">
        <v>15606.74</v>
      </c>
      <c r="P18" s="15">
        <v>14137.9</v>
      </c>
      <c r="Q18" s="13">
        <f t="shared" si="6"/>
        <v>0.93922061011904767</v>
      </c>
      <c r="R18" s="14">
        <f t="shared" si="7"/>
        <v>0.90588425257292682</v>
      </c>
      <c r="U18" s="32">
        <f t="shared" si="8"/>
        <v>560525.35463985743</v>
      </c>
      <c r="V18" s="32">
        <f t="shared" si="9"/>
        <v>350.32834664991088</v>
      </c>
    </row>
    <row r="19" spans="1:22">
      <c r="A19" s="10">
        <f t="shared" si="4"/>
        <v>9</v>
      </c>
      <c r="B19" s="11" t="s">
        <v>33</v>
      </c>
      <c r="C19" s="11"/>
      <c r="D19" s="11"/>
      <c r="E19" s="31">
        <v>800</v>
      </c>
      <c r="F19" s="30">
        <v>600</v>
      </c>
      <c r="G19" s="15">
        <f t="shared" si="0"/>
        <v>5</v>
      </c>
      <c r="H19" s="15">
        <f t="shared" si="1"/>
        <v>64.06</v>
      </c>
      <c r="I19" s="15">
        <v>10</v>
      </c>
      <c r="J19" s="15">
        <f t="shared" si="2"/>
        <v>74.06</v>
      </c>
      <c r="K19" s="15">
        <v>75</v>
      </c>
      <c r="L19" s="15">
        <v>0.94</v>
      </c>
      <c r="M19" s="15">
        <f t="shared" si="5"/>
        <v>11.988533333333333</v>
      </c>
      <c r="N19" s="15">
        <f t="shared" si="3"/>
        <v>768</v>
      </c>
      <c r="O19" s="15">
        <v>899.14</v>
      </c>
      <c r="P19" s="15">
        <v>555.6</v>
      </c>
      <c r="Q19" s="13">
        <f t="shared" si="6"/>
        <v>0.72343750000000007</v>
      </c>
      <c r="R19" s="14">
        <f t="shared" si="7"/>
        <v>0.61792379384745422</v>
      </c>
      <c r="U19" s="32">
        <f t="shared" si="8"/>
        <v>8341.1511107121642</v>
      </c>
      <c r="V19" s="32">
        <f t="shared" si="9"/>
        <v>10.426438888390205</v>
      </c>
    </row>
    <row r="20" spans="1:22">
      <c r="A20" s="10">
        <f t="shared" si="4"/>
        <v>10</v>
      </c>
      <c r="B20" s="11" t="s">
        <v>34</v>
      </c>
      <c r="C20" s="11"/>
      <c r="D20" s="11"/>
      <c r="E20" s="31">
        <v>1200</v>
      </c>
      <c r="F20" s="30">
        <v>750</v>
      </c>
      <c r="G20" s="15">
        <f t="shared" si="0"/>
        <v>128</v>
      </c>
      <c r="H20" s="15">
        <f t="shared" si="1"/>
        <v>5609.88</v>
      </c>
      <c r="I20" s="15">
        <v>256</v>
      </c>
      <c r="J20" s="15">
        <f t="shared" si="2"/>
        <v>5865.88</v>
      </c>
      <c r="K20" s="15">
        <v>5888</v>
      </c>
      <c r="L20" s="15">
        <v>22.12</v>
      </c>
      <c r="M20" s="15">
        <f t="shared" si="5"/>
        <v>4.3808423913043484</v>
      </c>
      <c r="N20" s="15">
        <f t="shared" si="3"/>
        <v>24576</v>
      </c>
      <c r="O20" s="15">
        <v>25794.400000000001</v>
      </c>
      <c r="P20" s="15">
        <v>22635.75</v>
      </c>
      <c r="Q20" s="13">
        <f t="shared" si="6"/>
        <v>0.921051025390625</v>
      </c>
      <c r="R20" s="14">
        <f t="shared" si="7"/>
        <v>0.87754512607387647</v>
      </c>
      <c r="U20" s="32">
        <f t="shared" si="8"/>
        <v>654835.96986497636</v>
      </c>
      <c r="V20" s="32">
        <f t="shared" si="9"/>
        <v>545.69664155414694</v>
      </c>
    </row>
    <row r="21" spans="1:22">
      <c r="A21" s="10">
        <f t="shared" si="4"/>
        <v>11</v>
      </c>
      <c r="B21" s="11" t="s">
        <v>35</v>
      </c>
      <c r="C21" s="11"/>
      <c r="D21" s="11"/>
      <c r="E21" s="31">
        <v>500</v>
      </c>
      <c r="F21" s="30">
        <v>500</v>
      </c>
      <c r="G21" s="12">
        <f t="shared" si="0"/>
        <v>20</v>
      </c>
      <c r="H21" s="12">
        <f t="shared" si="1"/>
        <v>296.63</v>
      </c>
      <c r="I21" s="12">
        <v>40</v>
      </c>
      <c r="J21" s="12">
        <f t="shared" si="2"/>
        <v>336.63</v>
      </c>
      <c r="K21" s="12">
        <v>340</v>
      </c>
      <c r="L21" s="12">
        <v>3.37</v>
      </c>
      <c r="M21" s="12">
        <f t="shared" si="5"/>
        <v>8.6302647058823521</v>
      </c>
      <c r="N21" s="12">
        <f t="shared" si="3"/>
        <v>2560</v>
      </c>
      <c r="O21" s="12">
        <v>2934.29</v>
      </c>
      <c r="P21" s="12">
        <v>2248.5</v>
      </c>
      <c r="Q21" s="13">
        <f t="shared" si="6"/>
        <v>0.87832031249999998</v>
      </c>
      <c r="R21" s="14">
        <f t="shared" si="7"/>
        <v>0.76628417777383973</v>
      </c>
      <c r="U21" s="32">
        <f t="shared" si="8"/>
        <v>37813.218368561815</v>
      </c>
      <c r="V21" s="32">
        <f t="shared" si="9"/>
        <v>75.626436737123626</v>
      </c>
    </row>
    <row r="22" spans="1:22">
      <c r="A22" s="10">
        <f t="shared" si="4"/>
        <v>12</v>
      </c>
      <c r="B22" s="11" t="s">
        <v>36</v>
      </c>
      <c r="C22" s="11"/>
      <c r="D22" s="11"/>
      <c r="E22" s="31">
        <v>500</v>
      </c>
      <c r="F22" s="30">
        <v>600</v>
      </c>
      <c r="G22" s="15">
        <f t="shared" si="0"/>
        <v>4</v>
      </c>
      <c r="H22" s="15">
        <f t="shared" si="1"/>
        <v>37.99</v>
      </c>
      <c r="I22" s="15">
        <v>8</v>
      </c>
      <c r="J22" s="15">
        <f t="shared" si="2"/>
        <v>45.99</v>
      </c>
      <c r="K22" s="15">
        <v>46.2</v>
      </c>
      <c r="L22" s="15">
        <v>0.21</v>
      </c>
      <c r="M22" s="15">
        <f t="shared" si="5"/>
        <v>14.553896103896102</v>
      </c>
      <c r="N22" s="15">
        <f t="shared" si="3"/>
        <v>614.4</v>
      </c>
      <c r="O22" s="15">
        <v>672.39</v>
      </c>
      <c r="P22" s="15">
        <v>570.78</v>
      </c>
      <c r="Q22" s="13">
        <f t="shared" si="6"/>
        <v>0.92900390624999996</v>
      </c>
      <c r="R22" s="14">
        <f t="shared" si="7"/>
        <v>0.84888234506759463</v>
      </c>
      <c r="U22" s="32">
        <f t="shared" si="8"/>
        <v>5138.1490841986933</v>
      </c>
      <c r="V22" s="32">
        <f t="shared" si="9"/>
        <v>10.276298168397387</v>
      </c>
    </row>
    <row r="23" spans="1:22">
      <c r="A23" s="16">
        <v>13</v>
      </c>
      <c r="B23" s="17" t="s">
        <v>37</v>
      </c>
      <c r="C23" s="17"/>
      <c r="D23" s="17"/>
      <c r="E23" s="31">
        <v>1804</v>
      </c>
      <c r="F23" s="30">
        <v>750</v>
      </c>
      <c r="G23" s="12">
        <f t="shared" si="0"/>
        <v>6</v>
      </c>
      <c r="H23" s="12">
        <f t="shared" si="1"/>
        <v>752.36</v>
      </c>
      <c r="I23" s="12">
        <v>12</v>
      </c>
      <c r="J23" s="12">
        <f t="shared" si="2"/>
        <v>764.36</v>
      </c>
      <c r="K23" s="12">
        <v>764.4</v>
      </c>
      <c r="L23" s="12">
        <v>0.04</v>
      </c>
      <c r="M23" s="12">
        <f t="shared" si="5"/>
        <v>1.5311747776033491</v>
      </c>
      <c r="N23" s="12">
        <f t="shared" si="3"/>
        <v>1152</v>
      </c>
      <c r="O23" s="12">
        <v>1170.43</v>
      </c>
      <c r="P23" s="12">
        <v>1055.25</v>
      </c>
      <c r="Q23" s="13">
        <f t="shared" si="6"/>
        <v>0.916015625</v>
      </c>
      <c r="R23" s="14">
        <f t="shared" si="7"/>
        <v>0.90159172270020416</v>
      </c>
      <c r="U23" s="32">
        <f t="shared" si="8"/>
        <v>85013.012120378378</v>
      </c>
      <c r="V23" s="32">
        <f t="shared" si="9"/>
        <v>47.124729556750765</v>
      </c>
    </row>
    <row r="24" spans="1:22">
      <c r="A24" s="10">
        <v>1</v>
      </c>
      <c r="B24" s="12" t="s">
        <v>27</v>
      </c>
      <c r="C24" s="12"/>
      <c r="D24" s="12"/>
      <c r="E24" s="22">
        <v>1200</v>
      </c>
      <c r="F24" s="22">
        <v>700</v>
      </c>
      <c r="G24" s="12">
        <f t="shared" si="0"/>
        <v>41</v>
      </c>
      <c r="H24" s="23">
        <f t="shared" si="1"/>
        <v>1554.15</v>
      </c>
      <c r="I24" s="12">
        <v>82</v>
      </c>
      <c r="J24" s="12">
        <f t="shared" si="2"/>
        <v>1636.15</v>
      </c>
      <c r="K24" s="12">
        <v>1640</v>
      </c>
      <c r="L24" s="12">
        <v>3.85</v>
      </c>
      <c r="M24" s="12">
        <f t="shared" si="5"/>
        <v>4.727469512195122</v>
      </c>
      <c r="N24" s="12">
        <f t="shared" si="3"/>
        <v>7347.2</v>
      </c>
      <c r="O24" s="12">
        <v>7753.05</v>
      </c>
      <c r="P24" s="12">
        <v>6585.6</v>
      </c>
      <c r="Q24" s="13">
        <f t="shared" si="6"/>
        <v>0.89634146341463417</v>
      </c>
      <c r="R24" s="14">
        <f t="shared" si="7"/>
        <v>0.84942055062201327</v>
      </c>
      <c r="U24" s="32">
        <f t="shared" si="8"/>
        <v>182393.17095423932</v>
      </c>
      <c r="V24" s="32">
        <f t="shared" si="9"/>
        <v>151.99430912853276</v>
      </c>
    </row>
    <row r="25" spans="1:22">
      <c r="A25" s="10">
        <f t="shared" ref="A25:A31" si="10">+A24+1</f>
        <v>2</v>
      </c>
      <c r="B25" s="12" t="s">
        <v>27</v>
      </c>
      <c r="C25" s="12"/>
      <c r="D25" s="12"/>
      <c r="E25" s="22">
        <v>1500</v>
      </c>
      <c r="F25" s="22">
        <v>700</v>
      </c>
      <c r="G25" s="12">
        <f t="shared" si="0"/>
        <v>128</v>
      </c>
      <c r="H25" s="23">
        <f t="shared" si="1"/>
        <v>7490.7000000000007</v>
      </c>
      <c r="I25" s="12">
        <f>116+108+32</f>
        <v>256</v>
      </c>
      <c r="J25" s="12">
        <f t="shared" si="2"/>
        <v>7746.7000000000007</v>
      </c>
      <c r="K25" s="12">
        <f>3729.4+3256.2+776.8</f>
        <v>7762.4000000000005</v>
      </c>
      <c r="L25" s="12">
        <f>9+6.58+0.12</f>
        <v>15.7</v>
      </c>
      <c r="M25" s="12">
        <f t="shared" si="5"/>
        <v>3.0627937235906422</v>
      </c>
      <c r="N25" s="12">
        <f t="shared" si="3"/>
        <v>22937.599999999999</v>
      </c>
      <c r="O25" s="12">
        <f>10754.04+10029.72+2990.87</f>
        <v>23774.63</v>
      </c>
      <c r="P25" s="12">
        <f>9809.1+9258.9+2741.9</f>
        <v>21809.9</v>
      </c>
      <c r="Q25" s="13">
        <f t="shared" si="6"/>
        <v>0.95083618164062511</v>
      </c>
      <c r="R25" s="14">
        <f t="shared" si="7"/>
        <v>0.91736022810870244</v>
      </c>
      <c r="U25" s="32">
        <f t="shared" si="8"/>
        <v>863298.01842389477</v>
      </c>
      <c r="V25" s="32">
        <f t="shared" si="9"/>
        <v>575.5320122825965</v>
      </c>
    </row>
    <row r="26" spans="1:22">
      <c r="A26" s="10">
        <f t="shared" si="10"/>
        <v>3</v>
      </c>
      <c r="B26" s="12" t="s">
        <v>27</v>
      </c>
      <c r="C26" s="12"/>
      <c r="D26" s="12"/>
      <c r="E26" s="22">
        <v>1850</v>
      </c>
      <c r="F26" s="22">
        <v>700</v>
      </c>
      <c r="G26" s="12">
        <f t="shared" si="0"/>
        <v>131</v>
      </c>
      <c r="H26" s="12">
        <f t="shared" si="1"/>
        <v>7458</v>
      </c>
      <c r="I26" s="12">
        <f>10+252</f>
        <v>262</v>
      </c>
      <c r="J26" s="12">
        <f t="shared" si="2"/>
        <v>7720</v>
      </c>
      <c r="K26" s="12">
        <f>361.5+7371</f>
        <v>7732.5</v>
      </c>
      <c r="L26" s="12">
        <f>0.21+12.29</f>
        <v>12.5</v>
      </c>
      <c r="M26" s="12">
        <f t="shared" si="5"/>
        <v>3.1478745554477858</v>
      </c>
      <c r="N26" s="12">
        <f t="shared" si="3"/>
        <v>23475.200000000001</v>
      </c>
      <c r="O26" s="12">
        <f>922.04+23418.9</f>
        <v>24340.940000000002</v>
      </c>
      <c r="P26" s="12">
        <f>847.7+19363.4</f>
        <v>20211.100000000002</v>
      </c>
      <c r="Q26" s="13">
        <f t="shared" si="6"/>
        <v>0.8609553912213741</v>
      </c>
      <c r="R26" s="14">
        <f t="shared" si="7"/>
        <v>0.83033358613102037</v>
      </c>
      <c r="U26" s="32">
        <f t="shared" si="8"/>
        <v>859972.67951442418</v>
      </c>
      <c r="V26" s="32">
        <f t="shared" si="9"/>
        <v>464.85009703482388</v>
      </c>
    </row>
    <row r="27" spans="1:22">
      <c r="A27" s="10">
        <f t="shared" si="10"/>
        <v>4</v>
      </c>
      <c r="B27" s="12" t="s">
        <v>39</v>
      </c>
      <c r="C27" s="12"/>
      <c r="D27" s="12"/>
      <c r="E27" s="22">
        <v>1000</v>
      </c>
      <c r="F27" s="22">
        <v>510</v>
      </c>
      <c r="G27" s="12">
        <f t="shared" si="0"/>
        <v>12</v>
      </c>
      <c r="H27" s="23">
        <f t="shared" si="1"/>
        <v>258.36</v>
      </c>
      <c r="I27" s="12">
        <v>24</v>
      </c>
      <c r="J27" s="12">
        <f t="shared" si="2"/>
        <v>282.36</v>
      </c>
      <c r="K27" s="12">
        <v>282.60000000000002</v>
      </c>
      <c r="L27" s="12">
        <v>0.24</v>
      </c>
      <c r="M27" s="12">
        <f t="shared" si="5"/>
        <v>6.064118895966029</v>
      </c>
      <c r="N27" s="12">
        <f t="shared" si="3"/>
        <v>1566.72</v>
      </c>
      <c r="O27" s="12">
        <v>1713.72</v>
      </c>
      <c r="P27" s="12">
        <v>1253.58</v>
      </c>
      <c r="Q27" s="13">
        <f t="shared" si="6"/>
        <v>0.80013020833333326</v>
      </c>
      <c r="R27" s="14">
        <f t="shared" si="7"/>
        <v>0.73149639380995723</v>
      </c>
      <c r="U27" s="32">
        <f t="shared" si="8"/>
        <v>31429.457385163438</v>
      </c>
      <c r="V27" s="32">
        <f t="shared" si="9"/>
        <v>31.429457385163438</v>
      </c>
    </row>
    <row r="28" spans="1:22">
      <c r="A28" s="10">
        <f t="shared" si="10"/>
        <v>5</v>
      </c>
      <c r="B28" s="12" t="s">
        <v>40</v>
      </c>
      <c r="C28" s="12"/>
      <c r="D28" s="12"/>
      <c r="E28" s="22">
        <v>500</v>
      </c>
      <c r="F28" s="22">
        <v>650</v>
      </c>
      <c r="G28" s="15">
        <f t="shared" si="0"/>
        <v>18</v>
      </c>
      <c r="H28" s="24">
        <f t="shared" si="1"/>
        <v>176.31</v>
      </c>
      <c r="I28" s="15">
        <v>36</v>
      </c>
      <c r="J28" s="15">
        <f t="shared" si="2"/>
        <v>212.31</v>
      </c>
      <c r="K28" s="15">
        <v>216</v>
      </c>
      <c r="L28" s="15">
        <v>3.69</v>
      </c>
      <c r="M28" s="15">
        <f t="shared" si="5"/>
        <v>16.988148148148149</v>
      </c>
      <c r="N28" s="15">
        <f t="shared" si="3"/>
        <v>2995.2</v>
      </c>
      <c r="O28" s="15">
        <v>3669.44</v>
      </c>
      <c r="P28" s="15">
        <v>2748.2</v>
      </c>
      <c r="Q28" s="13">
        <f t="shared" si="6"/>
        <v>0.91753472222222221</v>
      </c>
      <c r="R28" s="14">
        <f t="shared" si="7"/>
        <v>0.74894261794715267</v>
      </c>
      <c r="U28" s="32">
        <f t="shared" si="8"/>
        <v>24022.515198851033</v>
      </c>
      <c r="V28" s="32">
        <f t="shared" si="9"/>
        <v>48.045030397702064</v>
      </c>
    </row>
    <row r="29" spans="1:22">
      <c r="A29" s="10">
        <f t="shared" si="10"/>
        <v>6</v>
      </c>
      <c r="B29" s="12" t="s">
        <v>40</v>
      </c>
      <c r="C29" s="12"/>
      <c r="D29" s="12"/>
      <c r="E29" s="22">
        <v>800</v>
      </c>
      <c r="F29" s="22">
        <v>650</v>
      </c>
      <c r="G29" s="12">
        <f t="shared" si="0"/>
        <v>37</v>
      </c>
      <c r="H29" s="23">
        <f t="shared" si="1"/>
        <v>530.19999999999993</v>
      </c>
      <c r="I29" s="12">
        <v>74</v>
      </c>
      <c r="J29" s="12">
        <f t="shared" si="2"/>
        <v>604.19999999999993</v>
      </c>
      <c r="K29" s="12">
        <v>606.79999999999995</v>
      </c>
      <c r="L29" s="12">
        <v>2.6</v>
      </c>
      <c r="M29" s="12">
        <f t="shared" si="5"/>
        <v>11.612162162162164</v>
      </c>
      <c r="N29" s="12">
        <f t="shared" si="3"/>
        <v>6156.8</v>
      </c>
      <c r="O29" s="12">
        <v>7046.26</v>
      </c>
      <c r="P29" s="12">
        <v>5257.2</v>
      </c>
      <c r="Q29" s="13">
        <f t="shared" si="6"/>
        <v>0.85388513513513509</v>
      </c>
      <c r="R29" s="14">
        <f t="shared" si="7"/>
        <v>0.74609792996568391</v>
      </c>
      <c r="U29" s="32">
        <f t="shared" si="8"/>
        <v>67485.473253068543</v>
      </c>
      <c r="V29" s="32">
        <f t="shared" si="9"/>
        <v>84.356841566335675</v>
      </c>
    </row>
    <row r="30" spans="1:22">
      <c r="A30" s="10">
        <f t="shared" si="10"/>
        <v>7</v>
      </c>
      <c r="B30" s="12" t="s">
        <v>40</v>
      </c>
      <c r="C30" s="12"/>
      <c r="D30" s="12"/>
      <c r="E30" s="22">
        <v>1300</v>
      </c>
      <c r="F30" s="22">
        <v>650</v>
      </c>
      <c r="G30" s="12">
        <f t="shared" si="0"/>
        <v>29</v>
      </c>
      <c r="H30" s="12">
        <f t="shared" si="1"/>
        <v>615.98</v>
      </c>
      <c r="I30" s="12">
        <v>58</v>
      </c>
      <c r="J30" s="12">
        <f t="shared" si="2"/>
        <v>673.98</v>
      </c>
      <c r="K30" s="12">
        <v>675.7</v>
      </c>
      <c r="L30" s="12">
        <v>1.72</v>
      </c>
      <c r="M30" s="12">
        <f t="shared" si="5"/>
        <v>7.8340683735385515</v>
      </c>
      <c r="N30" s="12">
        <f t="shared" si="3"/>
        <v>4825.6000000000004</v>
      </c>
      <c r="O30" s="12">
        <v>5293.48</v>
      </c>
      <c r="P30" s="12">
        <v>4351.1000000000004</v>
      </c>
      <c r="Q30" s="13">
        <f t="shared" si="6"/>
        <v>0.90167025862068961</v>
      </c>
      <c r="R30" s="14">
        <f t="shared" si="7"/>
        <v>0.82197344657956595</v>
      </c>
      <c r="U30" s="32">
        <f t="shared" si="8"/>
        <v>75148.210740109469</v>
      </c>
      <c r="V30" s="32">
        <f t="shared" si="9"/>
        <v>57.806315953930358</v>
      </c>
    </row>
    <row r="31" spans="1:22">
      <c r="A31" s="10">
        <f t="shared" si="10"/>
        <v>8</v>
      </c>
      <c r="B31" s="12" t="s">
        <v>41</v>
      </c>
      <c r="C31" s="12"/>
      <c r="D31" s="12"/>
      <c r="E31" s="22">
        <v>1200</v>
      </c>
      <c r="F31" s="22">
        <v>650</v>
      </c>
      <c r="G31" s="12">
        <f t="shared" si="0"/>
        <v>49</v>
      </c>
      <c r="H31" s="12">
        <f t="shared" si="1"/>
        <v>849.32999999999993</v>
      </c>
      <c r="I31" s="12">
        <v>98</v>
      </c>
      <c r="J31" s="12">
        <f t="shared" si="2"/>
        <v>947.32999999999993</v>
      </c>
      <c r="K31" s="12">
        <v>953.05</v>
      </c>
      <c r="L31" s="12">
        <v>5.72</v>
      </c>
      <c r="M31" s="12">
        <f t="shared" si="5"/>
        <v>9.6000000000000014</v>
      </c>
      <c r="N31" s="12">
        <f t="shared" si="3"/>
        <v>8153.6</v>
      </c>
      <c r="O31" s="12">
        <v>9149.2800000000007</v>
      </c>
      <c r="P31" s="12">
        <v>6782.1</v>
      </c>
      <c r="Q31" s="13">
        <f t="shared" si="6"/>
        <v>0.83179209183673475</v>
      </c>
      <c r="R31" s="14">
        <f t="shared" si="7"/>
        <v>0.74127144431037195</v>
      </c>
      <c r="U31" s="32">
        <f t="shared" si="8"/>
        <v>105993.78754752304</v>
      </c>
      <c r="V31" s="32">
        <f t="shared" si="9"/>
        <v>88.328156289602532</v>
      </c>
    </row>
    <row r="32" spans="1:22" ht="15.75" thickBot="1">
      <c r="A32" s="16"/>
      <c r="B32" s="25"/>
      <c r="C32" s="136"/>
      <c r="D32" s="136"/>
      <c r="E32" s="26">
        <f>AVERAGE(E11:E31)</f>
        <v>1200.1904761904761</v>
      </c>
      <c r="F32" s="26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4"/>
      <c r="R32" s="29"/>
    </row>
    <row r="33" spans="1:22" ht="15.75" thickBot="1">
      <c r="A33" s="18"/>
      <c r="B33" s="144" t="s">
        <v>38</v>
      </c>
      <c r="C33" s="145"/>
      <c r="D33" s="145"/>
      <c r="E33" s="145"/>
      <c r="F33" s="145"/>
      <c r="G33" s="19">
        <f t="shared" ref="G33" si="11">SUM(G24:G31)</f>
        <v>445</v>
      </c>
      <c r="H33" s="20">
        <f t="shared" ref="H33:O33" si="12">SUM(H11:H31)</f>
        <v>34384.020000000004</v>
      </c>
      <c r="I33" s="20">
        <f t="shared" si="12"/>
        <v>1564</v>
      </c>
      <c r="J33" s="20">
        <f t="shared" si="12"/>
        <v>35948.019999999997</v>
      </c>
      <c r="K33" s="20">
        <f t="shared" si="12"/>
        <v>36039.350000000006</v>
      </c>
      <c r="L33" s="20">
        <f t="shared" si="12"/>
        <v>91.329999999999984</v>
      </c>
      <c r="M33" s="20">
        <f t="shared" si="12"/>
        <v>136.46684006785767</v>
      </c>
      <c r="N33" s="20">
        <f t="shared" si="12"/>
        <v>136465.91999999998</v>
      </c>
      <c r="O33" s="20">
        <f t="shared" si="12"/>
        <v>144913.34</v>
      </c>
      <c r="P33" s="20">
        <f>SUM(P11:P31)</f>
        <v>123531.04000000001</v>
      </c>
      <c r="Q33" s="21">
        <f>+P33/N33</f>
        <v>0.90521530943403317</v>
      </c>
      <c r="R33" s="21">
        <f>+P33/O33</f>
        <v>0.85244767665971966</v>
      </c>
      <c r="V33" s="32">
        <f>SUM(V11:V32)</f>
        <v>2906.2292926913415</v>
      </c>
    </row>
    <row r="34" spans="1:22" ht="15.75" thickTop="1"/>
    <row r="35" spans="1:22">
      <c r="B35" t="s">
        <v>42</v>
      </c>
      <c r="F35" s="32">
        <f>H33+I33+J33</f>
        <v>71896.040000000008</v>
      </c>
      <c r="G35" t="s">
        <v>43</v>
      </c>
      <c r="I35" s="32">
        <f>K33</f>
        <v>36039.350000000006</v>
      </c>
    </row>
    <row r="36" spans="1:22">
      <c r="F36" s="32">
        <f>F35/150</f>
        <v>479.3069333333334</v>
      </c>
      <c r="G36" t="s">
        <v>44</v>
      </c>
      <c r="I36" s="32">
        <f>I35/150</f>
        <v>240.26233333333337</v>
      </c>
    </row>
    <row r="37" spans="1:22">
      <c r="F37" s="32">
        <f>F36/24</f>
        <v>19.971122222222224</v>
      </c>
      <c r="G37" t="s">
        <v>45</v>
      </c>
    </row>
    <row r="38" spans="1:22">
      <c r="B38" t="s">
        <v>46</v>
      </c>
      <c r="E38" s="34">
        <v>140795118.3772966</v>
      </c>
    </row>
    <row r="39" spans="1:22">
      <c r="B39" t="s">
        <v>47</v>
      </c>
      <c r="E39" s="34">
        <v>197354285.18639234</v>
      </c>
    </row>
    <row r="40" spans="1:22">
      <c r="B40" t="s">
        <v>48</v>
      </c>
      <c r="E40" s="34">
        <v>263069925</v>
      </c>
    </row>
    <row r="41" spans="1:22">
      <c r="E41" s="35">
        <f>SUM(E38:E40)</f>
        <v>601219328.56368899</v>
      </c>
      <c r="F41" s="33">
        <f>E41/F35/150</f>
        <v>55.74895164033039</v>
      </c>
      <c r="G41" t="s">
        <v>49</v>
      </c>
      <c r="I41" s="36">
        <f>E41/I35/150</f>
        <v>111.21534814282886</v>
      </c>
      <c r="J41" t="s">
        <v>50</v>
      </c>
    </row>
  </sheetData>
  <mergeCells count="4">
    <mergeCell ref="H8:J8"/>
    <mergeCell ref="M8:O8"/>
    <mergeCell ref="Q8:R8"/>
    <mergeCell ref="B33:F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I38"/>
  <sheetViews>
    <sheetView workbookViewId="0">
      <selection activeCell="G18" sqref="G18"/>
    </sheetView>
  </sheetViews>
  <sheetFormatPr defaultRowHeight="15"/>
  <cols>
    <col min="1" max="1" width="15.5703125" bestFit="1" customWidth="1"/>
  </cols>
  <sheetData>
    <row r="2" spans="1:5">
      <c r="A2" t="s">
        <v>77</v>
      </c>
      <c r="B2" t="s">
        <v>79</v>
      </c>
      <c r="C2" t="s">
        <v>82</v>
      </c>
      <c r="D2" t="s">
        <v>80</v>
      </c>
      <c r="E2" t="s">
        <v>2</v>
      </c>
    </row>
    <row r="3" spans="1:5">
      <c r="A3" t="s">
        <v>78</v>
      </c>
      <c r="B3">
        <v>492</v>
      </c>
      <c r="C3">
        <v>1</v>
      </c>
      <c r="D3">
        <v>3.3</v>
      </c>
    </row>
    <row r="4" spans="1:5">
      <c r="A4" t="s">
        <v>81</v>
      </c>
      <c r="B4">
        <v>256</v>
      </c>
      <c r="C4">
        <v>160</v>
      </c>
      <c r="D4">
        <v>7.8</v>
      </c>
    </row>
    <row r="6" spans="1:5">
      <c r="A6" t="s">
        <v>83</v>
      </c>
    </row>
    <row r="7" spans="1:5">
      <c r="A7" t="s">
        <v>9</v>
      </c>
      <c r="B7" s="49">
        <v>0.75</v>
      </c>
    </row>
    <row r="8" spans="1:5">
      <c r="A8" t="s">
        <v>84</v>
      </c>
      <c r="B8">
        <v>7000</v>
      </c>
    </row>
    <row r="9" spans="1:5">
      <c r="A9" t="s">
        <v>85</v>
      </c>
      <c r="B9">
        <v>256</v>
      </c>
    </row>
    <row r="10" spans="1:5">
      <c r="A10" t="s">
        <v>86</v>
      </c>
      <c r="B10">
        <v>5</v>
      </c>
    </row>
    <row r="11" spans="1:5">
      <c r="A11" t="s">
        <v>87</v>
      </c>
      <c r="B11">
        <v>190</v>
      </c>
    </row>
    <row r="12" spans="1:5">
      <c r="A12" t="s">
        <v>88</v>
      </c>
      <c r="B12">
        <v>1200</v>
      </c>
    </row>
    <row r="13" spans="1:5">
      <c r="A13" t="s">
        <v>17</v>
      </c>
      <c r="B13">
        <f>4*1440</f>
        <v>5760</v>
      </c>
    </row>
    <row r="14" spans="1:5">
      <c r="A14" t="s">
        <v>14</v>
      </c>
      <c r="B14" s="33">
        <f>B8*B13*B9*B10*B11*B7*1.08/(B12*9000000)</f>
        <v>735.43680000000006</v>
      </c>
      <c r="C14" t="s">
        <v>89</v>
      </c>
    </row>
    <row r="15" spans="1:5">
      <c r="A15" t="s">
        <v>90</v>
      </c>
      <c r="B15">
        <f>651+69.91</f>
        <v>720.91</v>
      </c>
    </row>
    <row r="16" spans="1:5">
      <c r="A16" t="s">
        <v>91</v>
      </c>
      <c r="B16">
        <f>B14/B15</f>
        <v>1.0201506429373988</v>
      </c>
    </row>
    <row r="17" spans="1:9">
      <c r="B17" s="146" t="s">
        <v>53</v>
      </c>
      <c r="C17" s="147"/>
      <c r="D17" s="147"/>
      <c r="E17" s="147"/>
      <c r="F17" s="147"/>
      <c r="G17" s="147"/>
      <c r="H17" s="37" t="s">
        <v>39</v>
      </c>
      <c r="I17" s="37" t="s">
        <v>56</v>
      </c>
    </row>
    <row r="18" spans="1:9">
      <c r="B18" s="37" t="s">
        <v>54</v>
      </c>
      <c r="C18" s="37"/>
      <c r="D18" s="38">
        <v>1200</v>
      </c>
      <c r="E18" s="38">
        <v>1500</v>
      </c>
      <c r="F18" s="38">
        <v>1850</v>
      </c>
      <c r="G18" s="38">
        <v>2100</v>
      </c>
      <c r="H18" s="38">
        <v>1000</v>
      </c>
    </row>
    <row r="19" spans="1:9">
      <c r="A19" s="37" t="s">
        <v>69</v>
      </c>
      <c r="B19" s="37"/>
      <c r="C19" s="37"/>
      <c r="D19" s="41"/>
      <c r="E19" s="41"/>
      <c r="F19" s="41"/>
      <c r="G19" s="41"/>
    </row>
    <row r="20" spans="1:9">
      <c r="A20" s="37" t="s">
        <v>70</v>
      </c>
      <c r="B20" s="37"/>
      <c r="C20" s="37"/>
      <c r="D20" s="41"/>
      <c r="E20" s="41"/>
      <c r="F20" s="41"/>
      <c r="G20" s="41"/>
    </row>
    <row r="21" spans="1:9">
      <c r="A21" s="37" t="s">
        <v>71</v>
      </c>
      <c r="B21" s="37"/>
      <c r="C21" s="37"/>
      <c r="D21" s="41"/>
      <c r="E21" s="41"/>
      <c r="F21" s="41"/>
      <c r="G21" s="41"/>
    </row>
    <row r="22" spans="1:9">
      <c r="A22" s="39"/>
      <c r="B22" s="39"/>
      <c r="C22" s="39"/>
      <c r="D22" s="42"/>
      <c r="E22" s="41"/>
      <c r="F22" s="41"/>
      <c r="G22" s="43"/>
    </row>
    <row r="23" spans="1:9">
      <c r="A23" s="39"/>
      <c r="B23" s="44" t="s">
        <v>55</v>
      </c>
      <c r="C23" s="45"/>
      <c r="D23" s="45"/>
      <c r="E23" s="45"/>
      <c r="F23" s="46"/>
      <c r="G23" s="43"/>
    </row>
    <row r="24" spans="1:9">
      <c r="B24" s="39" t="s">
        <v>56</v>
      </c>
      <c r="C24" s="39"/>
      <c r="D24" s="40">
        <v>1300</v>
      </c>
      <c r="E24" s="38">
        <v>800</v>
      </c>
      <c r="F24" s="38">
        <v>500</v>
      </c>
    </row>
    <row r="25" spans="1:9">
      <c r="A25" s="37"/>
      <c r="B25" s="37"/>
      <c r="C25" s="48"/>
    </row>
    <row r="26" spans="1:9">
      <c r="A26" s="37"/>
      <c r="B26" s="37"/>
      <c r="C26" s="48"/>
    </row>
    <row r="28" spans="1:9">
      <c r="A28" s="37" t="s">
        <v>57</v>
      </c>
      <c r="B28" s="37" t="s">
        <v>58</v>
      </c>
      <c r="C28" s="37"/>
      <c r="D28" s="38">
        <v>1000</v>
      </c>
    </row>
    <row r="29" spans="1:9">
      <c r="A29" s="37" t="s">
        <v>41</v>
      </c>
      <c r="B29" s="37" t="s">
        <v>59</v>
      </c>
      <c r="C29" s="37"/>
      <c r="D29" s="38">
        <v>1200</v>
      </c>
    </row>
    <row r="30" spans="1:9">
      <c r="A30" s="37" t="s">
        <v>60</v>
      </c>
      <c r="B30" s="37" t="s">
        <v>56</v>
      </c>
      <c r="C30" s="37"/>
      <c r="D30" s="38">
        <v>1000</v>
      </c>
    </row>
    <row r="31" spans="1:9">
      <c r="A31" s="37" t="s">
        <v>61</v>
      </c>
      <c r="B31" s="37" t="s">
        <v>56</v>
      </c>
      <c r="C31" s="37"/>
      <c r="D31" s="38">
        <v>1000</v>
      </c>
    </row>
    <row r="32" spans="1:9">
      <c r="A32" s="37" t="s">
        <v>62</v>
      </c>
      <c r="B32" s="37" t="s">
        <v>56</v>
      </c>
      <c r="C32" s="37"/>
      <c r="D32" s="38">
        <v>1200</v>
      </c>
    </row>
    <row r="33" spans="1:4">
      <c r="A33" s="37" t="s">
        <v>63</v>
      </c>
      <c r="B33" s="37" t="s">
        <v>64</v>
      </c>
      <c r="C33" s="37"/>
      <c r="D33" s="38">
        <v>1500</v>
      </c>
    </row>
    <row r="34" spans="1:4">
      <c r="A34" s="37" t="s">
        <v>65</v>
      </c>
      <c r="B34" s="37" t="s">
        <v>56</v>
      </c>
      <c r="C34" s="37"/>
      <c r="D34" s="38">
        <v>800</v>
      </c>
    </row>
    <row r="35" spans="1:4">
      <c r="A35" s="37" t="s">
        <v>66</v>
      </c>
      <c r="B35" s="37" t="s">
        <v>59</v>
      </c>
      <c r="C35" s="37"/>
      <c r="D35" s="38">
        <v>1804</v>
      </c>
    </row>
    <row r="36" spans="1:4">
      <c r="A36" s="37" t="s">
        <v>67</v>
      </c>
      <c r="B36" s="37" t="s">
        <v>56</v>
      </c>
      <c r="C36" s="37"/>
      <c r="D36" s="38">
        <v>500</v>
      </c>
    </row>
    <row r="37" spans="1:4">
      <c r="A37" s="37" t="s">
        <v>68</v>
      </c>
      <c r="B37" s="37" t="s">
        <v>64</v>
      </c>
      <c r="C37" s="37"/>
      <c r="D37" s="38">
        <v>1200</v>
      </c>
    </row>
    <row r="38" spans="1:4">
      <c r="A38" s="37" t="s">
        <v>36</v>
      </c>
      <c r="B38" s="37" t="s">
        <v>56</v>
      </c>
      <c r="C38" s="37"/>
      <c r="D38" s="38">
        <v>500</v>
      </c>
    </row>
  </sheetData>
  <mergeCells count="1">
    <mergeCell ref="B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73"/>
  <sheetViews>
    <sheetView tabSelected="1" topLeftCell="A25" zoomScale="80" zoomScaleNormal="80" workbookViewId="0">
      <selection activeCell="I28" sqref="I28:P51"/>
    </sheetView>
  </sheetViews>
  <sheetFormatPr defaultRowHeight="15"/>
  <cols>
    <col min="1" max="1" width="8.7109375" customWidth="1"/>
    <col min="2" max="2" width="15.28515625" bestFit="1" customWidth="1"/>
    <col min="3" max="3" width="11.42578125" customWidth="1"/>
    <col min="6" max="6" width="12.140625" customWidth="1"/>
    <col min="7" max="7" width="12.5703125" bestFit="1" customWidth="1"/>
    <col min="8" max="8" width="13.7109375" customWidth="1"/>
    <col min="9" max="9" width="13.28515625" customWidth="1"/>
    <col min="10" max="11" width="11.5703125" bestFit="1" customWidth="1"/>
    <col min="12" max="12" width="11.5703125" customWidth="1"/>
    <col min="13" max="14" width="12.7109375" customWidth="1"/>
    <col min="15" max="15" width="12.5703125" customWidth="1"/>
    <col min="16" max="16" width="13.85546875" bestFit="1" customWidth="1"/>
    <col min="17" max="17" width="14.42578125" bestFit="1" customWidth="1"/>
    <col min="18" max="18" width="13.85546875" bestFit="1" customWidth="1"/>
    <col min="19" max="19" width="10.140625" bestFit="1" customWidth="1"/>
  </cols>
  <sheetData>
    <row r="1" spans="1:18">
      <c r="A1" s="90" t="s">
        <v>92</v>
      </c>
    </row>
    <row r="3" spans="1:18" ht="15.75" thickBot="1"/>
    <row r="4" spans="1:18">
      <c r="A4" s="50" t="s">
        <v>93</v>
      </c>
      <c r="B4" s="51" t="s">
        <v>94</v>
      </c>
      <c r="C4" s="52" t="s">
        <v>95</v>
      </c>
      <c r="D4" s="154" t="s">
        <v>155</v>
      </c>
      <c r="E4" s="155"/>
      <c r="F4" s="155"/>
      <c r="G4" s="155"/>
      <c r="H4" s="101" t="s">
        <v>96</v>
      </c>
      <c r="I4" s="109"/>
      <c r="J4" s="148" t="s">
        <v>127</v>
      </c>
      <c r="K4" s="149"/>
      <c r="L4" s="149"/>
      <c r="M4" s="150"/>
      <c r="N4" s="53" t="s">
        <v>72</v>
      </c>
      <c r="O4" s="105" t="s">
        <v>131</v>
      </c>
      <c r="P4" s="52" t="s">
        <v>99</v>
      </c>
      <c r="Q4" s="52" t="s">
        <v>100</v>
      </c>
      <c r="R4" s="53"/>
    </row>
    <row r="5" spans="1:18" ht="15.75" thickBot="1">
      <c r="A5" s="54"/>
      <c r="B5" s="55"/>
      <c r="C5" s="56"/>
      <c r="D5" s="57" t="s">
        <v>114</v>
      </c>
      <c r="E5" s="58"/>
      <c r="F5" s="58">
        <v>700</v>
      </c>
      <c r="G5" s="58" t="s">
        <v>115</v>
      </c>
      <c r="H5" s="102">
        <f>256*0.85</f>
        <v>217.6</v>
      </c>
      <c r="I5" s="110"/>
      <c r="J5" s="151"/>
      <c r="K5" s="152"/>
      <c r="L5" s="152"/>
      <c r="M5" s="153"/>
      <c r="N5" s="59">
        <v>7.6</v>
      </c>
      <c r="O5" s="106">
        <v>1250</v>
      </c>
      <c r="P5" s="60">
        <v>2800</v>
      </c>
      <c r="Q5" s="60">
        <v>1100</v>
      </c>
      <c r="R5" s="59"/>
    </row>
    <row r="6" spans="1:18" ht="15.75" thickBot="1">
      <c r="A6" s="54"/>
      <c r="B6" s="56"/>
      <c r="C6" s="56" t="s">
        <v>84</v>
      </c>
      <c r="D6" s="56">
        <v>800</v>
      </c>
      <c r="E6" s="56">
        <v>1200</v>
      </c>
      <c r="F6" s="56">
        <v>1500</v>
      </c>
      <c r="G6" s="56">
        <v>2100</v>
      </c>
      <c r="H6" s="57">
        <f>F5*H5/1000</f>
        <v>152.32</v>
      </c>
      <c r="I6" s="54" t="s">
        <v>97</v>
      </c>
      <c r="J6" s="56">
        <f>D6</f>
        <v>800</v>
      </c>
      <c r="K6" s="56">
        <v>1200</v>
      </c>
      <c r="L6" s="56">
        <v>1500</v>
      </c>
      <c r="M6" s="56">
        <v>2100</v>
      </c>
      <c r="N6" s="59" t="s">
        <v>98</v>
      </c>
      <c r="O6" s="65">
        <f>J6</f>
        <v>800</v>
      </c>
      <c r="P6" s="56">
        <v>1200</v>
      </c>
      <c r="Q6" s="56">
        <v>1600</v>
      </c>
      <c r="R6" s="59">
        <v>2100</v>
      </c>
    </row>
    <row r="7" spans="1:18">
      <c r="A7" s="111">
        <v>1</v>
      </c>
      <c r="B7" s="42">
        <v>75</v>
      </c>
      <c r="C7" s="42">
        <v>7000</v>
      </c>
      <c r="D7" s="61">
        <f>$C7/D$6*2</f>
        <v>17.5</v>
      </c>
      <c r="E7" s="61">
        <f t="shared" ref="E7:G25" si="0">$C7/E$6*2</f>
        <v>11.666666666666666</v>
      </c>
      <c r="F7" s="61">
        <f t="shared" si="0"/>
        <v>9.3333333333333339</v>
      </c>
      <c r="G7" s="61">
        <f t="shared" si="0"/>
        <v>6.666666666666667</v>
      </c>
      <c r="H7" s="103"/>
      <c r="I7" s="111">
        <v>5</v>
      </c>
      <c r="J7" s="64">
        <f>$F$5*9000/$B7/D$7/60</f>
        <v>80</v>
      </c>
      <c r="K7" s="64">
        <f>$F$5*9000/$B7/E$7/60</f>
        <v>120</v>
      </c>
      <c r="L7" s="64">
        <f>$F$5*9000/$B7/F$7/60</f>
        <v>150</v>
      </c>
      <c r="M7" s="64">
        <f>$F$5*9000/$B7/G$7/60</f>
        <v>210</v>
      </c>
      <c r="N7" s="112">
        <v>5</v>
      </c>
      <c r="O7" s="107">
        <f>(J$7*7.6*$O$5)+(J$7*$P$5)+(J$7*$Q$5)+(($I7+$N7)*$P$5*1.8)</f>
        <v>1122400</v>
      </c>
      <c r="P7" s="62">
        <f>(K$7*7.6*$O$5)+(K$7*$P$5)+(K$7*$Q$5)+(($I7+$N7)*$P$5)</f>
        <v>1636000</v>
      </c>
      <c r="Q7" s="62">
        <f t="shared" ref="Q7" si="1">(L$7*7.8*$O$5)+(L$7*$P$5)+(L$7*$Q$5)+(($I7+$N7)*$P$5)</f>
        <v>2075500</v>
      </c>
      <c r="R7" s="115">
        <f>(M$7*7.8*$O$5)+(M$7*$P$5)+(M$7*$Q$5)+(($I7+$N7)*$P$5)</f>
        <v>2894500</v>
      </c>
    </row>
    <row r="8" spans="1:18">
      <c r="A8" s="111"/>
      <c r="B8" s="42">
        <v>50</v>
      </c>
      <c r="C8" s="42">
        <v>8000</v>
      </c>
      <c r="D8" s="61">
        <f>$C8/D$6*2</f>
        <v>20</v>
      </c>
      <c r="E8" s="61">
        <f t="shared" si="0"/>
        <v>13.333333333333334</v>
      </c>
      <c r="F8" s="61">
        <f t="shared" si="0"/>
        <v>10.666666666666666</v>
      </c>
      <c r="G8" s="61">
        <f t="shared" si="0"/>
        <v>7.6190476190476186</v>
      </c>
      <c r="H8" s="103"/>
      <c r="I8" s="111">
        <v>5</v>
      </c>
      <c r="J8" s="64">
        <f>$F$5*9000/$B8/D$8/60</f>
        <v>105</v>
      </c>
      <c r="K8" s="64">
        <f>$F$5*9000/$B8/E$8/60</f>
        <v>157.5</v>
      </c>
      <c r="L8" s="64">
        <f>$F$5*9000/$B8/F$8/60</f>
        <v>196.875</v>
      </c>
      <c r="M8" s="64">
        <f>$F$5*9000/$B8/G$8/60</f>
        <v>275.625</v>
      </c>
      <c r="N8" s="112">
        <v>5</v>
      </c>
      <c r="O8" s="107">
        <f>(J$8*7.6*$O$5)+(J$8*$P$5)+(J$8*$Q$5)+(($I8+$N8)*$P$5*2)</f>
        <v>1463000</v>
      </c>
      <c r="P8" s="62">
        <f>(K$8*7.6*$O$5)+(K$8*$P$5)+(K$8*$Q$5)+(($I8+$N8)*$P$5)</f>
        <v>2138500</v>
      </c>
      <c r="Q8" s="62">
        <f>(L$8*7.8*$O$5)+(L$7*$P$5)+(L$7*$Q$5)+(($I8+$N8)*$P$5)</f>
        <v>2532531.25</v>
      </c>
      <c r="R8" s="115">
        <f>(M$8*7.8*$O$5)+(M$8*$P$5)+(M$8*$Q$5)+(($I8+$N8)*$P$5)</f>
        <v>3790281.25</v>
      </c>
    </row>
    <row r="9" spans="1:18">
      <c r="A9" s="116"/>
      <c r="B9" s="42">
        <v>50</v>
      </c>
      <c r="C9" s="41">
        <v>10000</v>
      </c>
      <c r="D9" s="61">
        <f t="shared" ref="D9:D25" si="2">$C9/D$6*2</f>
        <v>25</v>
      </c>
      <c r="E9" s="61">
        <f t="shared" si="0"/>
        <v>16.666666666666668</v>
      </c>
      <c r="F9" s="61">
        <f t="shared" si="0"/>
        <v>13.333333333333334</v>
      </c>
      <c r="G9" s="61">
        <f t="shared" si="0"/>
        <v>9.5238095238095237</v>
      </c>
      <c r="H9" s="104"/>
      <c r="I9" s="111">
        <v>5</v>
      </c>
      <c r="J9" s="64">
        <f>$F$5*9000/$B9/$D9/60</f>
        <v>84</v>
      </c>
      <c r="K9" s="64">
        <f>$F$5*9000/$B9/$E9/60</f>
        <v>125.99999999999999</v>
      </c>
      <c r="L9" s="64">
        <f>$F$5*9000/$B9/$F9/60</f>
        <v>157.5</v>
      </c>
      <c r="M9" s="64">
        <f>$F$5*9000/$B9/$G9/60</f>
        <v>220.5</v>
      </c>
      <c r="N9" s="112">
        <v>5</v>
      </c>
      <c r="O9" s="107">
        <f>(J$9*7.8*$O$5)+(J$9*$P$5)+(J$9*$Q$5)+(($I9+$N9)*$P$5*2.2)</f>
        <v>1208200</v>
      </c>
      <c r="P9" s="62">
        <f>(K$9*7.6*$O$5)+(K$9*$P$5)+(K$9*$Q$5)+(($I9+$N9)*$P$5)</f>
        <v>1716399.9999999998</v>
      </c>
      <c r="Q9" s="62">
        <f t="shared" ref="Q9:R9" si="3">(L$9*7.8*$O$5)+(L$9*$P$5)+(L$9*$Q$5)+(($I9+$N9)*$P$5)</f>
        <v>2177875</v>
      </c>
      <c r="R9" s="115">
        <f t="shared" si="3"/>
        <v>3037825</v>
      </c>
    </row>
    <row r="10" spans="1:18">
      <c r="A10" s="116"/>
      <c r="B10" s="42">
        <v>75</v>
      </c>
      <c r="C10" s="41">
        <v>12000</v>
      </c>
      <c r="D10" s="61">
        <f t="shared" si="2"/>
        <v>30</v>
      </c>
      <c r="E10" s="61">
        <f t="shared" si="0"/>
        <v>20</v>
      </c>
      <c r="F10" s="61">
        <f t="shared" si="0"/>
        <v>16</v>
      </c>
      <c r="G10" s="61">
        <f t="shared" si="0"/>
        <v>11.428571428571429</v>
      </c>
      <c r="H10" s="104"/>
      <c r="I10" s="111">
        <v>5</v>
      </c>
      <c r="J10" s="64">
        <f>$F$5*9000/$B10/$D10/60</f>
        <v>46.666666666666664</v>
      </c>
      <c r="K10" s="64">
        <f>$F$5*9000/$B10/$E10/60</f>
        <v>70</v>
      </c>
      <c r="L10" s="64">
        <f>$F$5*9000/$B10/$F10/60</f>
        <v>87.5</v>
      </c>
      <c r="M10" s="64">
        <f>$F$5*9000/$B10/G$10/60</f>
        <v>122.5</v>
      </c>
      <c r="N10" s="112">
        <v>5</v>
      </c>
      <c r="O10" s="107">
        <f>(J$10*7.6*$O$5)+(J$10*$P$5)+(J$10*$Q$5)+(($I10+$N10)*$P$5*3)</f>
        <v>709333.33333333337</v>
      </c>
      <c r="P10" s="62">
        <f>(K$10*7.6*$O$5)+(K$10*$P$5)+(K$10*$Q$5)+(($I10+$N10)*$P$5)</f>
        <v>966000</v>
      </c>
      <c r="Q10" s="62">
        <f t="shared" ref="Q10:R10" si="4">(L$10*7.8*$O$5)+(L$10*$P$5)+(L$10*$Q$5)+(($I10+$N10)*$P$5)</f>
        <v>1222375</v>
      </c>
      <c r="R10" s="115">
        <f t="shared" si="4"/>
        <v>1700125</v>
      </c>
    </row>
    <row r="11" spans="1:18" ht="6" customHeight="1">
      <c r="A11" s="116"/>
      <c r="B11" s="41"/>
      <c r="C11" s="41"/>
      <c r="D11" s="61"/>
      <c r="E11" s="61"/>
      <c r="F11" s="61"/>
      <c r="G11" s="61"/>
      <c r="H11" s="104"/>
      <c r="I11" s="111"/>
      <c r="J11" s="41"/>
      <c r="K11" s="41"/>
      <c r="L11" s="41"/>
      <c r="M11" s="41"/>
      <c r="N11" s="112"/>
      <c r="O11" s="108"/>
      <c r="P11" s="41"/>
      <c r="Q11" s="41"/>
      <c r="R11" s="117"/>
    </row>
    <row r="12" spans="1:18">
      <c r="A12" s="116">
        <v>2</v>
      </c>
      <c r="B12" s="41">
        <v>150</v>
      </c>
      <c r="C12" s="41">
        <v>7000</v>
      </c>
      <c r="D12" s="61">
        <f t="shared" si="2"/>
        <v>17.5</v>
      </c>
      <c r="E12" s="61">
        <f t="shared" si="0"/>
        <v>11.666666666666666</v>
      </c>
      <c r="F12" s="61">
        <f t="shared" si="0"/>
        <v>9.3333333333333339</v>
      </c>
      <c r="G12" s="61">
        <f t="shared" si="0"/>
        <v>6.666666666666667</v>
      </c>
      <c r="H12" s="104"/>
      <c r="I12" s="111">
        <v>5</v>
      </c>
      <c r="J12" s="64">
        <f>$F$5*9000/$B12/$D12/60</f>
        <v>40</v>
      </c>
      <c r="K12" s="64">
        <f>$F$5*9000/$B12/E$12/60</f>
        <v>60</v>
      </c>
      <c r="L12" s="64">
        <f t="shared" ref="L12:M12" si="5">$F$5*9000/$B12/F$12/60</f>
        <v>75</v>
      </c>
      <c r="M12" s="64">
        <f t="shared" si="5"/>
        <v>105</v>
      </c>
      <c r="N12" s="112">
        <v>5</v>
      </c>
      <c r="O12" s="107">
        <f>(J$12*7.6*$O$5)+(J$12*$P$5)+(J$12*$Q$5)+(($I12+$N12)*$P$5*1.8)</f>
        <v>586400</v>
      </c>
      <c r="P12" s="62">
        <f>(K$12*7.6*$O$5)+(K$12*$P$5)+(K$12*$Q$5)+(($I12+$N12)*$P$5)</f>
        <v>832000</v>
      </c>
      <c r="Q12" s="62">
        <f t="shared" ref="Q12:R12" si="6">(L$12*7.8*$O$5)+(L$12*$P$5)+(L$12*$Q$5)+(($I12+$N12)*$P$5)</f>
        <v>1051750</v>
      </c>
      <c r="R12" s="115">
        <f t="shared" si="6"/>
        <v>1461250</v>
      </c>
    </row>
    <row r="13" spans="1:18">
      <c r="A13" s="116"/>
      <c r="B13" s="41">
        <v>150</v>
      </c>
      <c r="C13" s="42">
        <v>8000</v>
      </c>
      <c r="D13" s="61">
        <f t="shared" si="2"/>
        <v>20</v>
      </c>
      <c r="E13" s="61">
        <f t="shared" si="0"/>
        <v>13.333333333333334</v>
      </c>
      <c r="F13" s="61">
        <f t="shared" si="0"/>
        <v>10.666666666666666</v>
      </c>
      <c r="G13" s="61">
        <f t="shared" si="0"/>
        <v>7.6190476190476186</v>
      </c>
      <c r="H13" s="104"/>
      <c r="I13" s="111">
        <v>5</v>
      </c>
      <c r="J13" s="64">
        <f>$F$5*9000/$B13/$D13/60</f>
        <v>35</v>
      </c>
      <c r="K13" s="64">
        <f>$F$5*9000/$B13/E$13/60</f>
        <v>52.5</v>
      </c>
      <c r="L13" s="64">
        <f>$F$5*9000/$B13/F$13/60</f>
        <v>65.625</v>
      </c>
      <c r="M13" s="64">
        <f>$F$5*9000/$B13/G$13/60</f>
        <v>91.875</v>
      </c>
      <c r="N13" s="112">
        <v>5</v>
      </c>
      <c r="O13" s="107">
        <f>(J$13*7.6*$O$5)+(J$13*$P$5)+(J$13*$Q$5)+(($I13+$N13)*$P$5*2)</f>
        <v>525000</v>
      </c>
      <c r="P13" s="62">
        <f>(K$13*7.6*$O$5)+(K$13*$P$5)+(K$13*$Q$5)+(($I13+$N13)*$P$5)</f>
        <v>731500</v>
      </c>
      <c r="Q13" s="62">
        <f>(L$13*7.8*$O$5)+(L$13*$P$5)+(L$13*$Q$5)+(($I13+$N13)*$P$5)</f>
        <v>923781.25</v>
      </c>
      <c r="R13" s="115">
        <f>(M$13*7.8*$O$5)+(M$13*$P$5)+(M$13*$Q$5)+(($I13+$N13)*$P$5)</f>
        <v>1282093.75</v>
      </c>
    </row>
    <row r="14" spans="1:18">
      <c r="A14" s="116"/>
      <c r="B14" s="41">
        <v>150</v>
      </c>
      <c r="C14" s="41">
        <v>10000</v>
      </c>
      <c r="D14" s="61">
        <f t="shared" si="2"/>
        <v>25</v>
      </c>
      <c r="E14" s="61">
        <f t="shared" si="0"/>
        <v>16.666666666666668</v>
      </c>
      <c r="F14" s="61">
        <f t="shared" si="0"/>
        <v>13.333333333333334</v>
      </c>
      <c r="G14" s="61">
        <f t="shared" si="0"/>
        <v>9.5238095238095237</v>
      </c>
      <c r="H14" s="104"/>
      <c r="I14" s="111">
        <v>5</v>
      </c>
      <c r="J14" s="64">
        <f>$F$5*9000/$B14/$D14/60</f>
        <v>28</v>
      </c>
      <c r="K14" s="64">
        <f>$F$5*9000/$B14/E$14/60</f>
        <v>42</v>
      </c>
      <c r="L14" s="64">
        <f t="shared" ref="L14:M14" si="7">$F$5*9000/$B14/F$14/60</f>
        <v>52.5</v>
      </c>
      <c r="M14" s="64">
        <f t="shared" si="7"/>
        <v>73.5</v>
      </c>
      <c r="N14" s="112">
        <v>5</v>
      </c>
      <c r="O14" s="107">
        <f>(J$14*7.6*$O$5)+(J$14*$P$5)+(J$14*$Q$5)+(($I14+$N14)*$P$5*2.2)</f>
        <v>436800</v>
      </c>
      <c r="P14" s="62">
        <f>(K$14*7.6*$O$5)+(K$14*$P$5)+(K$14*$Q$5)+(($I14+$N14)*$P$5)</f>
        <v>590800</v>
      </c>
      <c r="Q14" s="62">
        <f t="shared" ref="Q14:R14" si="8">(L$14*7.8*$O$5)+(L$14*$P$5)+(L$14*$Q$5)+(($I14+$N14)*$P$5)</f>
        <v>744625</v>
      </c>
      <c r="R14" s="115">
        <f t="shared" si="8"/>
        <v>1031275</v>
      </c>
    </row>
    <row r="15" spans="1:18">
      <c r="A15" s="116"/>
      <c r="B15" s="41">
        <v>150</v>
      </c>
      <c r="C15" s="41">
        <v>12000</v>
      </c>
      <c r="D15" s="61">
        <f t="shared" si="2"/>
        <v>30</v>
      </c>
      <c r="E15" s="61">
        <f t="shared" si="0"/>
        <v>20</v>
      </c>
      <c r="F15" s="61">
        <f t="shared" si="0"/>
        <v>16</v>
      </c>
      <c r="G15" s="61">
        <f t="shared" si="0"/>
        <v>11.428571428571429</v>
      </c>
      <c r="H15" s="104"/>
      <c r="I15" s="111">
        <v>5</v>
      </c>
      <c r="J15" s="64">
        <f>$F$5*9000/$B15/$D15/60</f>
        <v>23.333333333333332</v>
      </c>
      <c r="K15" s="64">
        <f>$F$5*9000/$B15/E$15/60</f>
        <v>35</v>
      </c>
      <c r="L15" s="64">
        <f t="shared" ref="L15:M15" si="9">$F$5*9000/$B15/F$15/60</f>
        <v>43.75</v>
      </c>
      <c r="M15" s="64">
        <f t="shared" si="9"/>
        <v>61.25</v>
      </c>
      <c r="N15" s="112">
        <v>5</v>
      </c>
      <c r="O15" s="107">
        <f>(J$15*7.6*$O$5)+(J$15*$P$5)+(J$15*$Q$5)+(($I15+$N15)*$P$5*3)</f>
        <v>396666.66666666669</v>
      </c>
      <c r="P15" s="62">
        <f>(K$15*7.6*$O$5)+(K$15*$P$5)+(K$15*$Q$5)+(($I15+$N15)*$P$5)</f>
        <v>497000</v>
      </c>
      <c r="Q15" s="62">
        <f t="shared" ref="Q15:R15" si="10">(L$15*7.8*$O$5)+(L$15*$P$5)+(L$15*$Q$5)+(($I15+$N15)*$P$5)</f>
        <v>625187.5</v>
      </c>
      <c r="R15" s="115">
        <f t="shared" si="10"/>
        <v>864062.5</v>
      </c>
    </row>
    <row r="16" spans="1:18" ht="6" customHeight="1">
      <c r="A16" s="116"/>
      <c r="B16" s="41"/>
      <c r="C16" s="41"/>
      <c r="D16" s="61"/>
      <c r="E16" s="61"/>
      <c r="F16" s="61"/>
      <c r="G16" s="61"/>
      <c r="H16" s="104"/>
      <c r="I16" s="111"/>
      <c r="J16" s="41"/>
      <c r="K16" s="41"/>
      <c r="L16" s="41"/>
      <c r="M16" s="41"/>
      <c r="N16" s="112"/>
      <c r="O16" s="107">
        <f t="shared" ref="O16" si="11">(J16*7.8*O9)+(J16*P9)+(J16*Q9)</f>
        <v>0</v>
      </c>
      <c r="P16" s="41"/>
      <c r="Q16" s="41"/>
      <c r="R16" s="117"/>
    </row>
    <row r="17" spans="1:18">
      <c r="A17" s="116">
        <v>3</v>
      </c>
      <c r="B17" s="41">
        <v>200</v>
      </c>
      <c r="C17" s="41">
        <v>7000</v>
      </c>
      <c r="D17" s="61">
        <f t="shared" si="2"/>
        <v>17.5</v>
      </c>
      <c r="E17" s="61">
        <f t="shared" si="0"/>
        <v>11.666666666666666</v>
      </c>
      <c r="F17" s="61">
        <f t="shared" si="0"/>
        <v>9.3333333333333339</v>
      </c>
      <c r="G17" s="61">
        <f t="shared" si="0"/>
        <v>6.666666666666667</v>
      </c>
      <c r="H17" s="104"/>
      <c r="I17" s="111">
        <v>5</v>
      </c>
      <c r="J17" s="64">
        <f>$F$5*9000/$B17/D$17/60</f>
        <v>30</v>
      </c>
      <c r="K17" s="64">
        <f t="shared" ref="K17:M17" si="12">$F$5*9000/$B17/E$17/60</f>
        <v>45</v>
      </c>
      <c r="L17" s="64">
        <f t="shared" si="12"/>
        <v>56.25</v>
      </c>
      <c r="M17" s="64">
        <f t="shared" si="12"/>
        <v>78.75</v>
      </c>
      <c r="N17" s="112">
        <v>5</v>
      </c>
      <c r="O17" s="107">
        <f>(J$17*7.6*$O$5)+(J$17*$P$5)+(J$17*$Q$5)+(($I17+$N17)*$P$5*1.8)</f>
        <v>452400</v>
      </c>
      <c r="P17" s="62">
        <f>(K$17*7.6*$O$5)+(K$17*$P$5)+(K$17*$Q$5)+(($I17+$N17)*$P$5)</f>
        <v>631000</v>
      </c>
      <c r="Q17" s="62">
        <f t="shared" ref="Q17:R17" si="13">(L$17*7.8*$O$5)+(L$17*$P$5)+(L$17*$Q$5)+(($I17+$N17)*$P$5)</f>
        <v>795812.5</v>
      </c>
      <c r="R17" s="115">
        <f t="shared" si="13"/>
        <v>1102937.5</v>
      </c>
    </row>
    <row r="18" spans="1:18">
      <c r="A18" s="116"/>
      <c r="B18" s="41">
        <v>200</v>
      </c>
      <c r="C18" s="42">
        <v>8000</v>
      </c>
      <c r="D18" s="61">
        <f t="shared" si="2"/>
        <v>20</v>
      </c>
      <c r="E18" s="61">
        <f t="shared" si="0"/>
        <v>13.333333333333334</v>
      </c>
      <c r="F18" s="61">
        <f t="shared" si="0"/>
        <v>10.666666666666666</v>
      </c>
      <c r="G18" s="61">
        <f t="shared" si="0"/>
        <v>7.6190476190476186</v>
      </c>
      <c r="H18" s="104"/>
      <c r="I18" s="111">
        <v>5</v>
      </c>
      <c r="J18" s="64">
        <f>$F$5*9000/$B18/D$18/60</f>
        <v>26.25</v>
      </c>
      <c r="K18" s="64">
        <f>$F$5*9000/$B18/E$18/60</f>
        <v>39.375</v>
      </c>
      <c r="L18" s="64">
        <f>$F$5*9000/$B18/F$18/60</f>
        <v>49.21875</v>
      </c>
      <c r="M18" s="64">
        <f>$F$5*9000/$B18/G$18/60</f>
        <v>68.90625</v>
      </c>
      <c r="N18" s="112">
        <v>5</v>
      </c>
      <c r="O18" s="107">
        <f>(J$18*7.6*$O$5)+(J$18*$P$5)+(J$18*$Q$5)+(($I18+$N18)*$P$5*2)</f>
        <v>407750</v>
      </c>
      <c r="P18" s="62">
        <f>(K$18*7.6*$O$5)+(K$18*$P$5)+(K$18*$Q$5)+(($I18+$N18)*$P$5)</f>
        <v>555625</v>
      </c>
      <c r="Q18" s="62">
        <f>(L$18*7.8*$O$5)+(L$18*$P$5)+(L$18*$Q$5)+(($I18+$N18)*$P$5)</f>
        <v>699835.9375</v>
      </c>
      <c r="R18" s="115">
        <f>(M$18*7.8*$O$5)+(M$18*$P$5)+(M$18*$Q$5)+(($I18+$N18)*$P$5)</f>
        <v>968570.3125</v>
      </c>
    </row>
    <row r="19" spans="1:18">
      <c r="A19" s="116"/>
      <c r="B19" s="41">
        <v>200</v>
      </c>
      <c r="C19" s="41">
        <v>10000</v>
      </c>
      <c r="D19" s="61">
        <f t="shared" si="2"/>
        <v>25</v>
      </c>
      <c r="E19" s="61">
        <f t="shared" si="0"/>
        <v>16.666666666666668</v>
      </c>
      <c r="F19" s="61">
        <f t="shared" si="0"/>
        <v>13.333333333333334</v>
      </c>
      <c r="G19" s="61">
        <f t="shared" si="0"/>
        <v>9.5238095238095237</v>
      </c>
      <c r="H19" s="104"/>
      <c r="I19" s="111">
        <v>5</v>
      </c>
      <c r="J19" s="64">
        <f>$F$5*9000/$B19/D$19/60</f>
        <v>21</v>
      </c>
      <c r="K19" s="64">
        <f t="shared" ref="K19:M19" si="14">$F$5*9000/$B19/E$19/60</f>
        <v>31.499999999999996</v>
      </c>
      <c r="L19" s="64">
        <f t="shared" si="14"/>
        <v>39.375</v>
      </c>
      <c r="M19" s="64">
        <f t="shared" si="14"/>
        <v>55.125</v>
      </c>
      <c r="N19" s="112">
        <v>5</v>
      </c>
      <c r="O19" s="107">
        <f>(J$19*7.6*$O$5)+(J$19*$P$5)+(J$19*$Q$5)+(($I19+$N19)*$P$5*2.2)</f>
        <v>343000</v>
      </c>
      <c r="P19" s="62">
        <f>(K$19*7.6*$O$5)+(K$19*$P$5)+(K$19*$Q$5)+(($I19+$N19)*$P$5)</f>
        <v>450099.99999999994</v>
      </c>
      <c r="Q19" s="62">
        <f t="shared" ref="Q19:R19" si="15">(L$19*7.8*$O$5)+(L$19*$P$5)+(L$19*$Q$5)+(($I19+$N19)*$P$5)</f>
        <v>565468.75</v>
      </c>
      <c r="R19" s="115">
        <f t="shared" si="15"/>
        <v>780456.25</v>
      </c>
    </row>
    <row r="20" spans="1:18">
      <c r="A20" s="116"/>
      <c r="B20" s="41">
        <v>200</v>
      </c>
      <c r="C20" s="41">
        <v>12000</v>
      </c>
      <c r="D20" s="61">
        <f t="shared" si="2"/>
        <v>30</v>
      </c>
      <c r="E20" s="61">
        <f t="shared" si="0"/>
        <v>20</v>
      </c>
      <c r="F20" s="61">
        <f t="shared" si="0"/>
        <v>16</v>
      </c>
      <c r="G20" s="61">
        <f t="shared" si="0"/>
        <v>11.428571428571429</v>
      </c>
      <c r="H20" s="104"/>
      <c r="I20" s="111">
        <v>5</v>
      </c>
      <c r="J20" s="64">
        <f>$F$5*9000/$B20/D$20/60</f>
        <v>17.5</v>
      </c>
      <c r="K20" s="64">
        <f t="shared" ref="K20:M20" si="16">$F$5*9000/$B20/E$20/60</f>
        <v>26.25</v>
      </c>
      <c r="L20" s="64">
        <f t="shared" si="16"/>
        <v>32.8125</v>
      </c>
      <c r="M20" s="64">
        <f t="shared" si="16"/>
        <v>45.9375</v>
      </c>
      <c r="N20" s="112">
        <v>5</v>
      </c>
      <c r="O20" s="107">
        <f>(J$20*7.6*$O$5)+(J$20*$P$5)+(J$20*$Q$5)+(($I20+$N20)*$P$5*3)</f>
        <v>318500</v>
      </c>
      <c r="P20" s="62">
        <f>(K$20*7.6*$O$5)+(K$20*$P$5)+(K$20*$Q$5)+(($I20+$N20)*$P$5)</f>
        <v>379750</v>
      </c>
      <c r="Q20" s="62">
        <f t="shared" ref="Q20:R20" si="17">(L$20*7.8*$O$5)+(L$20*$P$5)+(L$20*$Q$5)+(($I20+$N20)*$P$5)</f>
        <v>475890.625</v>
      </c>
      <c r="R20" s="115">
        <f t="shared" si="17"/>
        <v>655046.875</v>
      </c>
    </row>
    <row r="21" spans="1:18" ht="6" customHeight="1">
      <c r="A21" s="116"/>
      <c r="B21" s="41"/>
      <c r="C21" s="41"/>
      <c r="D21" s="61"/>
      <c r="E21" s="61"/>
      <c r="F21" s="61"/>
      <c r="G21" s="61"/>
      <c r="H21" s="104"/>
      <c r="I21" s="111"/>
      <c r="J21" s="41"/>
      <c r="K21" s="41"/>
      <c r="L21" s="41"/>
      <c r="M21" s="41"/>
      <c r="N21" s="112"/>
      <c r="O21" s="107">
        <f>(J21*7.8*O14)+(J21*P14)+(J21*Q14)</f>
        <v>0</v>
      </c>
      <c r="P21" s="41"/>
      <c r="Q21" s="41"/>
      <c r="R21" s="117"/>
    </row>
    <row r="22" spans="1:18">
      <c r="A22" s="116">
        <v>4</v>
      </c>
      <c r="B22" s="41">
        <v>300</v>
      </c>
      <c r="C22" s="41">
        <v>7000</v>
      </c>
      <c r="D22" s="61">
        <f t="shared" si="2"/>
        <v>17.5</v>
      </c>
      <c r="E22" s="61">
        <f t="shared" si="0"/>
        <v>11.666666666666666</v>
      </c>
      <c r="F22" s="61">
        <f t="shared" si="0"/>
        <v>9.3333333333333339</v>
      </c>
      <c r="G22" s="61">
        <f t="shared" si="0"/>
        <v>6.666666666666667</v>
      </c>
      <c r="H22" s="104"/>
      <c r="I22" s="111">
        <v>5</v>
      </c>
      <c r="J22" s="64">
        <f>$F$5*9000/$B22/D$22/60</f>
        <v>20</v>
      </c>
      <c r="K22" s="64">
        <f t="shared" ref="K22:M22" si="18">$F$5*9000/$B22/E$22/60</f>
        <v>30</v>
      </c>
      <c r="L22" s="64">
        <f t="shared" si="18"/>
        <v>37.5</v>
      </c>
      <c r="M22" s="64">
        <f t="shared" si="18"/>
        <v>52.5</v>
      </c>
      <c r="N22" s="112">
        <v>5</v>
      </c>
      <c r="O22" s="107">
        <f>(J$22*7.6*$O$5)+(J$22*$P$5)+(J$22*$Q$5)+(($I22+$N22)*$P$5*1.8)</f>
        <v>318400</v>
      </c>
      <c r="P22" s="62">
        <f>(K$22*7.6*$O$5)+(K$22*$P$5)+(K$22*$Q$5)+(($I22+$N22)*$P$5)</f>
        <v>430000</v>
      </c>
      <c r="Q22" s="62">
        <f>(L$22*7.8*$O$5)+(L$22*$P$5)+(L$22*$Q$5)+(($I22+$N22)*$P$5)</f>
        <v>539875</v>
      </c>
      <c r="R22" s="115">
        <f>(M$22*7.8*$O$5)+(M$22*$P$5)+(M$22*$Q$5)+(($I22+$N22)*$P$5)</f>
        <v>744625</v>
      </c>
    </row>
    <row r="23" spans="1:18">
      <c r="A23" s="116"/>
      <c r="B23" s="41">
        <v>300</v>
      </c>
      <c r="C23" s="42">
        <v>8000</v>
      </c>
      <c r="D23" s="61">
        <f t="shared" si="2"/>
        <v>20</v>
      </c>
      <c r="E23" s="61">
        <f t="shared" si="0"/>
        <v>13.333333333333334</v>
      </c>
      <c r="F23" s="61">
        <f t="shared" si="0"/>
        <v>10.666666666666666</v>
      </c>
      <c r="G23" s="61">
        <f t="shared" si="0"/>
        <v>7.6190476190476186</v>
      </c>
      <c r="H23" s="104"/>
      <c r="I23" s="111">
        <v>5</v>
      </c>
      <c r="J23" s="64">
        <f>$F$5*9000/$B23/D$23/60</f>
        <v>17.5</v>
      </c>
      <c r="K23" s="64">
        <f>$F$5*9000/$B23/E$23/60</f>
        <v>26.25</v>
      </c>
      <c r="L23" s="64">
        <f>$F$5*9000/$B23/F$23/60</f>
        <v>32.8125</v>
      </c>
      <c r="M23" s="64">
        <f>$F$5*9000/$B23/G$23/60</f>
        <v>45.9375</v>
      </c>
      <c r="N23" s="112">
        <v>5</v>
      </c>
      <c r="O23" s="107">
        <f>(J$23*7.6*$O$5)+(J$23*$P$5)+(J$23*$Q$5)+(($I23+$N23)*$P$5*2)</f>
        <v>290500</v>
      </c>
      <c r="P23" s="107">
        <f>(K$23*7.6*$O$5)+(K$23*$P$5)+(K$23*$Q$5)+(($I23+$N23)*$P$5)</f>
        <v>379750</v>
      </c>
      <c r="Q23" s="107">
        <f t="shared" ref="Q23:R23" si="19">(L$23*7.8*$O$5)+(L$23*$P$5)+(L$23*$Q$5)+(($I23+$N23)*$P$5)</f>
        <v>475890.625</v>
      </c>
      <c r="R23" s="107">
        <f t="shared" si="19"/>
        <v>655046.875</v>
      </c>
    </row>
    <row r="24" spans="1:18">
      <c r="A24" s="116"/>
      <c r="B24" s="41">
        <v>300</v>
      </c>
      <c r="C24" s="41">
        <v>10000</v>
      </c>
      <c r="D24" s="61">
        <f t="shared" si="2"/>
        <v>25</v>
      </c>
      <c r="E24" s="61">
        <f t="shared" si="0"/>
        <v>16.666666666666668</v>
      </c>
      <c r="F24" s="61">
        <f t="shared" si="0"/>
        <v>13.333333333333334</v>
      </c>
      <c r="G24" s="61">
        <f t="shared" si="0"/>
        <v>9.5238095238095237</v>
      </c>
      <c r="H24" s="104"/>
      <c r="I24" s="111">
        <v>5</v>
      </c>
      <c r="J24" s="64">
        <f>$F$5*9000/$B24/D$24/60</f>
        <v>14</v>
      </c>
      <c r="K24" s="64">
        <f t="shared" ref="K24:M24" si="20">$F$5*9000/$B24/E$24/60</f>
        <v>21</v>
      </c>
      <c r="L24" s="64">
        <f t="shared" si="20"/>
        <v>26.25</v>
      </c>
      <c r="M24" s="64">
        <f t="shared" si="20"/>
        <v>36.75</v>
      </c>
      <c r="N24" s="112">
        <v>5</v>
      </c>
      <c r="O24" s="107">
        <f>(J$24*7.6*$O$5)+(J$24*$P$5)+(J$24*$Q$5)+(($I24+$N24)*$P$5*2.2)</f>
        <v>249200</v>
      </c>
      <c r="P24" s="62">
        <f>(K$24*7.6*$O$5)+(K$24*$P$5)+(K$24*$Q$5)+(($I24+$N24)*$P$5)</f>
        <v>309400</v>
      </c>
      <c r="Q24" s="62">
        <f t="shared" ref="Q24:R24" si="21">(L$24*7.8*$O$5)+(L$24*$P$5)+(L$24*$Q$5)+(($I24+$N24)*$P$5)</f>
        <v>386312.5</v>
      </c>
      <c r="R24" s="115">
        <f t="shared" si="21"/>
        <v>529637.5</v>
      </c>
    </row>
    <row r="25" spans="1:18" ht="15.75" thickBot="1">
      <c r="A25" s="118"/>
      <c r="B25" s="119">
        <v>300</v>
      </c>
      <c r="C25" s="119">
        <v>12000</v>
      </c>
      <c r="D25" s="120">
        <f t="shared" si="2"/>
        <v>30</v>
      </c>
      <c r="E25" s="120">
        <f t="shared" si="0"/>
        <v>20</v>
      </c>
      <c r="F25" s="120">
        <f t="shared" si="0"/>
        <v>16</v>
      </c>
      <c r="G25" s="120">
        <f t="shared" si="0"/>
        <v>11.428571428571429</v>
      </c>
      <c r="H25" s="121"/>
      <c r="I25" s="113">
        <v>5</v>
      </c>
      <c r="J25" s="68">
        <f>$F$5*9000/$B25/D$25/60</f>
        <v>11.666666666666666</v>
      </c>
      <c r="K25" s="68">
        <f t="shared" ref="K25:M25" si="22">$F$5*9000/$B25/E$25/60</f>
        <v>17.5</v>
      </c>
      <c r="L25" s="68">
        <f t="shared" si="22"/>
        <v>21.875</v>
      </c>
      <c r="M25" s="68">
        <f t="shared" si="22"/>
        <v>30.625</v>
      </c>
      <c r="N25" s="114">
        <v>5</v>
      </c>
      <c r="O25" s="122">
        <f>(J$25*7.6*$O$5)+(J$25*$P$5)+(J$25*$Q$5)+(($I25+$N25)*$P$5*3)</f>
        <v>240333.33333333334</v>
      </c>
      <c r="P25" s="123">
        <f>(K$25*7.6*$O$5)+(K$25*$P$5)+(K$25*$Q$5)+(($I25+$N25)*$P$5)</f>
        <v>262500</v>
      </c>
      <c r="Q25" s="123">
        <f t="shared" ref="Q25:R25" si="23">(L$25*7.8*$O$5)+(L$25*$P$5)+(L$25*$Q$5)+(($I25+$N25)*$P$5)</f>
        <v>326593.75</v>
      </c>
      <c r="R25" s="124">
        <f t="shared" si="23"/>
        <v>446031.25</v>
      </c>
    </row>
    <row r="27" spans="1:18">
      <c r="A27" t="s">
        <v>101</v>
      </c>
    </row>
    <row r="28" spans="1:18" ht="15.75" thickBot="1"/>
    <row r="29" spans="1:18" ht="30">
      <c r="A29" s="76" t="s">
        <v>93</v>
      </c>
      <c r="B29" s="81" t="s">
        <v>94</v>
      </c>
      <c r="C29" s="72" t="s">
        <v>95</v>
      </c>
      <c r="D29" s="156" t="s">
        <v>129</v>
      </c>
      <c r="E29" s="157"/>
      <c r="F29" s="157"/>
      <c r="G29" s="158"/>
      <c r="I29" s="76" t="s">
        <v>93</v>
      </c>
      <c r="J29" s="81" t="s">
        <v>94</v>
      </c>
      <c r="K29" s="72" t="s">
        <v>95</v>
      </c>
      <c r="L29" s="156" t="s">
        <v>163</v>
      </c>
      <c r="M29" s="157"/>
      <c r="N29" s="157"/>
      <c r="O29" s="158"/>
      <c r="Q29">
        <f>122313020+6400838</f>
        <v>128713858</v>
      </c>
    </row>
    <row r="30" spans="1:18" ht="15.75" thickBot="1">
      <c r="A30" s="77"/>
      <c r="B30" s="82"/>
      <c r="C30" s="73"/>
      <c r="D30" s="159"/>
      <c r="E30" s="160"/>
      <c r="F30" s="160"/>
      <c r="G30" s="161"/>
      <c r="I30" s="77"/>
      <c r="J30" s="82"/>
      <c r="K30" s="73"/>
      <c r="L30" s="159"/>
      <c r="M30" s="160"/>
      <c r="N30" s="160"/>
      <c r="O30" s="161"/>
      <c r="Q30">
        <f>Q29/150/24/30</f>
        <v>1191.7949814814815</v>
      </c>
    </row>
    <row r="31" spans="1:18" ht="15.75" thickBot="1">
      <c r="A31" s="77"/>
      <c r="B31" s="73"/>
      <c r="C31" s="73" t="s">
        <v>84</v>
      </c>
      <c r="D31" s="65">
        <f>D6</f>
        <v>800</v>
      </c>
      <c r="E31" s="134">
        <f>E6</f>
        <v>1200</v>
      </c>
      <c r="F31" s="56">
        <f>F6</f>
        <v>1500</v>
      </c>
      <c r="G31" s="59">
        <f>G6</f>
        <v>2100</v>
      </c>
      <c r="I31" s="77"/>
      <c r="J31" s="73"/>
      <c r="K31" s="73" t="s">
        <v>84</v>
      </c>
      <c r="L31" s="65">
        <f>D31</f>
        <v>800</v>
      </c>
      <c r="M31" s="56">
        <f>E31</f>
        <v>1200</v>
      </c>
      <c r="N31" s="56">
        <f>F31</f>
        <v>1500</v>
      </c>
      <c r="O31" s="59">
        <f>G31</f>
        <v>2100</v>
      </c>
    </row>
    <row r="32" spans="1:18">
      <c r="A32" s="78">
        <v>1</v>
      </c>
      <c r="B32" s="83">
        <v>50</v>
      </c>
      <c r="C32" s="74">
        <v>7000</v>
      </c>
      <c r="D32" s="70">
        <f>O7/$H$6/$D$31</f>
        <v>9.2108718487394956</v>
      </c>
      <c r="E32" s="132">
        <f>P7/H$6/E$31</f>
        <v>8.9504551820728295</v>
      </c>
      <c r="F32" s="64">
        <f>Q7/H$6/F$31</f>
        <v>9.0839460784313726</v>
      </c>
      <c r="G32" s="67">
        <f>R7/H$6/G$31</f>
        <v>9.0489320728291318</v>
      </c>
      <c r="I32" s="78">
        <v>1</v>
      </c>
      <c r="J32" s="83">
        <v>75</v>
      </c>
      <c r="K32" s="74">
        <v>7000</v>
      </c>
      <c r="L32" s="70">
        <f>2.5+D32</f>
        <v>11.710871848739496</v>
      </c>
      <c r="M32" s="70">
        <f t="shared" ref="M32:O35" si="24">2.5+E32</f>
        <v>11.45045518207283</v>
      </c>
      <c r="N32" s="70">
        <f t="shared" si="24"/>
        <v>11.583946078431373</v>
      </c>
      <c r="O32" s="94">
        <f t="shared" si="24"/>
        <v>11.548932072829132</v>
      </c>
    </row>
    <row r="33" spans="1:19">
      <c r="A33" s="78"/>
      <c r="B33" s="83"/>
      <c r="C33" s="74">
        <v>8000</v>
      </c>
      <c r="D33" s="70">
        <f>O8/$H$6/$D$31</f>
        <v>12.005974264705882</v>
      </c>
      <c r="E33" s="132">
        <f>P8/H$6/E$31</f>
        <v>11.699601715686274</v>
      </c>
      <c r="F33" s="64">
        <f>Q8/H$6/F$31</f>
        <v>11.084257921918768</v>
      </c>
      <c r="G33" s="67">
        <f>R8/H$6/G$31</f>
        <v>11.849368653711485</v>
      </c>
      <c r="I33" s="78"/>
      <c r="J33" s="83"/>
      <c r="K33" s="74">
        <v>8000</v>
      </c>
      <c r="L33" s="70">
        <f>2.5+D33</f>
        <v>14.505974264705882</v>
      </c>
      <c r="M33" s="70">
        <f t="shared" ref="M33" si="25">2.5+E33</f>
        <v>14.199601715686274</v>
      </c>
      <c r="N33" s="70">
        <f t="shared" ref="N33" si="26">2.5+F33</f>
        <v>13.584257921918768</v>
      </c>
      <c r="O33" s="94">
        <f t="shared" ref="O33" si="27">2.5+G33</f>
        <v>14.349368653711485</v>
      </c>
    </row>
    <row r="34" spans="1:19">
      <c r="A34" s="79"/>
      <c r="B34" s="74"/>
      <c r="C34" s="74">
        <v>10000</v>
      </c>
      <c r="D34" s="70">
        <f>O9/$H$6/$D$31</f>
        <v>9.9149816176470598</v>
      </c>
      <c r="E34" s="132">
        <f>P9/H$6/E$31</f>
        <v>9.3903186274509789</v>
      </c>
      <c r="F34" s="64">
        <f>Q9/H$6/F$31</f>
        <v>9.5320159313725483</v>
      </c>
      <c r="G34" s="67">
        <f>R9/H$6/G$31</f>
        <v>9.4970019257703076</v>
      </c>
      <c r="I34" s="79"/>
      <c r="J34" s="74"/>
      <c r="K34" s="125">
        <v>10000</v>
      </c>
      <c r="L34" s="126">
        <f>2.5+D34</f>
        <v>12.41498161764706</v>
      </c>
      <c r="M34" s="126">
        <f t="shared" si="24"/>
        <v>11.890318627450979</v>
      </c>
      <c r="N34" s="126">
        <f t="shared" si="24"/>
        <v>12.032015931372548</v>
      </c>
      <c r="O34" s="127">
        <f t="shared" si="24"/>
        <v>11.997001925770308</v>
      </c>
    </row>
    <row r="35" spans="1:19">
      <c r="A35" s="79"/>
      <c r="B35" s="74"/>
      <c r="C35" s="74">
        <v>12000</v>
      </c>
      <c r="D35" s="70">
        <f>O10/$H$6/$D$31</f>
        <v>5.8210784313725492</v>
      </c>
      <c r="E35" s="132">
        <f>P10/H$6/E$31</f>
        <v>5.2849264705882355</v>
      </c>
      <c r="F35" s="64">
        <f>Q10/H$6/F$31</f>
        <v>5.3500306372549025</v>
      </c>
      <c r="G35" s="67">
        <f>R10/H$6/G$31</f>
        <v>5.3150166316526617</v>
      </c>
      <c r="I35" s="79"/>
      <c r="J35" s="74"/>
      <c r="K35" s="74">
        <v>12000</v>
      </c>
      <c r="L35" s="70">
        <f>2.5+D35</f>
        <v>8.3210784313725483</v>
      </c>
      <c r="M35" s="70">
        <f t="shared" si="24"/>
        <v>7.7849264705882355</v>
      </c>
      <c r="N35" s="70">
        <f t="shared" si="24"/>
        <v>7.8500306372549025</v>
      </c>
      <c r="O35" s="94">
        <f t="shared" si="24"/>
        <v>7.8150166316526617</v>
      </c>
    </row>
    <row r="36" spans="1:19" ht="5.25" customHeight="1">
      <c r="A36" s="79"/>
      <c r="B36" s="74"/>
      <c r="C36" s="74"/>
      <c r="D36" s="70"/>
      <c r="E36" s="132"/>
      <c r="F36" s="64"/>
      <c r="G36" s="67"/>
      <c r="I36" s="79"/>
      <c r="J36" s="74"/>
      <c r="K36" s="74"/>
      <c r="L36" s="70"/>
      <c r="M36" s="64"/>
      <c r="N36" s="64"/>
      <c r="O36" s="67"/>
    </row>
    <row r="37" spans="1:19">
      <c r="A37" s="79">
        <v>2</v>
      </c>
      <c r="B37" s="74">
        <v>150</v>
      </c>
      <c r="C37" s="74">
        <v>7000</v>
      </c>
      <c r="D37" s="70">
        <f>O12/$H$6/$D$31</f>
        <v>4.8122373949579833</v>
      </c>
      <c r="E37" s="132">
        <f>P12/H$6/E$31</f>
        <v>4.5518207282913163</v>
      </c>
      <c r="F37" s="64">
        <f>Q12/H$6/F$31</f>
        <v>4.6032475490196081</v>
      </c>
      <c r="G37" s="67">
        <f>R12/H$6/G$31</f>
        <v>4.5682335434173664</v>
      </c>
      <c r="I37" s="79">
        <v>2</v>
      </c>
      <c r="J37" s="74">
        <v>150</v>
      </c>
      <c r="K37" s="74">
        <v>7000</v>
      </c>
      <c r="L37" s="70">
        <f>2.5+D37</f>
        <v>7.3122373949579833</v>
      </c>
      <c r="M37" s="70">
        <f t="shared" ref="M37:O40" si="28">2.5+E37</f>
        <v>7.0518207282913163</v>
      </c>
      <c r="N37" s="70">
        <f t="shared" si="28"/>
        <v>7.1032475490196081</v>
      </c>
      <c r="O37" s="94">
        <f t="shared" si="28"/>
        <v>7.0682335434173664</v>
      </c>
    </row>
    <row r="38" spans="1:19">
      <c r="A38" s="128"/>
      <c r="B38" s="129"/>
      <c r="C38" s="130">
        <v>8000</v>
      </c>
      <c r="D38" s="131">
        <f>O13/$H$6/$D$31</f>
        <v>4.3083639705882355</v>
      </c>
      <c r="E38" s="132">
        <f>P13/H$6/E$31</f>
        <v>4.0019914215686274</v>
      </c>
      <c r="F38" s="132">
        <f>Q13/H$6/F$31</f>
        <v>4.043160232843138</v>
      </c>
      <c r="G38" s="133">
        <f>R13/H$6/G$31</f>
        <v>4.0081462272408963</v>
      </c>
      <c r="I38" s="79"/>
      <c r="J38" s="74"/>
      <c r="K38" s="42">
        <v>8000</v>
      </c>
      <c r="L38" s="70">
        <f>2.5+D38</f>
        <v>6.8083639705882355</v>
      </c>
      <c r="M38" s="70">
        <f t="shared" ref="M38" si="29">2.5+E38</f>
        <v>6.5019914215686274</v>
      </c>
      <c r="N38" s="70">
        <f t="shared" ref="N38" si="30">2.5+F38</f>
        <v>6.543160232843138</v>
      </c>
      <c r="O38" s="94">
        <f t="shared" ref="O38" si="31">2.5+G38</f>
        <v>6.5081462272408963</v>
      </c>
      <c r="Q38" s="137" t="s">
        <v>152</v>
      </c>
      <c r="R38" t="s">
        <v>151</v>
      </c>
      <c r="S38" t="s">
        <v>150</v>
      </c>
    </row>
    <row r="39" spans="1:19">
      <c r="A39" s="79"/>
      <c r="B39" s="74"/>
      <c r="C39" s="74">
        <v>10000</v>
      </c>
      <c r="D39" s="70">
        <f>O14/$H$6/$D$31</f>
        <v>3.5845588235294121</v>
      </c>
      <c r="E39" s="132">
        <f>P14/H$6/E$31</f>
        <v>3.2322303921568629</v>
      </c>
      <c r="F39" s="64">
        <f>Q14/H$6/F$31</f>
        <v>3.2590379901960786</v>
      </c>
      <c r="G39" s="67">
        <f>R14/H$6/G$31</f>
        <v>3.2240239845938379</v>
      </c>
      <c r="I39" s="79"/>
      <c r="J39" s="74"/>
      <c r="K39" s="125">
        <v>10000</v>
      </c>
      <c r="L39" s="126">
        <f t="shared" ref="L39:L45" si="32">2.5+D39</f>
        <v>6.0845588235294121</v>
      </c>
      <c r="M39" s="126">
        <f t="shared" si="28"/>
        <v>5.7322303921568629</v>
      </c>
      <c r="N39" s="126">
        <f t="shared" si="28"/>
        <v>5.7590379901960791</v>
      </c>
      <c r="O39" s="127">
        <f t="shared" si="28"/>
        <v>5.7240239845938383</v>
      </c>
      <c r="Q39" s="138">
        <v>81</v>
      </c>
      <c r="R39" s="139">
        <v>10713</v>
      </c>
      <c r="S39" s="139">
        <v>5913</v>
      </c>
    </row>
    <row r="40" spans="1:19">
      <c r="A40" s="79"/>
      <c r="B40" s="74"/>
      <c r="C40" s="74">
        <v>12000</v>
      </c>
      <c r="D40" s="70">
        <f>O15/$H$6/$D$31</f>
        <v>3.2552083333333339</v>
      </c>
      <c r="E40" s="132">
        <f>P15/H$6/E$31</f>
        <v>2.7190563725490198</v>
      </c>
      <c r="F40" s="64">
        <f>Q15/H$6/F$31</f>
        <v>2.7362898284313726</v>
      </c>
      <c r="G40" s="67">
        <f>R15/H$6/G$31</f>
        <v>2.7012758228291318</v>
      </c>
      <c r="I40" s="79"/>
      <c r="J40" s="74"/>
      <c r="K40" s="74">
        <v>12000</v>
      </c>
      <c r="L40" s="70">
        <f t="shared" si="32"/>
        <v>5.7552083333333339</v>
      </c>
      <c r="M40" s="70">
        <f t="shared" si="28"/>
        <v>5.2190563725490193</v>
      </c>
      <c r="N40" s="70">
        <f t="shared" si="28"/>
        <v>5.2362898284313726</v>
      </c>
      <c r="O40" s="94">
        <f t="shared" si="28"/>
        <v>5.2012758228291318</v>
      </c>
    </row>
    <row r="41" spans="1:19" ht="5.25" customHeight="1">
      <c r="A41" s="79"/>
      <c r="B41" s="74"/>
      <c r="C41" s="74"/>
      <c r="D41" s="70"/>
      <c r="E41" s="132"/>
      <c r="F41" s="64"/>
      <c r="G41" s="67"/>
      <c r="I41" s="79"/>
      <c r="J41" s="74"/>
      <c r="K41" s="74"/>
      <c r="L41" s="70"/>
      <c r="M41" s="64"/>
      <c r="N41" s="64"/>
      <c r="O41" s="67"/>
    </row>
    <row r="42" spans="1:19">
      <c r="A42" s="79">
        <v>3</v>
      </c>
      <c r="B42" s="74">
        <v>200</v>
      </c>
      <c r="C42" s="74">
        <v>7000</v>
      </c>
      <c r="D42" s="70">
        <f>O17/$H$6/$D$31</f>
        <v>3.712578781512605</v>
      </c>
      <c r="E42" s="132">
        <f>P17/H$6/E$31</f>
        <v>3.4521621148459385</v>
      </c>
      <c r="F42" s="64">
        <f>Q17/H$6/F$31</f>
        <v>3.4830729166666665</v>
      </c>
      <c r="G42" s="67">
        <f>R17/H$6/G$31</f>
        <v>3.4480589110644262</v>
      </c>
      <c r="I42" s="79">
        <v>3</v>
      </c>
      <c r="J42" s="74">
        <v>200</v>
      </c>
      <c r="K42" s="74">
        <v>7000</v>
      </c>
      <c r="L42" s="70">
        <f t="shared" si="32"/>
        <v>6.2125787815126046</v>
      </c>
      <c r="M42" s="70">
        <f t="shared" ref="M42:M45" si="33">2.5+E42</f>
        <v>5.9521621148459385</v>
      </c>
      <c r="N42" s="70">
        <f t="shared" ref="N42:N45" si="34">2.5+F42</f>
        <v>5.9830729166666661</v>
      </c>
      <c r="O42" s="94">
        <f t="shared" ref="O42:O45" si="35">2.5+G42</f>
        <v>5.9480589110644262</v>
      </c>
    </row>
    <row r="43" spans="1:19">
      <c r="A43" s="79"/>
      <c r="B43" s="74"/>
      <c r="C43" s="42">
        <v>8000</v>
      </c>
      <c r="D43" s="70">
        <f>O18/$H$6/$D$31</f>
        <v>3.3461626838235294</v>
      </c>
      <c r="E43" s="132">
        <f>P18/H$6/E$31</f>
        <v>3.0397901348039214</v>
      </c>
      <c r="F43" s="64">
        <f>Q18/H$6/F$31</f>
        <v>3.0630074295343142</v>
      </c>
      <c r="G43" s="67">
        <f>R18/H$6/G$31</f>
        <v>3.0279934239320729</v>
      </c>
      <c r="I43" s="79"/>
      <c r="J43" s="74"/>
      <c r="K43" s="42">
        <v>8000</v>
      </c>
      <c r="L43" s="70">
        <f t="shared" ref="L43" si="36">2.5+D43</f>
        <v>5.846162683823529</v>
      </c>
      <c r="M43" s="70">
        <f t="shared" ref="M43" si="37">2.5+E43</f>
        <v>5.5397901348039209</v>
      </c>
      <c r="N43" s="70">
        <f t="shared" ref="N43" si="38">2.5+F43</f>
        <v>5.5630074295343146</v>
      </c>
      <c r="O43" s="94">
        <f t="shared" ref="O43" si="39">2.5+G43</f>
        <v>5.5279934239320729</v>
      </c>
    </row>
    <row r="44" spans="1:19">
      <c r="A44" s="79"/>
      <c r="B44" s="74"/>
      <c r="C44" s="74">
        <v>10000</v>
      </c>
      <c r="D44" s="70">
        <f>O19/$H$6/$D$31</f>
        <v>2.8147977941176467</v>
      </c>
      <c r="E44" s="132">
        <f>P19/H$6/E$31</f>
        <v>2.462469362745098</v>
      </c>
      <c r="F44" s="64">
        <f>Q19/H$6/F$31</f>
        <v>2.4749157475490198</v>
      </c>
      <c r="G44" s="67">
        <f>R19/H$6/G$31</f>
        <v>2.4399017419467786</v>
      </c>
      <c r="I44" s="79"/>
      <c r="J44" s="74"/>
      <c r="K44" s="125">
        <v>10000</v>
      </c>
      <c r="L44" s="126">
        <f t="shared" si="32"/>
        <v>5.3147977941176467</v>
      </c>
      <c r="M44" s="126">
        <f t="shared" si="33"/>
        <v>4.9624693627450984</v>
      </c>
      <c r="N44" s="126">
        <f t="shared" si="34"/>
        <v>4.9749157475490193</v>
      </c>
      <c r="O44" s="127">
        <f t="shared" si="35"/>
        <v>4.9399017419467786</v>
      </c>
    </row>
    <row r="45" spans="1:19">
      <c r="A45" s="79"/>
      <c r="B45" s="74"/>
      <c r="C45" s="74">
        <v>12000</v>
      </c>
      <c r="D45" s="70">
        <f>O20/$H$6/$D$31</f>
        <v>2.6137408088235294</v>
      </c>
      <c r="E45" s="132">
        <f>P20/H$6/E$31</f>
        <v>2.0775888480392157</v>
      </c>
      <c r="F45" s="64">
        <f>Q20/H$6/F$31</f>
        <v>2.0828546262254903</v>
      </c>
      <c r="G45" s="67">
        <f>R20/H$6/G$31</f>
        <v>2.0478406206232491</v>
      </c>
      <c r="I45" s="79"/>
      <c r="J45" s="74"/>
      <c r="K45" s="74">
        <v>12000</v>
      </c>
      <c r="L45" s="70">
        <f t="shared" si="32"/>
        <v>5.113740808823529</v>
      </c>
      <c r="M45" s="70">
        <f t="shared" si="33"/>
        <v>4.5775888480392162</v>
      </c>
      <c r="N45" s="70">
        <f t="shared" si="34"/>
        <v>4.5828546262254903</v>
      </c>
      <c r="O45" s="94">
        <f t="shared" si="35"/>
        <v>4.5478406206232496</v>
      </c>
    </row>
    <row r="46" spans="1:19" ht="4.5" customHeight="1">
      <c r="A46" s="79"/>
      <c r="B46" s="74"/>
      <c r="C46" s="74"/>
      <c r="D46" s="70"/>
      <c r="E46" s="132"/>
      <c r="F46" s="64"/>
      <c r="G46" s="67"/>
      <c r="I46" s="79"/>
      <c r="J46" s="74"/>
      <c r="K46" s="74"/>
      <c r="L46" s="70"/>
      <c r="M46" s="64"/>
      <c r="N46" s="64"/>
      <c r="O46" s="67"/>
    </row>
    <row r="47" spans="1:19">
      <c r="A47" s="79">
        <v>4</v>
      </c>
      <c r="B47" s="74">
        <v>300</v>
      </c>
      <c r="C47" s="74">
        <v>7000</v>
      </c>
      <c r="D47" s="70">
        <f>O22/$H$6/$D$31</f>
        <v>2.6129201680672272</v>
      </c>
      <c r="E47" s="132">
        <f>P22/H$6/E$31</f>
        <v>2.3525035014005602</v>
      </c>
      <c r="F47" s="64">
        <f>Q22/H$6/F$31</f>
        <v>2.3628982843137254</v>
      </c>
      <c r="G47" s="67">
        <f>R22/H$6/G$31</f>
        <v>2.3278842787114846</v>
      </c>
      <c r="I47" s="79">
        <v>4</v>
      </c>
      <c r="J47" s="74">
        <v>300</v>
      </c>
      <c r="K47" s="74">
        <v>7000</v>
      </c>
      <c r="L47" s="70">
        <f t="shared" ref="L47:L50" si="40">2.5+D47</f>
        <v>5.1129201680672267</v>
      </c>
      <c r="M47" s="70">
        <f t="shared" ref="M47:M50" si="41">2.5+E47</f>
        <v>4.8525035014005606</v>
      </c>
      <c r="N47" s="70">
        <f t="shared" ref="N47:N50" si="42">2.5+F47</f>
        <v>4.8628982843137258</v>
      </c>
      <c r="O47" s="94">
        <f t="shared" ref="O47:O50" si="43">2.5+G47</f>
        <v>4.8278842787114851</v>
      </c>
    </row>
    <row r="48" spans="1:19">
      <c r="A48" s="79"/>
      <c r="B48" s="74"/>
      <c r="C48" s="42">
        <v>8000</v>
      </c>
      <c r="D48" s="70">
        <f>O23/$H$6/$D$31</f>
        <v>2.3839613970588238</v>
      </c>
      <c r="E48" s="132">
        <f>P23/H$6/E$31</f>
        <v>2.0775888480392157</v>
      </c>
      <c r="F48" s="64">
        <f>Q23/H$6/F$31</f>
        <v>2.0828546262254903</v>
      </c>
      <c r="G48" s="67">
        <f>R23/H$6/G$31</f>
        <v>2.0478406206232491</v>
      </c>
      <c r="I48" s="79"/>
      <c r="J48" s="74"/>
      <c r="K48" s="42">
        <v>8000</v>
      </c>
      <c r="L48" s="70">
        <f t="shared" ref="L48" si="44">2.5+D48</f>
        <v>4.8839613970588243</v>
      </c>
      <c r="M48" s="70">
        <f t="shared" ref="M48" si="45">2.5+E48</f>
        <v>4.5775888480392162</v>
      </c>
      <c r="N48" s="70">
        <f t="shared" ref="N48" si="46">2.5+F48</f>
        <v>4.5828546262254903</v>
      </c>
      <c r="O48" s="94">
        <f t="shared" ref="O48" si="47">2.5+G48</f>
        <v>4.5478406206232496</v>
      </c>
    </row>
    <row r="49" spans="1:15">
      <c r="A49" s="79"/>
      <c r="B49" s="74"/>
      <c r="C49" s="74">
        <v>10000</v>
      </c>
      <c r="D49" s="70">
        <f>O24/$H$6/$D$31</f>
        <v>2.0450367647058822</v>
      </c>
      <c r="E49" s="132">
        <f>P24/H$6/E$31</f>
        <v>1.6927083333333333</v>
      </c>
      <c r="F49" s="64">
        <f>Q24/H$6/F$31</f>
        <v>1.6907935049019609</v>
      </c>
      <c r="G49" s="67">
        <f>R24/H$6/G$31</f>
        <v>1.6557794992997199</v>
      </c>
      <c r="I49" s="100"/>
      <c r="J49" s="74"/>
      <c r="K49" s="125">
        <v>10000</v>
      </c>
      <c r="L49" s="126">
        <f t="shared" si="40"/>
        <v>4.5450367647058822</v>
      </c>
      <c r="M49" s="126">
        <f t="shared" si="41"/>
        <v>4.192708333333333</v>
      </c>
      <c r="N49" s="126">
        <f t="shared" si="42"/>
        <v>4.1907935049019613</v>
      </c>
      <c r="O49" s="127">
        <f t="shared" si="43"/>
        <v>4.1557794992997197</v>
      </c>
    </row>
    <row r="50" spans="1:15" ht="15.75" thickBot="1">
      <c r="A50" s="80"/>
      <c r="B50" s="75"/>
      <c r="C50" s="75">
        <v>12000</v>
      </c>
      <c r="D50" s="71">
        <f>O25/$H$6/$D$31</f>
        <v>1.9722732843137256</v>
      </c>
      <c r="E50" s="135">
        <f>P25/H$6/E$31</f>
        <v>1.4361213235294117</v>
      </c>
      <c r="F50" s="68">
        <f>Q25/H$6/F$31</f>
        <v>1.4294194240196079</v>
      </c>
      <c r="G50" s="69">
        <f>R25/H$6/G$31</f>
        <v>1.3944054184173671</v>
      </c>
      <c r="I50" s="80"/>
      <c r="J50" s="75"/>
      <c r="K50" s="75">
        <v>12000</v>
      </c>
      <c r="L50" s="71">
        <f t="shared" si="40"/>
        <v>4.4722732843137258</v>
      </c>
      <c r="M50" s="71">
        <f t="shared" si="41"/>
        <v>3.9361213235294117</v>
      </c>
      <c r="N50" s="71">
        <f t="shared" si="42"/>
        <v>3.9294194240196081</v>
      </c>
      <c r="O50" s="95">
        <f t="shared" si="43"/>
        <v>3.8944054184173673</v>
      </c>
    </row>
    <row r="51" spans="1:15" ht="15.75" thickBot="1"/>
    <row r="52" spans="1:15" ht="15.75" customHeight="1" thickBot="1">
      <c r="A52" s="97" t="s">
        <v>128</v>
      </c>
      <c r="B52" s="99"/>
      <c r="C52" s="91" t="s">
        <v>93</v>
      </c>
      <c r="D52" s="92" t="s">
        <v>94</v>
      </c>
      <c r="E52" s="91" t="s">
        <v>95</v>
      </c>
      <c r="F52" s="156" t="s">
        <v>130</v>
      </c>
      <c r="G52" s="157"/>
      <c r="H52" s="157"/>
      <c r="I52" s="84"/>
      <c r="K52" s="96" t="s">
        <v>162</v>
      </c>
    </row>
    <row r="53" spans="1:15" ht="15.75" thickBot="1">
      <c r="A53" s="98">
        <v>10000</v>
      </c>
      <c r="B53" s="97" t="s">
        <v>89</v>
      </c>
      <c r="C53" s="66"/>
      <c r="D53" s="82"/>
      <c r="E53" s="66"/>
      <c r="F53" s="159"/>
      <c r="G53" s="160"/>
      <c r="H53" s="160"/>
      <c r="I53" s="85"/>
      <c r="K53" s="96" t="s">
        <v>143</v>
      </c>
    </row>
    <row r="54" spans="1:15" ht="15.75" thickBot="1">
      <c r="A54" s="97"/>
      <c r="B54" s="97"/>
      <c r="C54" s="77"/>
      <c r="D54" s="73"/>
      <c r="E54" s="73" t="s">
        <v>84</v>
      </c>
      <c r="F54" s="65">
        <v>500</v>
      </c>
      <c r="G54" s="56">
        <v>1200</v>
      </c>
      <c r="H54" s="56">
        <v>1500</v>
      </c>
      <c r="I54" s="59">
        <v>2100</v>
      </c>
    </row>
    <row r="55" spans="1:15">
      <c r="C55" s="78">
        <v>1</v>
      </c>
      <c r="D55" s="83">
        <v>75</v>
      </c>
      <c r="E55" s="74">
        <v>7000</v>
      </c>
      <c r="F55" s="86">
        <f t="shared" ref="F55:I56" si="48">D32*D$31*$A$53</f>
        <v>73686974.789915964</v>
      </c>
      <c r="G55" s="86">
        <f t="shared" si="48"/>
        <v>107405462.18487395</v>
      </c>
      <c r="H55" s="86">
        <f t="shared" si="48"/>
        <v>136259191.17647061</v>
      </c>
      <c r="I55" s="87">
        <f t="shared" si="48"/>
        <v>190027573.52941179</v>
      </c>
    </row>
    <row r="56" spans="1:15">
      <c r="C56" s="78"/>
      <c r="D56" s="83"/>
      <c r="E56" s="74">
        <v>8000</v>
      </c>
      <c r="F56" s="86">
        <f t="shared" si="48"/>
        <v>96047794.117647067</v>
      </c>
      <c r="G56" s="86">
        <f t="shared" si="48"/>
        <v>140395220.58823529</v>
      </c>
      <c r="H56" s="86">
        <f t="shared" si="48"/>
        <v>166263868.82878152</v>
      </c>
      <c r="I56" s="87">
        <f t="shared" si="48"/>
        <v>248836741.72794119</v>
      </c>
    </row>
    <row r="57" spans="1:15">
      <c r="C57" s="79"/>
      <c r="D57" s="74"/>
      <c r="E57" s="74">
        <v>10000</v>
      </c>
      <c r="F57" s="86">
        <f t="shared" ref="F57:I58" si="49">D34*D$31*$A$53</f>
        <v>79319852.941176474</v>
      </c>
      <c r="G57" s="86">
        <f t="shared" si="49"/>
        <v>112683823.52941175</v>
      </c>
      <c r="H57" s="86">
        <f t="shared" si="49"/>
        <v>142980238.97058821</v>
      </c>
      <c r="I57" s="87">
        <f t="shared" si="49"/>
        <v>199437040.44117647</v>
      </c>
    </row>
    <row r="58" spans="1:15">
      <c r="C58" s="79"/>
      <c r="D58" s="74"/>
      <c r="E58" s="74">
        <v>12000</v>
      </c>
      <c r="F58" s="86">
        <f t="shared" si="49"/>
        <v>46568627.450980395</v>
      </c>
      <c r="G58" s="86">
        <f t="shared" si="49"/>
        <v>63419117.64705883</v>
      </c>
      <c r="H58" s="86">
        <f t="shared" si="49"/>
        <v>80250459.558823541</v>
      </c>
      <c r="I58" s="87">
        <f t="shared" si="49"/>
        <v>111615349.2647059</v>
      </c>
    </row>
    <row r="59" spans="1:15">
      <c r="C59" s="79"/>
      <c r="D59" s="74"/>
      <c r="E59" s="74"/>
      <c r="F59" s="86"/>
      <c r="G59" s="86"/>
      <c r="H59" s="86"/>
      <c r="I59" s="87"/>
    </row>
    <row r="60" spans="1:15">
      <c r="C60" s="79">
        <v>2</v>
      </c>
      <c r="D60" s="74">
        <v>150</v>
      </c>
      <c r="E60" s="74">
        <v>7000</v>
      </c>
      <c r="F60" s="86">
        <f t="shared" ref="F60:I61" si="50">D37*D$31*$A$53</f>
        <v>38497899.159663863</v>
      </c>
      <c r="G60" s="86">
        <f t="shared" si="50"/>
        <v>54621848.739495799</v>
      </c>
      <c r="H60" s="86">
        <f t="shared" si="50"/>
        <v>69048713.235294119</v>
      </c>
      <c r="I60" s="87">
        <f t="shared" si="50"/>
        <v>95932904.411764696</v>
      </c>
    </row>
    <row r="61" spans="1:15">
      <c r="C61" s="79"/>
      <c r="D61" s="74"/>
      <c r="E61" s="74">
        <v>8000</v>
      </c>
      <c r="F61" s="86">
        <f t="shared" si="50"/>
        <v>34466911.764705881</v>
      </c>
      <c r="G61" s="86">
        <f t="shared" si="50"/>
        <v>48023897.058823533</v>
      </c>
      <c r="H61" s="86">
        <f t="shared" si="50"/>
        <v>60647403.492647074</v>
      </c>
      <c r="I61" s="87">
        <f t="shared" si="50"/>
        <v>84171070.77205883</v>
      </c>
    </row>
    <row r="62" spans="1:15">
      <c r="C62" s="79"/>
      <c r="D62" s="74"/>
      <c r="E62" s="74">
        <v>10000</v>
      </c>
      <c r="F62" s="86">
        <f t="shared" ref="F62:I63" si="51">D39*D$31*$A$53</f>
        <v>28676470.588235296</v>
      </c>
      <c r="G62" s="86">
        <f t="shared" si="51"/>
        <v>38786764.705882356</v>
      </c>
      <c r="H62" s="86">
        <f t="shared" si="51"/>
        <v>48885569.852941178</v>
      </c>
      <c r="I62" s="87">
        <f t="shared" si="51"/>
        <v>67704503.676470593</v>
      </c>
    </row>
    <row r="63" spans="1:15">
      <c r="C63" s="79"/>
      <c r="D63" s="74"/>
      <c r="E63" s="74">
        <v>12000</v>
      </c>
      <c r="F63" s="86">
        <f t="shared" si="51"/>
        <v>26041666.666666668</v>
      </c>
      <c r="G63" s="86">
        <f t="shared" si="51"/>
        <v>32628676.470588237</v>
      </c>
      <c r="H63" s="86">
        <f t="shared" si="51"/>
        <v>41044347.426470585</v>
      </c>
      <c r="I63" s="87">
        <f t="shared" si="51"/>
        <v>56726792.279411763</v>
      </c>
    </row>
    <row r="64" spans="1:15">
      <c r="C64" s="79"/>
      <c r="D64" s="74"/>
      <c r="E64" s="74"/>
      <c r="F64" s="86"/>
      <c r="G64" s="86"/>
      <c r="H64" s="86"/>
      <c r="I64" s="87"/>
    </row>
    <row r="65" spans="3:14">
      <c r="C65" s="79">
        <v>3</v>
      </c>
      <c r="D65" s="74">
        <v>200</v>
      </c>
      <c r="E65" s="74">
        <v>7000</v>
      </c>
      <c r="F65" s="86">
        <f t="shared" ref="F65:I66" si="52">D42*D$31*$A$53</f>
        <v>29700630.25210084</v>
      </c>
      <c r="G65" s="86">
        <f t="shared" si="52"/>
        <v>41425945.37815126</v>
      </c>
      <c r="H65" s="86">
        <f t="shared" si="52"/>
        <v>52246093.75</v>
      </c>
      <c r="I65" s="87">
        <f t="shared" si="52"/>
        <v>72409237.132352948</v>
      </c>
      <c r="L65" t="s">
        <v>147</v>
      </c>
      <c r="N65" t="s">
        <v>146</v>
      </c>
    </row>
    <row r="66" spans="3:14">
      <c r="C66" s="79"/>
      <c r="D66" s="74"/>
      <c r="E66" s="74">
        <v>8000</v>
      </c>
      <c r="F66" s="86">
        <f t="shared" si="52"/>
        <v>26769301.470588233</v>
      </c>
      <c r="G66" s="86">
        <f t="shared" si="52"/>
        <v>36477481.617647052</v>
      </c>
      <c r="H66" s="86">
        <f t="shared" si="52"/>
        <v>45945111.443014711</v>
      </c>
      <c r="I66" s="87">
        <f t="shared" si="52"/>
        <v>63587861.902573533</v>
      </c>
    </row>
    <row r="67" spans="3:14">
      <c r="C67" s="79"/>
      <c r="D67" s="74"/>
      <c r="E67" s="74">
        <v>10000</v>
      </c>
      <c r="F67" s="86">
        <f t="shared" ref="F67:I68" si="53">D44*D$31*$A$53</f>
        <v>22518382.352941174</v>
      </c>
      <c r="G67" s="86">
        <f t="shared" si="53"/>
        <v>29549632.352941174</v>
      </c>
      <c r="H67" s="86">
        <f t="shared" si="53"/>
        <v>37123736.213235296</v>
      </c>
      <c r="I67" s="87">
        <f t="shared" si="53"/>
        <v>51237936.580882348</v>
      </c>
    </row>
    <row r="68" spans="3:14">
      <c r="C68" s="79"/>
      <c r="D68" s="74"/>
      <c r="E68" s="74">
        <v>12000</v>
      </c>
      <c r="F68" s="86">
        <f t="shared" si="53"/>
        <v>20909926.470588233</v>
      </c>
      <c r="G68" s="86">
        <f t="shared" si="53"/>
        <v>24931066.176470589</v>
      </c>
      <c r="H68" s="86">
        <f t="shared" si="53"/>
        <v>31242819.393382356</v>
      </c>
      <c r="I68" s="87">
        <f t="shared" si="53"/>
        <v>43004653.033088237</v>
      </c>
    </row>
    <row r="69" spans="3:14">
      <c r="C69" s="79"/>
      <c r="D69" s="74"/>
      <c r="E69" s="74"/>
      <c r="F69" s="86"/>
      <c r="G69" s="86"/>
      <c r="H69" s="86"/>
      <c r="I69" s="87"/>
    </row>
    <row r="70" spans="3:14">
      <c r="C70" s="79">
        <v>4</v>
      </c>
      <c r="D70" s="74">
        <v>300</v>
      </c>
      <c r="E70" s="74">
        <v>7000</v>
      </c>
      <c r="F70" s="86">
        <f t="shared" ref="F70:I71" si="54">D47*D$31*$A$53</f>
        <v>20903361.344537817</v>
      </c>
      <c r="G70" s="86">
        <f t="shared" si="54"/>
        <v>28230042.016806725</v>
      </c>
      <c r="H70" s="86">
        <f t="shared" si="54"/>
        <v>35443474.264705881</v>
      </c>
      <c r="I70" s="87">
        <f t="shared" si="54"/>
        <v>48885569.852941178</v>
      </c>
    </row>
    <row r="71" spans="3:14">
      <c r="C71" s="79"/>
      <c r="D71" s="74"/>
      <c r="E71" s="74">
        <v>8000</v>
      </c>
      <c r="F71" s="86">
        <f t="shared" si="54"/>
        <v>19071691.176470589</v>
      </c>
      <c r="G71" s="86">
        <f t="shared" si="54"/>
        <v>24931066.176470589</v>
      </c>
      <c r="H71" s="86">
        <f t="shared" si="54"/>
        <v>31242819.393382356</v>
      </c>
      <c r="I71" s="87">
        <f t="shared" si="54"/>
        <v>43004653.033088237</v>
      </c>
    </row>
    <row r="72" spans="3:14">
      <c r="C72" s="79"/>
      <c r="D72" s="74"/>
      <c r="E72" s="74">
        <v>10000</v>
      </c>
      <c r="F72" s="86">
        <f t="shared" ref="F72:I73" si="55">D49*D$31*$A$53</f>
        <v>16360294.117647059</v>
      </c>
      <c r="G72" s="86">
        <f t="shared" si="55"/>
        <v>20312500</v>
      </c>
      <c r="H72" s="86">
        <f t="shared" si="55"/>
        <v>25361902.573529415</v>
      </c>
      <c r="I72" s="87">
        <f t="shared" si="55"/>
        <v>34771369.485294119</v>
      </c>
    </row>
    <row r="73" spans="3:14" ht="15.75" thickBot="1">
      <c r="C73" s="80"/>
      <c r="D73" s="75"/>
      <c r="E73" s="75">
        <v>12000</v>
      </c>
      <c r="F73" s="88">
        <f t="shared" si="55"/>
        <v>15778186.274509806</v>
      </c>
      <c r="G73" s="88">
        <f t="shared" si="55"/>
        <v>17233455.882352941</v>
      </c>
      <c r="H73" s="88">
        <f t="shared" si="55"/>
        <v>21441291.360294119</v>
      </c>
      <c r="I73" s="89">
        <f t="shared" si="55"/>
        <v>29282513.786764707</v>
      </c>
      <c r="L73" t="s">
        <v>144</v>
      </c>
      <c r="N73" t="s">
        <v>145</v>
      </c>
    </row>
  </sheetData>
  <mergeCells count="5">
    <mergeCell ref="J4:M5"/>
    <mergeCell ref="D4:G4"/>
    <mergeCell ref="D29:G30"/>
    <mergeCell ref="L29:O30"/>
    <mergeCell ref="F52:H53"/>
  </mergeCells>
  <pageMargins left="0.26" right="0.7" top="0.4" bottom="0.38" header="0.3" footer="0.3"/>
  <pageSetup paperSize="5" scale="80" orientation="landscape" horizontalDpi="180" verticalDpi="18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4"/>
  <sheetViews>
    <sheetView topLeftCell="A6" zoomScale="90" zoomScaleNormal="90" workbookViewId="0">
      <selection activeCell="C31" sqref="C31"/>
    </sheetView>
  </sheetViews>
  <sheetFormatPr defaultRowHeight="15"/>
  <cols>
    <col min="1" max="1" width="5.42578125" customWidth="1"/>
    <col min="2" max="2" width="35.7109375" customWidth="1"/>
    <col min="3" max="3" width="69.5703125" customWidth="1"/>
    <col min="4" max="6" width="16.85546875" customWidth="1"/>
    <col min="7" max="7" width="11.140625" bestFit="1" customWidth="1"/>
    <col min="8" max="9" width="15" bestFit="1" customWidth="1"/>
  </cols>
  <sheetData>
    <row r="1" spans="1:8">
      <c r="A1" t="s">
        <v>102</v>
      </c>
    </row>
    <row r="3" spans="1:8">
      <c r="A3" t="s">
        <v>103</v>
      </c>
    </row>
    <row r="5" spans="1:8">
      <c r="A5" t="s">
        <v>107</v>
      </c>
      <c r="C5" t="s">
        <v>108</v>
      </c>
    </row>
    <row r="7" spans="1:8">
      <c r="A7" t="s">
        <v>105</v>
      </c>
      <c r="C7" t="s">
        <v>106</v>
      </c>
    </row>
    <row r="9" spans="1:8">
      <c r="A9" t="s">
        <v>104</v>
      </c>
    </row>
    <row r="11" spans="1:8">
      <c r="A11" t="s">
        <v>109</v>
      </c>
      <c r="C11">
        <f>0.135*48000</f>
        <v>6480</v>
      </c>
      <c r="D11" s="93" t="s">
        <v>141</v>
      </c>
    </row>
    <row r="12" spans="1:8">
      <c r="B12" s="63" t="s">
        <v>126</v>
      </c>
      <c r="D12" t="s">
        <v>137</v>
      </c>
      <c r="E12" t="s">
        <v>138</v>
      </c>
      <c r="F12" t="s">
        <v>139</v>
      </c>
      <c r="G12" t="s">
        <v>132</v>
      </c>
      <c r="H12" t="s">
        <v>71</v>
      </c>
    </row>
    <row r="13" spans="1:8">
      <c r="A13">
        <v>1</v>
      </c>
      <c r="B13" t="s">
        <v>133</v>
      </c>
      <c r="D13" s="33">
        <f>1450000/173*2</f>
        <v>16763.005780346823</v>
      </c>
      <c r="E13" s="33">
        <f>D13/C11</f>
        <v>2.5868836080782134</v>
      </c>
      <c r="F13" s="33">
        <f>D13/48000</f>
        <v>0.34922928709055878</v>
      </c>
      <c r="G13" s="33">
        <f>1450000/173*2</f>
        <v>16763.005780346823</v>
      </c>
      <c r="H13" s="33">
        <f>G13</f>
        <v>16763.005780346823</v>
      </c>
    </row>
    <row r="14" spans="1:8">
      <c r="A14">
        <v>2</v>
      </c>
      <c r="B14" t="s">
        <v>140</v>
      </c>
      <c r="D14" s="33">
        <f>(112*8381)+(112*43*760)+(300*112*180)</f>
        <v>10646832</v>
      </c>
      <c r="E14" s="33">
        <f>D14/C11</f>
        <v>1643.0296296296297</v>
      </c>
      <c r="F14" s="33">
        <f>D14/48000</f>
        <v>221.809</v>
      </c>
      <c r="G14" s="33">
        <f>600000/90</f>
        <v>6666.666666666667</v>
      </c>
      <c r="H14" s="33">
        <f>112*82333</f>
        <v>9221296</v>
      </c>
    </row>
    <row r="15" spans="1:8">
      <c r="A15">
        <v>3</v>
      </c>
      <c r="B15" t="s">
        <v>110</v>
      </c>
      <c r="D15" s="33">
        <f>(2700*6480)</f>
        <v>17496000</v>
      </c>
      <c r="E15" s="33">
        <f>D15/C11</f>
        <v>2700</v>
      </c>
      <c r="F15" s="33">
        <f>D15/48000</f>
        <v>364.5</v>
      </c>
      <c r="G15" s="33">
        <v>2701</v>
      </c>
      <c r="H15" s="33">
        <f>1153*3.5*G15</f>
        <v>10899885.5</v>
      </c>
    </row>
    <row r="16" spans="1:8">
      <c r="A16">
        <v>4</v>
      </c>
      <c r="B16" t="s">
        <v>111</v>
      </c>
      <c r="D16" s="33">
        <f>350*C11</f>
        <v>2268000</v>
      </c>
      <c r="E16" s="33">
        <f>D16/C11</f>
        <v>350</v>
      </c>
      <c r="F16" s="33">
        <f>D16/48000</f>
        <v>47.25</v>
      </c>
      <c r="G16" s="33">
        <v>250</v>
      </c>
      <c r="H16" s="33">
        <f>G16*4036</f>
        <v>1009000</v>
      </c>
    </row>
    <row r="17" spans="1:9">
      <c r="A17">
        <v>6</v>
      </c>
      <c r="B17" t="s">
        <v>112</v>
      </c>
      <c r="D17" s="33">
        <f>E17*C11</f>
        <v>2916000</v>
      </c>
      <c r="E17" s="33">
        <v>450</v>
      </c>
      <c r="F17" s="33">
        <f>D17/48000</f>
        <v>60.75</v>
      </c>
      <c r="G17" s="33">
        <v>362</v>
      </c>
      <c r="H17" s="33">
        <f>4036*G17</f>
        <v>1461032</v>
      </c>
    </row>
    <row r="18" spans="1:9">
      <c r="A18">
        <v>7</v>
      </c>
      <c r="B18" t="s">
        <v>113</v>
      </c>
      <c r="D18" s="33"/>
      <c r="E18" s="33">
        <f>SUM(E13:E17)</f>
        <v>5145.6165132377082</v>
      </c>
      <c r="F18" s="33">
        <f>SUM(F13:F17)</f>
        <v>694.65822928709053</v>
      </c>
      <c r="G18" s="33"/>
      <c r="H18" s="32">
        <f>SUM(H13:H17)</f>
        <v>22607976.505780347</v>
      </c>
    </row>
    <row r="19" spans="1:9">
      <c r="G19" s="33"/>
      <c r="H19" s="32">
        <f>H18/4036</f>
        <v>5601.5799072795708</v>
      </c>
      <c r="I19" t="s">
        <v>134</v>
      </c>
    </row>
    <row r="20" spans="1:9">
      <c r="C20">
        <f>0.135*40000</f>
        <v>5400</v>
      </c>
      <c r="G20" s="33"/>
      <c r="H20" s="32">
        <f>H19*0.134</f>
        <v>750.61170757546256</v>
      </c>
      <c r="I20" t="s">
        <v>135</v>
      </c>
    </row>
    <row r="21" spans="1:9">
      <c r="B21" s="63" t="s">
        <v>136</v>
      </c>
      <c r="G21" s="33"/>
    </row>
    <row r="22" spans="1:9">
      <c r="D22" t="s">
        <v>137</v>
      </c>
      <c r="E22" t="s">
        <v>138</v>
      </c>
      <c r="F22" t="s">
        <v>139</v>
      </c>
      <c r="G22" s="33"/>
    </row>
    <row r="23" spans="1:9">
      <c r="A23">
        <v>1</v>
      </c>
      <c r="B23" t="s">
        <v>116</v>
      </c>
      <c r="D23">
        <f>1450000/173*2*2*7</f>
        <v>234682.08092485552</v>
      </c>
      <c r="E23">
        <f>D23/C20</f>
        <v>43.459644615713984</v>
      </c>
      <c r="F23">
        <f>D23/40000</f>
        <v>5.8670520231213876</v>
      </c>
      <c r="G23" s="33"/>
      <c r="H23" s="32">
        <f>H13*7</f>
        <v>117341.04046242776</v>
      </c>
    </row>
    <row r="24" spans="1:9">
      <c r="A24">
        <v>2</v>
      </c>
      <c r="B24" t="s">
        <v>142</v>
      </c>
      <c r="D24">
        <f>(3.5*3.5*760)+(1450000/173*9)</f>
        <v>84743.526011560694</v>
      </c>
      <c r="G24" s="33"/>
      <c r="H24" s="33">
        <f>84000/400/60*9*3.5*760</f>
        <v>83790</v>
      </c>
    </row>
    <row r="25" spans="1:9">
      <c r="A25">
        <v>3</v>
      </c>
      <c r="B25" t="s">
        <v>117</v>
      </c>
      <c r="G25" s="33"/>
      <c r="H25" s="33">
        <f>27*5*2015</f>
        <v>272025</v>
      </c>
    </row>
    <row r="26" spans="1:9">
      <c r="A26">
        <v>4</v>
      </c>
      <c r="B26" t="s">
        <v>118</v>
      </c>
      <c r="D26">
        <f>25*7.6*760</f>
        <v>144400</v>
      </c>
      <c r="G26" s="33">
        <f>110*5*7</f>
        <v>3850</v>
      </c>
      <c r="H26" s="33">
        <f>3.7*250*3850</f>
        <v>3561250</v>
      </c>
    </row>
    <row r="27" spans="1:9">
      <c r="A27">
        <v>6</v>
      </c>
      <c r="B27" t="s">
        <v>119</v>
      </c>
      <c r="G27" s="33">
        <v>4600</v>
      </c>
      <c r="H27" s="33">
        <f>G27*2*27</f>
        <v>248400</v>
      </c>
    </row>
    <row r="28" spans="1:9">
      <c r="A28">
        <v>7</v>
      </c>
      <c r="B28" t="s">
        <v>120</v>
      </c>
      <c r="G28" s="33"/>
      <c r="H28" s="33">
        <f>G13*6</f>
        <v>100578.03468208094</v>
      </c>
    </row>
    <row r="29" spans="1:9">
      <c r="A29">
        <v>8</v>
      </c>
      <c r="B29" t="s">
        <v>121</v>
      </c>
      <c r="H29" s="33">
        <f>40000/100/60*12*5.5*800</f>
        <v>352000</v>
      </c>
    </row>
    <row r="30" spans="1:9">
      <c r="A30">
        <v>9</v>
      </c>
      <c r="B30" t="s">
        <v>122</v>
      </c>
    </row>
    <row r="31" spans="1:9">
      <c r="A31">
        <v>10</v>
      </c>
      <c r="B31" t="s">
        <v>123</v>
      </c>
      <c r="H31" s="32">
        <f>H16</f>
        <v>1009000</v>
      </c>
    </row>
    <row r="32" spans="1:9">
      <c r="A32">
        <v>11</v>
      </c>
      <c r="B32" t="s">
        <v>124</v>
      </c>
      <c r="H32" s="32">
        <f>H17</f>
        <v>1461032</v>
      </c>
    </row>
    <row r="33" spans="1:9">
      <c r="A33">
        <v>12</v>
      </c>
      <c r="B33" t="s">
        <v>125</v>
      </c>
      <c r="H33" s="32">
        <f>SUM(H23:H32)</f>
        <v>7205416.0751445089</v>
      </c>
    </row>
    <row r="34" spans="1:9">
      <c r="H34" s="32">
        <f>H33/G26</f>
        <v>1871.5366428946777</v>
      </c>
      <c r="I34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activeCell="N4" sqref="N4"/>
    </sheetView>
  </sheetViews>
  <sheetFormatPr defaultRowHeight="15"/>
  <cols>
    <col min="1" max="2" width="12" customWidth="1"/>
    <col min="5" max="6" width="12" bestFit="1" customWidth="1"/>
    <col min="7" max="7" width="12" customWidth="1"/>
    <col min="9" max="9" width="9.5703125" bestFit="1" customWidth="1"/>
    <col min="11" max="11" width="10.5703125" bestFit="1" customWidth="1"/>
    <col min="12" max="12" width="18" bestFit="1" customWidth="1"/>
    <col min="13" max="13" width="9.5703125" bestFit="1" customWidth="1"/>
    <col min="14" max="14" width="13.28515625" bestFit="1" customWidth="1"/>
  </cols>
  <sheetData>
    <row r="1" spans="1:14">
      <c r="A1" t="s">
        <v>153</v>
      </c>
    </row>
    <row r="3" spans="1:14">
      <c r="A3" t="s">
        <v>154</v>
      </c>
      <c r="B3" t="s">
        <v>157</v>
      </c>
      <c r="C3" t="s">
        <v>84</v>
      </c>
      <c r="D3" t="s">
        <v>2</v>
      </c>
      <c r="E3" t="s">
        <v>156</v>
      </c>
      <c r="F3" t="s">
        <v>158</v>
      </c>
      <c r="G3" t="s">
        <v>161</v>
      </c>
      <c r="H3">
        <v>204</v>
      </c>
      <c r="I3" t="s">
        <v>159</v>
      </c>
      <c r="K3" t="s">
        <v>72</v>
      </c>
      <c r="L3">
        <v>60</v>
      </c>
    </row>
    <row r="4" spans="1:14">
      <c r="A4">
        <v>150</v>
      </c>
      <c r="B4">
        <v>700</v>
      </c>
      <c r="C4">
        <v>8000</v>
      </c>
      <c r="D4">
        <v>1200</v>
      </c>
      <c r="E4" s="33">
        <f>C4/D4*2</f>
        <v>13.333333333333334</v>
      </c>
      <c r="F4" s="33">
        <f>A4*9000/B4/E4/60</f>
        <v>2.4107142857142856</v>
      </c>
      <c r="G4" s="33">
        <v>10</v>
      </c>
      <c r="H4">
        <f>B4*H3/1000</f>
        <v>142.80000000000001</v>
      </c>
      <c r="I4" s="32">
        <f>24/F4*H4</f>
        <v>1421.6533333333334</v>
      </c>
      <c r="J4" t="s">
        <v>160</v>
      </c>
      <c r="K4" s="32">
        <f>F4*7.6*1225</f>
        <v>22443.749999999996</v>
      </c>
      <c r="L4" s="32">
        <f>K4*L3</f>
        <v>1346624.9999999998</v>
      </c>
      <c r="M4" s="32">
        <f>2880*F4</f>
        <v>6942.8571428571422</v>
      </c>
      <c r="N4" s="32">
        <f>I4*160*30</f>
        <v>6823936.0000000009</v>
      </c>
    </row>
    <row r="5" spans="1:14">
      <c r="A5">
        <v>150</v>
      </c>
      <c r="B5">
        <v>700</v>
      </c>
      <c r="C5">
        <v>10000</v>
      </c>
      <c r="D5">
        <v>1200</v>
      </c>
      <c r="E5" s="33">
        <f>C5/D5*2</f>
        <v>16.666666666666668</v>
      </c>
      <c r="F5" s="33">
        <f>A5*9000/B5/E5/60</f>
        <v>1.9285714285714284</v>
      </c>
      <c r="G5" s="33">
        <v>11</v>
      </c>
      <c r="H5">
        <f>B5*H3/1000</f>
        <v>142.80000000000001</v>
      </c>
      <c r="I5" s="32">
        <f>24/F5*H5</f>
        <v>1777.0666666666671</v>
      </c>
      <c r="J5" t="s">
        <v>160</v>
      </c>
      <c r="K5" s="32">
        <f>F5*7.8*1225</f>
        <v>18427.499999999996</v>
      </c>
      <c r="L5" s="32">
        <f>K5*L3</f>
        <v>1105649.9999999998</v>
      </c>
      <c r="M5" s="32">
        <f>2880*F5</f>
        <v>5554.2857142857138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Sheet3!Print_Area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Windows User</cp:lastModifiedBy>
  <cp:lastPrinted>2017-03-17T02:41:11Z</cp:lastPrinted>
  <dcterms:created xsi:type="dcterms:W3CDTF">2012-09-14T08:13:59Z</dcterms:created>
  <dcterms:modified xsi:type="dcterms:W3CDTF">2017-03-17T02:50:54Z</dcterms:modified>
</cp:coreProperties>
</file>