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45" yWindow="-15" windowWidth="10290" windowHeight="7650"/>
  </bookViews>
  <sheets>
    <sheet name="Weaving" sheetId="1" r:id="rId1"/>
    <sheet name="Proses" sheetId="2" r:id="rId2"/>
    <sheet name="Sheet1" sheetId="3" state="hidden" r:id="rId3"/>
  </sheets>
  <calcPr calcId="124519"/>
</workbook>
</file>

<file path=xl/calcChain.xml><?xml version="1.0" encoding="utf-8"?>
<calcChain xmlns="http://schemas.openxmlformats.org/spreadsheetml/2006/main">
  <c r="D20" i="1"/>
  <c r="D14"/>
  <c r="R23" l="1"/>
  <c r="O21" l="1"/>
  <c r="O13"/>
  <c r="O12"/>
  <c r="D5" i="2" l="1"/>
  <c r="N19"/>
  <c r="N20"/>
  <c r="N21"/>
  <c r="N22"/>
  <c r="N24"/>
  <c r="M24"/>
  <c r="M19"/>
  <c r="G26" l="1"/>
  <c r="G28"/>
  <c r="N25" i="1" l="1"/>
  <c r="O19"/>
  <c r="N23" i="2" l="1"/>
  <c r="N25" s="1"/>
  <c r="G30" s="1"/>
  <c r="G32" l="1"/>
  <c r="G6" i="1"/>
  <c r="M23" i="2" l="1"/>
  <c r="M20"/>
  <c r="M21"/>
  <c r="M22"/>
  <c r="F28"/>
  <c r="O21"/>
  <c r="O20"/>
  <c r="O18"/>
  <c r="N16"/>
  <c r="O14"/>
  <c r="O13"/>
  <c r="O11"/>
  <c r="O10"/>
  <c r="L6" i="1" l="1"/>
  <c r="K6"/>
  <c r="J6"/>
  <c r="I6"/>
  <c r="N23"/>
  <c r="N22" s="1"/>
  <c r="O22"/>
  <c r="N17"/>
  <c r="N16" s="1"/>
  <c r="R16" s="1"/>
  <c r="O16"/>
  <c r="O15"/>
  <c r="N20" l="1"/>
  <c r="R21"/>
  <c r="N27"/>
  <c r="N14" l="1"/>
  <c r="N29" s="1"/>
  <c r="J28" i="2" l="1"/>
  <c r="N32" i="1"/>
</calcChain>
</file>

<file path=xl/comments1.xml><?xml version="1.0" encoding="utf-8"?>
<comments xmlns="http://schemas.openxmlformats.org/spreadsheetml/2006/main">
  <authors>
    <author>compaq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plain atau not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nilai kurs update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nilai TPM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perbandingan atau jumlah komponen 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nilai TPM</t>
        </r>
      </text>
    </comment>
  </commentList>
</comments>
</file>

<file path=xl/comments2.xml><?xml version="1.0" encoding="utf-8"?>
<comments xmlns="http://schemas.openxmlformats.org/spreadsheetml/2006/main">
  <authors>
    <author>compaq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jika proses printing isi misal 4 untuk 4 screen dsb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nilai 1 jika sesuai dengan pilihan di atas (2000, 2500-5000, 6000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Diisi jika perlu pemeriksaan ekstra di clasify. 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compaq:</t>
        </r>
        <r>
          <rPr>
            <sz val="8"/>
            <color indexed="81"/>
            <rFont val="Tahoma"/>
            <family val="2"/>
          </rPr>
          <t xml:space="preserve">
Jika perlu manding maka isi dengan 1</t>
        </r>
      </text>
    </comment>
  </commentList>
</comments>
</file>

<file path=xl/sharedStrings.xml><?xml version="1.0" encoding="utf-8"?>
<sst xmlns="http://schemas.openxmlformats.org/spreadsheetml/2006/main" count="104" uniqueCount="84">
  <si>
    <t>Nama Kain</t>
  </si>
  <si>
    <t>Konstruksi</t>
  </si>
  <si>
    <t>/</t>
  </si>
  <si>
    <t>PICK</t>
  </si>
  <si>
    <t>Lebar kain (inchi)</t>
  </si>
  <si>
    <t>Benang Lusi</t>
  </si>
  <si>
    <t>Total Lusi</t>
  </si>
  <si>
    <t>1 $</t>
  </si>
  <si>
    <t xml:space="preserve">No benang </t>
  </si>
  <si>
    <t>Benang 1</t>
  </si>
  <si>
    <t>Benang 2</t>
  </si>
  <si>
    <t>Benang 3</t>
  </si>
  <si>
    <t>Benang pakan</t>
  </si>
  <si>
    <t>Berat pakan</t>
  </si>
  <si>
    <t>Berat Lusi</t>
  </si>
  <si>
    <t>Anyaman (plain/not)</t>
  </si>
  <si>
    <t>n</t>
  </si>
  <si>
    <t>Perhitungan Biaya Weaving</t>
  </si>
  <si>
    <t>Persentase dlm 1 benang</t>
  </si>
  <si>
    <t xml:space="preserve">Harga Benang </t>
  </si>
  <si>
    <t>Harga Pakan</t>
  </si>
  <si>
    <t>Harga Lusi</t>
  </si>
  <si>
    <t xml:space="preserve">Process Persiapan Weaving </t>
  </si>
  <si>
    <t>Jika Sizing maka % size =</t>
  </si>
  <si>
    <t>%</t>
  </si>
  <si>
    <t>Process Weaving (R=Rapier/ W=WJL)</t>
  </si>
  <si>
    <t xml:space="preserve">Biaya Weaving </t>
  </si>
  <si>
    <t xml:space="preserve">Biaya  P Weaving </t>
  </si>
  <si>
    <t>Biaya Kain   Rp/m</t>
  </si>
  <si>
    <t>Selvedge (Y/N)</t>
  </si>
  <si>
    <t>Perhitungan Biaya Prosessing</t>
  </si>
  <si>
    <t>Persiapan (1,2,3)</t>
  </si>
  <si>
    <t>Dyeing (D)/Printing (P)</t>
  </si>
  <si>
    <t>Dasar Print (DP/P)</t>
  </si>
  <si>
    <t>DP= Celup exhaust ; P = Padding</t>
  </si>
  <si>
    <t>Proses (D/R/C)</t>
  </si>
  <si>
    <t>D = Disperse ; R = Reaktif ; C = Campuran TC/CVC</t>
  </si>
  <si>
    <t>Specifikasi</t>
  </si>
  <si>
    <t xml:space="preserve">Jumlah screen </t>
  </si>
  <si>
    <t>&lt; 4 screen</t>
  </si>
  <si>
    <t>5-8 Screen</t>
  </si>
  <si>
    <t>&gt; 9 Screen</t>
  </si>
  <si>
    <t xml:space="preserve">Kuantitas (m) </t>
  </si>
  <si>
    <t>&lt; 2000</t>
  </si>
  <si>
    <t>2500- 5000</t>
  </si>
  <si>
    <t>&gt; 6000</t>
  </si>
  <si>
    <t>Special Proses</t>
  </si>
  <si>
    <t>Jet black</t>
  </si>
  <si>
    <t>Parfum</t>
  </si>
  <si>
    <t>Bakar Bulu</t>
  </si>
  <si>
    <t xml:space="preserve">Hit Cut </t>
  </si>
  <si>
    <t xml:space="preserve">Calendar </t>
  </si>
  <si>
    <t>Y (yes) or N (not)</t>
  </si>
  <si>
    <t xml:space="preserve">Finish </t>
  </si>
  <si>
    <t>Std RC</t>
  </si>
  <si>
    <t xml:space="preserve">Spesial RC </t>
  </si>
  <si>
    <t>Finish Standar</t>
  </si>
  <si>
    <t xml:space="preserve">Special Finish </t>
  </si>
  <si>
    <t xml:space="preserve">Inspek </t>
  </si>
  <si>
    <t>Catatan.</t>
  </si>
  <si>
    <t xml:space="preserve"> 1 = SDP, 2 = Creeping Non WR  3 = Creeping, Setting, WR</t>
  </si>
  <si>
    <t>1 muka</t>
  </si>
  <si>
    <t>2 muka</t>
  </si>
  <si>
    <t xml:space="preserve">Perbaikkan </t>
  </si>
  <si>
    <t>Clasiffy</t>
  </si>
  <si>
    <t>Biaya Persiapan</t>
  </si>
  <si>
    <t xml:space="preserve">Biaya Proses </t>
  </si>
  <si>
    <t xml:space="preserve">Biaya  </t>
  </si>
  <si>
    <t>d</t>
  </si>
  <si>
    <t xml:space="preserve">Harga Pokok Produksi </t>
  </si>
  <si>
    <t>/m</t>
  </si>
  <si>
    <t xml:space="preserve">Biaya Finish </t>
  </si>
  <si>
    <t>Coating</t>
  </si>
  <si>
    <t>Teflon/Water Rep</t>
  </si>
  <si>
    <t>Twist (Diisi dg Angka)</t>
  </si>
  <si>
    <t>N</t>
  </si>
  <si>
    <t>Nama kain</t>
  </si>
  <si>
    <t>ID Kain</t>
  </si>
  <si>
    <t>Lusi</t>
  </si>
  <si>
    <t>not</t>
  </si>
  <si>
    <t>y</t>
  </si>
  <si>
    <t>T-088A17</t>
  </si>
  <si>
    <t>R</t>
  </si>
  <si>
    <t>D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</si>
</sst>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_([$Rp-421]* #,##0.00_);_([$Rp-421]* \(#,##0.00\);_([$Rp-421]* &quot;-&quot;??_);_(@_)"/>
    <numFmt numFmtId="166" formatCode="0.000"/>
    <numFmt numFmtId="167" formatCode="_([$Rp-421]* #,##0_);_([$Rp-421]* \(#,##0\);_([$Rp-421]* &quot;-&quot;_);_(@_)"/>
  </numFmts>
  <fonts count="23">
    <font>
      <sz val="10"/>
      <name val="Arial"/>
    </font>
    <font>
      <b/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b/>
      <i/>
      <sz val="16"/>
      <color indexed="23"/>
      <name val="Tahoma"/>
      <family val="2"/>
    </font>
    <font>
      <b/>
      <sz val="17"/>
      <color indexed="9"/>
      <name val="Tahoma"/>
      <family val="2"/>
    </font>
    <font>
      <sz val="10"/>
      <color theme="0" tint="-4.9989318521683403E-2"/>
      <name val="Arial"/>
      <family val="2"/>
    </font>
    <font>
      <sz val="9"/>
      <color theme="0" tint="-4.9989318521683403E-2"/>
      <name val="Tahoma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23"/>
      <name val="Tahoma"/>
      <family val="2"/>
    </font>
    <font>
      <b/>
      <sz val="11"/>
      <color theme="4" tint="-0.249977111117893"/>
      <name val="Tahoma"/>
      <family val="2"/>
    </font>
    <font>
      <b/>
      <sz val="9"/>
      <color theme="1"/>
      <name val="Tahoma"/>
      <family val="2"/>
    </font>
    <font>
      <b/>
      <sz val="9"/>
      <color theme="0" tint="-4.9989318521683403E-2"/>
      <name val="Tahoma"/>
      <family val="2"/>
    </font>
    <font>
      <b/>
      <i/>
      <sz val="16"/>
      <color theme="3" tint="-0.249977111117893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rgb="FFFF0000"/>
      <name val="Tahoma"/>
      <family val="2"/>
    </font>
    <font>
      <sz val="10"/>
      <color rgb="FFFF0000"/>
      <name val="Arial"/>
      <family val="2"/>
    </font>
    <font>
      <sz val="10"/>
      <color theme="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ck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 style="thin">
        <color indexed="23"/>
      </right>
      <top style="thin">
        <color indexed="23"/>
      </top>
      <bottom style="thick">
        <color indexed="2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theme="1" tint="0.24994659260841701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 tint="0.24994659260841701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22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indexed="22"/>
      </bottom>
      <diagonal/>
    </border>
    <border>
      <left style="thin">
        <color theme="1" tint="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2" fillId="6" borderId="1" xfId="0" applyNumberFormat="1" applyFont="1" applyFill="1" applyBorder="1" applyAlignment="1" applyProtection="1">
      <alignment horizontal="centerContinuous"/>
      <protection locked="0"/>
    </xf>
    <xf numFmtId="0" fontId="2" fillId="6" borderId="0" xfId="0" applyNumberFormat="1" applyFont="1" applyFill="1" applyBorder="1" applyAlignment="1" applyProtection="1">
      <alignment horizontal="centerContinuous"/>
      <protection locked="0"/>
    </xf>
    <xf numFmtId="0" fontId="2" fillId="6" borderId="2" xfId="0" applyNumberFormat="1" applyFont="1" applyFill="1" applyBorder="1" applyAlignment="1" applyProtection="1">
      <alignment horizontal="centerContinuous"/>
      <protection locked="0"/>
    </xf>
    <xf numFmtId="0" fontId="2" fillId="6" borderId="1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2" xfId="0" applyNumberFormat="1" applyFont="1" applyFill="1" applyBorder="1" applyAlignment="1" applyProtection="1">
      <protection locked="0"/>
    </xf>
    <xf numFmtId="43" fontId="2" fillId="0" borderId="0" xfId="0" applyNumberFormat="1" applyFont="1" applyFill="1" applyBorder="1" applyAlignment="1" applyProtection="1">
      <protection locked="0"/>
    </xf>
    <xf numFmtId="0" fontId="2" fillId="6" borderId="2" xfId="0" applyNumberFormat="1" applyFont="1" applyFill="1" applyBorder="1" applyAlignment="1" applyProtection="1">
      <alignment horizontal="left" vertical="top" wrapText="1"/>
      <protection locked="0"/>
    </xf>
    <xf numFmtId="0" fontId="2" fillId="6" borderId="45" xfId="0" applyNumberFormat="1" applyFont="1" applyFill="1" applyBorder="1" applyAlignment="1" applyProtection="1">
      <protection locked="0"/>
    </xf>
    <xf numFmtId="0" fontId="2" fillId="6" borderId="47" xfId="0" applyNumberFormat="1" applyFont="1" applyFill="1" applyBorder="1" applyAlignment="1" applyProtection="1">
      <protection locked="0"/>
    </xf>
    <xf numFmtId="0" fontId="3" fillId="6" borderId="0" xfId="0" applyNumberFormat="1" applyFont="1" applyFill="1" applyBorder="1" applyAlignment="1" applyProtection="1">
      <alignment horizontal="left" vertical="center" indent="1"/>
      <protection hidden="1"/>
    </xf>
    <xf numFmtId="0" fontId="3" fillId="2" borderId="0" xfId="0" applyNumberFormat="1" applyFont="1" applyFill="1" applyBorder="1" applyAlignment="1" applyProtection="1">
      <alignment horizontal="left" vertical="center" indent="1"/>
      <protection hidden="1"/>
    </xf>
    <xf numFmtId="0" fontId="3" fillId="6" borderId="0" xfId="0" applyNumberFormat="1" applyFont="1" applyFill="1" applyBorder="1" applyAlignment="1" applyProtection="1">
      <alignment horizontal="center" vertical="center"/>
      <protection hidden="1"/>
    </xf>
    <xf numFmtId="0" fontId="3" fillId="5" borderId="21" xfId="0" applyNumberFormat="1" applyFont="1" applyFill="1" applyBorder="1" applyAlignment="1" applyProtection="1">
      <alignment horizontal="center" vertical="center"/>
      <protection hidden="1"/>
    </xf>
    <xf numFmtId="7" fontId="2" fillId="6" borderId="0" xfId="0" applyNumberFormat="1" applyFont="1" applyFill="1" applyBorder="1" applyAlignment="1" applyProtection="1">
      <alignment horizontal="left" vertical="center" wrapText="1" indent="1"/>
      <protection hidden="1"/>
    </xf>
    <xf numFmtId="43" fontId="2" fillId="4" borderId="23" xfId="1" applyFont="1" applyFill="1" applyBorder="1" applyAlignment="1" applyProtection="1">
      <alignment vertical="center" wrapText="1"/>
      <protection hidden="1"/>
    </xf>
    <xf numFmtId="43" fontId="8" fillId="6" borderId="0" xfId="1" applyFont="1" applyFill="1" applyBorder="1" applyAlignment="1" applyProtection="1">
      <alignment horizontal="center" vertical="center" wrapText="1"/>
      <protection hidden="1"/>
    </xf>
    <xf numFmtId="0" fontId="2" fillId="2" borderId="0" xfId="0" applyNumberFormat="1" applyFont="1" applyFill="1" applyBorder="1" applyAlignment="1" applyProtection="1">
      <protection hidden="1"/>
    </xf>
    <xf numFmtId="0" fontId="2" fillId="6" borderId="0" xfId="0" applyNumberFormat="1" applyFont="1" applyFill="1" applyBorder="1" applyAlignment="1" applyProtection="1">
      <protection hidden="1"/>
    </xf>
    <xf numFmtId="164" fontId="14" fillId="4" borderId="9" xfId="1" applyNumberFormat="1" applyFont="1" applyFill="1" applyBorder="1" applyAlignment="1" applyProtection="1">
      <protection hidden="1"/>
    </xf>
    <xf numFmtId="0" fontId="14" fillId="6" borderId="0" xfId="0" applyNumberFormat="1" applyFont="1" applyFill="1" applyBorder="1" applyAlignment="1" applyProtection="1">
      <protection hidden="1"/>
    </xf>
    <xf numFmtId="164" fontId="14" fillId="6" borderId="9" xfId="1" applyNumberFormat="1" applyFont="1" applyFill="1" applyBorder="1" applyAlignment="1" applyProtection="1">
      <alignment horizontal="center" vertical="center"/>
      <protection hidden="1"/>
    </xf>
    <xf numFmtId="164" fontId="14" fillId="6" borderId="9" xfId="0" applyNumberFormat="1" applyFont="1" applyFill="1" applyBorder="1" applyAlignment="1" applyProtection="1">
      <protection hidden="1"/>
    </xf>
    <xf numFmtId="0" fontId="2" fillId="8" borderId="1" xfId="0" applyNumberFormat="1" applyFont="1" applyFill="1" applyBorder="1" applyAlignment="1" applyProtection="1">
      <alignment horizontal="centerContinuous"/>
      <protection locked="0"/>
    </xf>
    <xf numFmtId="0" fontId="2" fillId="8" borderId="0" xfId="0" applyNumberFormat="1" applyFont="1" applyFill="1" applyBorder="1" applyAlignment="1" applyProtection="1">
      <alignment horizontal="centerContinuous"/>
      <protection locked="0"/>
    </xf>
    <xf numFmtId="0" fontId="2" fillId="8" borderId="2" xfId="0" applyNumberFormat="1" applyFont="1" applyFill="1" applyBorder="1" applyAlignment="1" applyProtection="1">
      <alignment horizontal="centerContinuous"/>
      <protection locked="0"/>
    </xf>
    <xf numFmtId="0" fontId="2" fillId="6" borderId="54" xfId="0" applyNumberFormat="1" applyFont="1" applyFill="1" applyBorder="1" applyAlignment="1" applyProtection="1">
      <protection locked="0"/>
    </xf>
    <xf numFmtId="0" fontId="2" fillId="6" borderId="39" xfId="0" applyNumberFormat="1" applyFont="1" applyFill="1" applyBorder="1" applyAlignment="1" applyProtection="1">
      <protection locked="0"/>
    </xf>
    <xf numFmtId="0" fontId="2" fillId="6" borderId="55" xfId="0" applyNumberFormat="1" applyFont="1" applyFill="1" applyBorder="1" applyAlignment="1" applyProtection="1">
      <protection locked="0"/>
    </xf>
    <xf numFmtId="0" fontId="2" fillId="6" borderId="56" xfId="0" applyNumberFormat="1" applyFont="1" applyFill="1" applyBorder="1" applyAlignment="1" applyProtection="1">
      <protection locked="0"/>
    </xf>
    <xf numFmtId="0" fontId="2" fillId="6" borderId="57" xfId="0" applyNumberFormat="1" applyFont="1" applyFill="1" applyBorder="1" applyAlignment="1" applyProtection="1">
      <protection locked="0"/>
    </xf>
    <xf numFmtId="0" fontId="7" fillId="6" borderId="39" xfId="0" applyFont="1" applyFill="1" applyBorder="1" applyProtection="1">
      <protection hidden="1"/>
    </xf>
    <xf numFmtId="43" fontId="2" fillId="6" borderId="0" xfId="1" applyFont="1" applyFill="1" applyBorder="1" applyAlignment="1" applyProtection="1">
      <alignment vertical="center" wrapText="1"/>
      <protection hidden="1"/>
    </xf>
    <xf numFmtId="43" fontId="8" fillId="6" borderId="0" xfId="1" applyFont="1" applyFill="1" applyBorder="1" applyAlignment="1" applyProtection="1">
      <alignment horizontal="left" vertical="center" wrapText="1" indent="1"/>
      <protection hidden="1"/>
    </xf>
    <xf numFmtId="0" fontId="8" fillId="6" borderId="39" xfId="0" applyNumberFormat="1" applyFont="1" applyFill="1" applyBorder="1" applyAlignment="1" applyProtection="1">
      <alignment horizontal="left" vertical="top" wrapText="1"/>
      <protection hidden="1"/>
    </xf>
    <xf numFmtId="0" fontId="16" fillId="6" borderId="0" xfId="0" applyNumberFormat="1" applyFont="1" applyFill="1" applyBorder="1" applyAlignment="1" applyProtection="1">
      <alignment horizontal="center" vertical="center"/>
      <protection hidden="1"/>
    </xf>
    <xf numFmtId="0" fontId="7" fillId="6" borderId="45" xfId="0" applyFont="1" applyFill="1" applyBorder="1" applyProtection="1">
      <protection hidden="1"/>
    </xf>
    <xf numFmtId="0" fontId="2" fillId="6" borderId="45" xfId="0" applyNumberFormat="1" applyFont="1" applyFill="1" applyBorder="1" applyAlignment="1" applyProtection="1">
      <alignment horizontal="left" vertical="top" wrapText="1"/>
      <protection hidden="1"/>
    </xf>
    <xf numFmtId="0" fontId="2" fillId="6" borderId="39" xfId="0" applyNumberFormat="1" applyFont="1" applyFill="1" applyBorder="1" applyAlignment="1" applyProtection="1">
      <alignment horizontal="left" vertical="top" wrapText="1"/>
      <protection hidden="1"/>
    </xf>
    <xf numFmtId="0" fontId="3" fillId="6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48" xfId="0" applyNumberFormat="1" applyFont="1" applyFill="1" applyBorder="1" applyAlignment="1" applyProtection="1">
      <alignment horizontal="left" vertical="center" indent="1"/>
      <protection locked="0"/>
    </xf>
    <xf numFmtId="0" fontId="3" fillId="6" borderId="0" xfId="0" applyNumberFormat="1" applyFont="1" applyFill="1" applyBorder="1" applyAlignment="1" applyProtection="1">
      <alignment horizontal="left" vertical="center" indent="1"/>
      <protection locked="0"/>
    </xf>
    <xf numFmtId="0" fontId="4" fillId="6" borderId="0" xfId="0" applyNumberFormat="1" applyFont="1" applyFill="1" applyBorder="1" applyAlignment="1" applyProtection="1">
      <alignment horizontal="left" vertical="center" wrapText="1" indent="1"/>
      <protection locked="0"/>
    </xf>
    <xf numFmtId="0" fontId="3" fillId="3" borderId="20" xfId="0" applyNumberFormat="1" applyFont="1" applyFill="1" applyBorder="1" applyAlignment="1" applyProtection="1">
      <alignment horizontal="left" vertical="center" indent="1"/>
      <protection locked="0"/>
    </xf>
    <xf numFmtId="0" fontId="3" fillId="4" borderId="60" xfId="0" applyNumberFormat="1" applyFont="1" applyFill="1" applyBorder="1" applyAlignment="1" applyProtection="1">
      <alignment horizontal="left" vertical="center" indent="1"/>
      <protection locked="0"/>
    </xf>
    <xf numFmtId="0" fontId="3" fillId="4" borderId="0" xfId="0" applyNumberFormat="1" applyFont="1" applyFill="1" applyBorder="1" applyAlignment="1" applyProtection="1">
      <alignment horizontal="left" vertical="center" inden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0" fontId="3" fillId="3" borderId="12" xfId="0" applyNumberFormat="1" applyFont="1" applyFill="1" applyBorder="1" applyAlignment="1" applyProtection="1">
      <alignment horizontal="left" vertical="center" indent="1"/>
      <protection locked="0"/>
    </xf>
    <xf numFmtId="0" fontId="3" fillId="4" borderId="58" xfId="0" applyNumberFormat="1" applyFont="1" applyFill="1" applyBorder="1" applyAlignment="1" applyProtection="1">
      <alignment horizontal="left" vertical="center" indent="1"/>
      <protection locked="0"/>
    </xf>
    <xf numFmtId="0" fontId="3" fillId="6" borderId="0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3" borderId="13" xfId="0" applyNumberFormat="1" applyFont="1" applyFill="1" applyBorder="1" applyAlignment="1" applyProtection="1">
      <alignment horizontal="left" vertical="center" indent="1"/>
      <protection locked="0"/>
    </xf>
    <xf numFmtId="0" fontId="3" fillId="4" borderId="59" xfId="0" applyNumberFormat="1" applyFont="1" applyFill="1" applyBorder="1" applyAlignment="1" applyProtection="1">
      <alignment horizontal="left" vertical="center" indent="1"/>
      <protection locked="0"/>
    </xf>
    <xf numFmtId="0" fontId="3" fillId="2" borderId="0" xfId="0" applyNumberFormat="1" applyFont="1" applyFill="1" applyBorder="1" applyAlignment="1" applyProtection="1">
      <alignment horizontal="left" indent="1"/>
      <protection locked="0"/>
    </xf>
    <xf numFmtId="0" fontId="3" fillId="2" borderId="0" xfId="0" applyNumberFormat="1" applyFont="1" applyFill="1" applyBorder="1" applyAlignment="1" applyProtection="1">
      <alignment horizontal="left" vertical="center" indent="1"/>
      <protection locked="0"/>
    </xf>
    <xf numFmtId="0" fontId="3" fillId="5" borderId="24" xfId="0" applyNumberFormat="1" applyFont="1" applyFill="1" applyBorder="1" applyAlignment="1" applyProtection="1">
      <alignment horizontal="left" vertical="center" indent="1"/>
      <protection locked="0"/>
    </xf>
    <xf numFmtId="0" fontId="3" fillId="5" borderId="28" xfId="0" applyNumberFormat="1" applyFont="1" applyFill="1" applyBorder="1" applyAlignment="1" applyProtection="1">
      <alignment horizontal="left" vertical="center" indent="1"/>
      <protection locked="0"/>
    </xf>
    <xf numFmtId="0" fontId="3" fillId="5" borderId="30" xfId="0" applyNumberFormat="1" applyFont="1" applyFill="1" applyBorder="1" applyAlignment="1" applyProtection="1">
      <alignment horizontal="left" vertical="center" indent="1"/>
      <protection locked="0"/>
    </xf>
    <xf numFmtId="0" fontId="3" fillId="5" borderId="31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5" borderId="32" xfId="0" applyNumberFormat="1" applyFont="1" applyFill="1" applyBorder="1" applyAlignment="1" applyProtection="1">
      <alignment horizontal="left" vertical="center" indent="1"/>
      <protection locked="0"/>
    </xf>
    <xf numFmtId="7" fontId="2" fillId="5" borderId="32" xfId="0" applyNumberFormat="1" applyFont="1" applyFill="1" applyBorder="1" applyAlignment="1" applyProtection="1">
      <alignment horizontal="left" vertical="center" wrapText="1" indent="1"/>
      <protection locked="0"/>
    </xf>
    <xf numFmtId="7" fontId="2" fillId="6" borderId="0" xfId="0" applyNumberFormat="1" applyFont="1" applyFill="1" applyBorder="1" applyAlignment="1" applyProtection="1">
      <alignment horizontal="left" vertical="center" wrapText="1" indent="1"/>
      <protection locked="0"/>
    </xf>
    <xf numFmtId="0" fontId="3" fillId="3" borderId="33" xfId="0" applyNumberFormat="1" applyFont="1" applyFill="1" applyBorder="1" applyAlignment="1" applyProtection="1">
      <alignment horizontal="left" vertical="center" indent="1"/>
      <protection locked="0"/>
    </xf>
    <xf numFmtId="0" fontId="3" fillId="3" borderId="52" xfId="0" applyNumberFormat="1" applyFont="1" applyFill="1" applyBorder="1" applyAlignment="1" applyProtection="1">
      <alignment horizontal="left" vertical="center" indent="1"/>
      <protection locked="0"/>
    </xf>
    <xf numFmtId="0" fontId="3" fillId="3" borderId="36" xfId="0" applyNumberFormat="1" applyFont="1" applyFill="1" applyBorder="1" applyAlignment="1" applyProtection="1">
      <alignment horizontal="left" vertical="center" indent="1"/>
      <protection locked="0"/>
    </xf>
    <xf numFmtId="43" fontId="8" fillId="6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3" fillId="5" borderId="10" xfId="0" applyNumberFormat="1" applyFont="1" applyFill="1" applyBorder="1" applyAlignment="1" applyProtection="1">
      <alignment horizontal="left" vertical="center" indent="1"/>
      <protection locked="0"/>
    </xf>
    <xf numFmtId="0" fontId="3" fillId="5" borderId="40" xfId="0" applyNumberFormat="1" applyFont="1" applyFill="1" applyBorder="1" applyAlignment="1" applyProtection="1">
      <alignment horizontal="left" vertical="center" indent="1"/>
      <protection locked="0"/>
    </xf>
    <xf numFmtId="0" fontId="3" fillId="3" borderId="53" xfId="0" applyNumberFormat="1" applyFont="1" applyFill="1" applyBorder="1" applyAlignment="1" applyProtection="1">
      <alignment horizontal="left" vertical="center" indent="1"/>
      <protection locked="0"/>
    </xf>
    <xf numFmtId="0" fontId="3" fillId="3" borderId="43" xfId="0" applyNumberFormat="1" applyFont="1" applyFill="1" applyBorder="1" applyAlignment="1" applyProtection="1">
      <alignment horizontal="left" vertical="center" indent="1"/>
      <protection locked="0"/>
    </xf>
    <xf numFmtId="0" fontId="3" fillId="6" borderId="0" xfId="0" applyNumberFormat="1" applyFont="1" applyFill="1" applyBorder="1" applyAlignment="1" applyProtection="1">
      <protection locked="0"/>
    </xf>
    <xf numFmtId="0" fontId="11" fillId="6" borderId="0" xfId="0" applyNumberFormat="1" applyFont="1" applyFill="1" applyBorder="1" applyAlignment="1" applyProtection="1">
      <protection locked="0"/>
    </xf>
    <xf numFmtId="0" fontId="5" fillId="6" borderId="54" xfId="0" applyNumberFormat="1" applyFont="1" applyFill="1" applyBorder="1" applyAlignment="1" applyProtection="1">
      <alignment horizontal="center" vertical="center"/>
      <protection locked="0"/>
    </xf>
    <xf numFmtId="0" fontId="12" fillId="6" borderId="0" xfId="0" applyNumberFormat="1" applyFont="1" applyFill="1" applyBorder="1" applyAlignment="1" applyProtection="1">
      <alignment horizontal="center" vertical="center"/>
      <protection locked="0"/>
    </xf>
    <xf numFmtId="0" fontId="15" fillId="6" borderId="0" xfId="0" applyNumberFormat="1" applyFont="1" applyFill="1" applyBorder="1" applyAlignment="1" applyProtection="1">
      <alignment horizontal="left" vertical="center"/>
      <protection locked="0"/>
    </xf>
    <xf numFmtId="0" fontId="5" fillId="6" borderId="0" xfId="0" applyNumberFormat="1" applyFont="1" applyFill="1" applyBorder="1" applyAlignment="1" applyProtection="1">
      <alignment horizontal="center" vertical="center"/>
      <protection locked="0"/>
    </xf>
    <xf numFmtId="0" fontId="17" fillId="6" borderId="0" xfId="0" quotePrefix="1" applyNumberFormat="1" applyFont="1" applyFill="1" applyBorder="1" applyAlignment="1" applyProtection="1">
      <protection locked="0"/>
    </xf>
    <xf numFmtId="0" fontId="2" fillId="8" borderId="0" xfId="0" applyNumberFormat="1" applyFont="1" applyFill="1" applyBorder="1" applyAlignment="1" applyProtection="1">
      <protection locked="0"/>
    </xf>
    <xf numFmtId="0" fontId="3" fillId="3" borderId="10" xfId="0" applyNumberFormat="1" applyFont="1" applyFill="1" applyBorder="1" applyAlignment="1" applyProtection="1">
      <alignment horizontal="left" vertical="center" indent="1"/>
      <protection locked="0"/>
    </xf>
    <xf numFmtId="0" fontId="3" fillId="6" borderId="20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6" borderId="6" xfId="0" applyNumberFormat="1" applyFont="1" applyFill="1" applyBorder="1" applyAlignment="1" applyProtection="1">
      <alignment horizontal="left" vertical="center" indent="1"/>
      <protection locked="0"/>
    </xf>
    <xf numFmtId="0" fontId="4" fillId="6" borderId="6" xfId="0" applyNumberFormat="1" applyFont="1" applyFill="1" applyBorder="1" applyAlignment="1" applyProtection="1">
      <alignment horizontal="left" vertical="center" wrapText="1" indent="1"/>
      <protection locked="0"/>
    </xf>
    <xf numFmtId="0" fontId="3" fillId="4" borderId="17" xfId="0" applyNumberFormat="1" applyFont="1" applyFill="1" applyBorder="1" applyAlignment="1" applyProtection="1">
      <alignment horizontal="left" vertical="center" indent="1"/>
      <protection locked="0"/>
    </xf>
    <xf numFmtId="0" fontId="3" fillId="6" borderId="7" xfId="0" applyNumberFormat="1" applyFont="1" applyFill="1" applyBorder="1" applyAlignment="1" applyProtection="1">
      <alignment horizontal="left" vertical="center" indent="1"/>
      <protection locked="0"/>
    </xf>
    <xf numFmtId="0" fontId="3" fillId="6" borderId="18" xfId="0" applyNumberFormat="1" applyFont="1" applyFill="1" applyBorder="1" applyAlignment="1" applyProtection="1">
      <alignment horizontal="left" vertical="center" indent="1"/>
      <protection locked="0"/>
    </xf>
    <xf numFmtId="0" fontId="3" fillId="4" borderId="12" xfId="0" applyNumberFormat="1" applyFont="1" applyFill="1" applyBorder="1" applyAlignment="1" applyProtection="1">
      <alignment horizontal="left" vertical="center" indent="1"/>
      <protection locked="0"/>
    </xf>
    <xf numFmtId="0" fontId="3" fillId="4" borderId="7" xfId="0" applyNumberFormat="1" applyFont="1" applyFill="1" applyBorder="1" applyAlignment="1" applyProtection="1">
      <alignment horizontal="left" vertical="center" indent="1"/>
      <protection locked="0"/>
    </xf>
    <xf numFmtId="0" fontId="3" fillId="6" borderId="7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18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6" borderId="51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6" borderId="8" xfId="0" quotePrefix="1" applyNumberFormat="1" applyFont="1" applyFill="1" applyBorder="1" applyAlignment="1" applyProtection="1">
      <alignment horizontal="left" vertical="center" indent="1"/>
      <protection locked="0"/>
    </xf>
    <xf numFmtId="0" fontId="4" fillId="6" borderId="8" xfId="0" applyNumberFormat="1" applyFont="1" applyFill="1" applyBorder="1" applyAlignment="1" applyProtection="1">
      <alignment horizontal="left" vertical="center" wrapText="1" indent="1"/>
      <protection locked="0"/>
    </xf>
    <xf numFmtId="0" fontId="3" fillId="6" borderId="50" xfId="0" applyNumberFormat="1" applyFont="1" applyFill="1" applyBorder="1" applyAlignment="1" applyProtection="1">
      <alignment horizontal="left" vertical="center" indent="1"/>
      <protection locked="0"/>
    </xf>
    <xf numFmtId="0" fontId="3" fillId="6" borderId="28" xfId="0" applyNumberFormat="1" applyFont="1" applyFill="1" applyBorder="1" applyAlignment="1" applyProtection="1">
      <alignment horizontal="left" vertical="center" indent="1"/>
      <protection locked="0"/>
    </xf>
    <xf numFmtId="0" fontId="3" fillId="6" borderId="29" xfId="0" applyNumberFormat="1" applyFont="1" applyFill="1" applyBorder="1" applyAlignment="1" applyProtection="1">
      <alignment horizontal="left" vertical="center" indent="1"/>
      <protection locked="0"/>
    </xf>
    <xf numFmtId="0" fontId="3" fillId="4" borderId="19" xfId="0" applyNumberFormat="1" applyFont="1" applyFill="1" applyBorder="1" applyAlignment="1" applyProtection="1">
      <alignment horizontal="left" vertical="center" indent="1"/>
      <protection locked="0"/>
    </xf>
    <xf numFmtId="0" fontId="3" fillId="6" borderId="14" xfId="0" applyNumberFormat="1" applyFont="1" applyFill="1" applyBorder="1" applyAlignment="1" applyProtection="1">
      <alignment horizontal="left" vertical="center" indent="1"/>
      <protection locked="0"/>
    </xf>
    <xf numFmtId="0" fontId="3" fillId="6" borderId="25" xfId="0" applyNumberFormat="1" applyFont="1" applyFill="1" applyBorder="1" applyAlignment="1" applyProtection="1">
      <alignment horizontal="left" vertical="center" indent="1"/>
      <protection locked="0"/>
    </xf>
    <xf numFmtId="7" fontId="4" fillId="6" borderId="0" xfId="0" applyNumberFormat="1" applyFont="1" applyFill="1" applyBorder="1" applyAlignment="1" applyProtection="1">
      <alignment horizontal="left" vertical="center" wrapText="1" indent="1"/>
      <protection locked="0"/>
    </xf>
    <xf numFmtId="0" fontId="3" fillId="3" borderId="30" xfId="0" applyNumberFormat="1" applyFont="1" applyFill="1" applyBorder="1" applyAlignment="1" applyProtection="1">
      <alignment horizontal="left" vertical="center" indent="1"/>
      <protection locked="0"/>
    </xf>
    <xf numFmtId="0" fontId="3" fillId="4" borderId="30" xfId="0" applyNumberFormat="1" applyFont="1" applyFill="1" applyBorder="1" applyAlignment="1" applyProtection="1">
      <alignment horizontal="left" vertical="center" indent="1"/>
      <protection locked="0"/>
    </xf>
    <xf numFmtId="0" fontId="3" fillId="4" borderId="31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32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30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32" xfId="0" applyNumberFormat="1" applyFont="1" applyFill="1" applyBorder="1" applyAlignment="1" applyProtection="1">
      <alignment horizontal="left" vertical="center" indent="1"/>
      <protection locked="0"/>
    </xf>
    <xf numFmtId="7" fontId="2" fillId="4" borderId="32" xfId="0" applyNumberFormat="1" applyFont="1" applyFill="1" applyBorder="1" applyAlignment="1" applyProtection="1">
      <alignment horizontal="left" vertical="center" wrapText="1" indent="1"/>
      <protection locked="0"/>
    </xf>
    <xf numFmtId="0" fontId="3" fillId="4" borderId="33" xfId="0" applyNumberFormat="1" applyFont="1" applyFill="1" applyBorder="1" applyAlignment="1" applyProtection="1">
      <alignment horizontal="left" vertical="center" indent="1"/>
      <protection locked="0"/>
    </xf>
    <xf numFmtId="0" fontId="3" fillId="4" borderId="34" xfId="0" applyNumberFormat="1" applyFont="1" applyFill="1" applyBorder="1" applyAlignment="1" applyProtection="1">
      <alignment horizontal="left" vertical="center" indent="1"/>
      <protection locked="0"/>
    </xf>
    <xf numFmtId="0" fontId="3" fillId="4" borderId="35" xfId="0" applyNumberFormat="1" applyFont="1" applyFill="1" applyBorder="1" applyAlignment="1" applyProtection="1">
      <alignment horizontal="left" vertical="center" indent="1"/>
      <protection locked="0"/>
    </xf>
    <xf numFmtId="0" fontId="3" fillId="4" borderId="34" xfId="0" quotePrefix="1" applyNumberFormat="1" applyFont="1" applyFill="1" applyBorder="1" applyAlignment="1" applyProtection="1">
      <alignment horizontal="left" vertical="center" indent="1"/>
      <protection locked="0"/>
    </xf>
    <xf numFmtId="7" fontId="2" fillId="4" borderId="35" xfId="0" applyNumberFormat="1" applyFont="1" applyFill="1" applyBorder="1" applyAlignment="1" applyProtection="1">
      <alignment horizontal="left" vertical="center" wrapText="1" indent="1"/>
      <protection locked="0"/>
    </xf>
    <xf numFmtId="166" fontId="3" fillId="4" borderId="36" xfId="0" applyNumberFormat="1" applyFont="1" applyFill="1" applyBorder="1" applyAlignment="1" applyProtection="1">
      <alignment horizontal="left" vertical="center" indent="1"/>
      <protection locked="0"/>
    </xf>
    <xf numFmtId="0" fontId="3" fillId="4" borderId="37" xfId="0" applyNumberFormat="1" applyFont="1" applyFill="1" applyBorder="1" applyAlignment="1" applyProtection="1">
      <alignment horizontal="left" vertical="center" indent="1"/>
      <protection locked="0"/>
    </xf>
    <xf numFmtId="0" fontId="3" fillId="4" borderId="38" xfId="0" applyNumberFormat="1" applyFont="1" applyFill="1" applyBorder="1" applyAlignment="1" applyProtection="1">
      <alignment horizontal="left" vertical="center" indent="1"/>
      <protection locked="0"/>
    </xf>
    <xf numFmtId="0" fontId="3" fillId="4" borderId="37" xfId="0" quotePrefix="1" applyNumberFormat="1" applyFont="1" applyFill="1" applyBorder="1" applyAlignment="1" applyProtection="1">
      <alignment horizontal="left" vertical="center" indent="1"/>
      <protection locked="0"/>
    </xf>
    <xf numFmtId="7" fontId="2" fillId="4" borderId="38" xfId="0" applyNumberFormat="1" applyFont="1" applyFill="1" applyBorder="1" applyAlignment="1" applyProtection="1">
      <alignment horizontal="left" vertical="center" wrapText="1" indent="1"/>
      <protection locked="0"/>
    </xf>
    <xf numFmtId="0" fontId="3" fillId="4" borderId="7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12" xfId="0" quotePrefix="1" applyNumberFormat="1" applyFont="1" applyFill="1" applyBorder="1" applyAlignment="1" applyProtection="1">
      <alignment horizontal="left" vertical="center" indent="1"/>
      <protection locked="0"/>
    </xf>
    <xf numFmtId="0" fontId="3" fillId="4" borderId="18" xfId="0" applyNumberFormat="1" applyFont="1" applyFill="1" applyBorder="1" applyAlignment="1" applyProtection="1">
      <alignment horizontal="left" vertical="center" indent="1"/>
      <protection locked="0"/>
    </xf>
    <xf numFmtId="164" fontId="3" fillId="4" borderId="18" xfId="1" applyNumberFormat="1" applyFont="1" applyFill="1" applyBorder="1" applyAlignment="1" applyProtection="1">
      <alignment horizontal="left" vertical="center" wrapText="1"/>
      <protection locked="0"/>
    </xf>
    <xf numFmtId="0" fontId="3" fillId="4" borderId="40" xfId="0" applyNumberFormat="1" applyFont="1" applyFill="1" applyBorder="1" applyAlignment="1" applyProtection="1">
      <alignment horizontal="left" vertical="center" indent="1"/>
      <protection locked="0"/>
    </xf>
    <xf numFmtId="0" fontId="3" fillId="4" borderId="41" xfId="0" applyNumberFormat="1" applyFont="1" applyFill="1" applyBorder="1" applyAlignment="1" applyProtection="1">
      <alignment horizontal="left" vertical="center" indent="1"/>
      <protection locked="0"/>
    </xf>
    <xf numFmtId="0" fontId="3" fillId="4" borderId="42" xfId="0" applyNumberFormat="1" applyFont="1" applyFill="1" applyBorder="1" applyAlignment="1" applyProtection="1">
      <alignment horizontal="left" vertical="center" indent="1"/>
      <protection locked="0"/>
    </xf>
    <xf numFmtId="0" fontId="3" fillId="4" borderId="41" xfId="0" quotePrefix="1" applyNumberFormat="1" applyFont="1" applyFill="1" applyBorder="1" applyAlignment="1" applyProtection="1">
      <alignment horizontal="left" vertical="center" indent="1"/>
      <protection locked="0"/>
    </xf>
    <xf numFmtId="7" fontId="2" fillId="4" borderId="42" xfId="0" applyNumberFormat="1" applyFont="1" applyFill="1" applyBorder="1" applyAlignment="1" applyProtection="1">
      <alignment horizontal="left" vertical="center" wrapText="1" indent="1"/>
      <protection locked="0"/>
    </xf>
    <xf numFmtId="0" fontId="3" fillId="4" borderId="36" xfId="0" applyNumberFormat="1" applyFont="1" applyFill="1" applyBorder="1" applyAlignment="1" applyProtection="1">
      <alignment horizontal="left" vertical="center" indent="1"/>
      <protection locked="0"/>
    </xf>
    <xf numFmtId="0" fontId="2" fillId="6" borderId="44" xfId="0" applyNumberFormat="1" applyFont="1" applyFill="1" applyBorder="1" applyAlignment="1" applyProtection="1">
      <protection locked="0"/>
    </xf>
    <xf numFmtId="0" fontId="10" fillId="6" borderId="0" xfId="0" applyNumberFormat="1" applyFont="1" applyFill="1" applyBorder="1" applyAlignment="1" applyProtection="1">
      <protection locked="0"/>
    </xf>
    <xf numFmtId="0" fontId="2" fillId="4" borderId="9" xfId="0" applyNumberFormat="1" applyFont="1" applyFill="1" applyBorder="1" applyAlignment="1" applyProtection="1">
      <protection locked="0"/>
    </xf>
    <xf numFmtId="0" fontId="9" fillId="6" borderId="0" xfId="0" applyNumberFormat="1" applyFont="1" applyFill="1" applyBorder="1" applyAlignment="1" applyProtection="1">
      <protection locked="0"/>
    </xf>
    <xf numFmtId="0" fontId="5" fillId="6" borderId="44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 applyProtection="1">
      <alignment horizontal="left" vertical="center"/>
      <protection locked="0"/>
    </xf>
    <xf numFmtId="0" fontId="13" fillId="6" borderId="0" xfId="0" applyNumberFormat="1" applyFont="1" applyFill="1" applyBorder="1" applyAlignment="1" applyProtection="1">
      <alignment horizontal="center" vertical="center"/>
      <protection locked="0"/>
    </xf>
    <xf numFmtId="0" fontId="2" fillId="6" borderId="46" xfId="0" applyNumberFormat="1" applyFont="1" applyFill="1" applyBorder="1" applyAlignment="1" applyProtection="1">
      <protection locked="0"/>
    </xf>
    <xf numFmtId="0" fontId="2" fillId="6" borderId="31" xfId="0" applyNumberFormat="1" applyFont="1" applyFill="1" applyBorder="1" applyAlignment="1" applyProtection="1">
      <protection locked="0"/>
    </xf>
    <xf numFmtId="167" fontId="2" fillId="4" borderId="22" xfId="1" applyNumberFormat="1" applyFont="1" applyFill="1" applyBorder="1" applyAlignment="1" applyProtection="1">
      <alignment vertical="center" wrapText="1"/>
      <protection hidden="1"/>
    </xf>
    <xf numFmtId="165" fontId="2" fillId="0" borderId="0" xfId="0" applyNumberFormat="1" applyFont="1" applyFill="1" applyBorder="1" applyAlignment="1" applyProtection="1">
      <protection locked="0"/>
    </xf>
    <xf numFmtId="0" fontId="20" fillId="6" borderId="39" xfId="0" applyNumberFormat="1" applyFont="1" applyFill="1" applyBorder="1" applyAlignment="1" applyProtection="1">
      <protection locked="0"/>
    </xf>
    <xf numFmtId="0" fontId="21" fillId="6" borderId="39" xfId="0" applyFont="1" applyFill="1" applyBorder="1" applyProtection="1">
      <protection hidden="1"/>
    </xf>
    <xf numFmtId="0" fontId="22" fillId="6" borderId="39" xfId="0" applyFont="1" applyFill="1" applyBorder="1" applyProtection="1">
      <protection hidden="1"/>
    </xf>
    <xf numFmtId="0" fontId="20" fillId="6" borderId="39" xfId="0" applyNumberFormat="1" applyFont="1" applyFill="1" applyBorder="1" applyAlignment="1" applyProtection="1">
      <alignment horizontal="left" vertical="top" wrapText="1"/>
      <protection hidden="1"/>
    </xf>
    <xf numFmtId="1" fontId="3" fillId="10" borderId="17" xfId="0" applyNumberFormat="1" applyFont="1" applyFill="1" applyBorder="1" applyAlignment="1" applyProtection="1">
      <alignment horizontal="left" vertical="center" indent="1"/>
      <protection locked="0"/>
    </xf>
    <xf numFmtId="2" fontId="3" fillId="4" borderId="7" xfId="0" applyNumberFormat="1" applyFont="1" applyFill="1" applyBorder="1" applyAlignment="1" applyProtection="1">
      <alignment horizontal="left" vertical="center" indent="1"/>
      <protection locked="0"/>
    </xf>
    <xf numFmtId="1" fontId="3" fillId="4" borderId="7" xfId="0" applyNumberFormat="1" applyFont="1" applyFill="1" applyBorder="1" applyAlignment="1" applyProtection="1">
      <alignment horizontal="left" vertical="center" wrapText="1" indent="1"/>
      <protection locked="0"/>
    </xf>
    <xf numFmtId="164" fontId="2" fillId="0" borderId="0" xfId="0" applyNumberFormat="1" applyFont="1" applyFill="1" applyBorder="1" applyAlignment="1" applyProtection="1">
      <protection locked="0"/>
    </xf>
    <xf numFmtId="0" fontId="2" fillId="4" borderId="48" xfId="0" applyNumberFormat="1" applyFont="1" applyFill="1" applyBorder="1" applyAlignment="1" applyProtection="1">
      <alignment horizontal="center"/>
      <protection locked="0"/>
    </xf>
    <xf numFmtId="0" fontId="2" fillId="4" borderId="49" xfId="0" applyNumberFormat="1" applyFont="1" applyFill="1" applyBorder="1" applyAlignment="1" applyProtection="1">
      <alignment horizontal="center"/>
      <protection locked="0"/>
    </xf>
    <xf numFmtId="0" fontId="6" fillId="7" borderId="3" xfId="0" applyNumberFormat="1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3" fillId="5" borderId="24" xfId="0" applyNumberFormat="1" applyFont="1" applyFill="1" applyBorder="1" applyAlignment="1" applyProtection="1">
      <alignment horizontal="center" vertical="center"/>
      <protection locked="0"/>
    </xf>
    <xf numFmtId="0" fontId="3" fillId="5" borderId="26" xfId="0" applyNumberFormat="1" applyFont="1" applyFill="1" applyBorder="1" applyAlignment="1" applyProtection="1">
      <alignment horizontal="center" vertical="center"/>
      <protection locked="0"/>
    </xf>
    <xf numFmtId="0" fontId="3" fillId="5" borderId="27" xfId="0" applyNumberFormat="1" applyFont="1" applyFill="1" applyBorder="1" applyAlignment="1" applyProtection="1">
      <alignment horizontal="center" vertical="center"/>
      <protection locked="0"/>
    </xf>
    <xf numFmtId="0" fontId="3" fillId="6" borderId="28" xfId="0" applyNumberFormat="1" applyFont="1" applyFill="1" applyBorder="1" applyAlignment="1" applyProtection="1">
      <alignment horizontal="center" vertical="center"/>
      <protection locked="0"/>
    </xf>
    <xf numFmtId="0" fontId="3" fillId="6" borderId="0" xfId="0" applyNumberFormat="1" applyFont="1" applyFill="1" applyBorder="1" applyAlignment="1" applyProtection="1">
      <alignment horizontal="center" vertical="center"/>
      <protection locked="0"/>
    </xf>
    <xf numFmtId="0" fontId="3" fillId="4" borderId="15" xfId="0" applyNumberFormat="1" applyFont="1" applyFill="1" applyBorder="1" applyAlignment="1" applyProtection="1">
      <alignment horizontal="center" vertical="center"/>
      <protection locked="0"/>
    </xf>
    <xf numFmtId="0" fontId="3" fillId="4" borderId="11" xfId="0" applyNumberFormat="1" applyFont="1" applyFill="1" applyBorder="1" applyAlignment="1" applyProtection="1">
      <alignment horizontal="center" vertical="center"/>
      <protection locked="0"/>
    </xf>
    <xf numFmtId="0" fontId="3" fillId="4" borderId="16" xfId="0" applyNumberFormat="1" applyFont="1" applyFill="1" applyBorder="1" applyAlignment="1" applyProtection="1">
      <alignment horizontal="center" vertical="center"/>
      <protection locked="0"/>
    </xf>
    <xf numFmtId="0" fontId="3" fillId="6" borderId="29" xfId="0" applyNumberFormat="1" applyFont="1" applyFill="1" applyBorder="1" applyAlignment="1" applyProtection="1">
      <alignment horizontal="center" vertical="center"/>
      <protection locked="0"/>
    </xf>
    <xf numFmtId="0" fontId="3" fillId="5" borderId="10" xfId="0" applyNumberFormat="1" applyFont="1" applyFill="1" applyBorder="1" applyAlignment="1" applyProtection="1">
      <alignment horizontal="center" vertical="center"/>
      <protection locked="0"/>
    </xf>
    <xf numFmtId="0" fontId="3" fillId="5" borderId="11" xfId="0" applyNumberFormat="1" applyFont="1" applyFill="1" applyBorder="1" applyAlignment="1" applyProtection="1">
      <alignment horizontal="center" vertical="center"/>
      <protection locked="0"/>
    </xf>
    <xf numFmtId="0" fontId="3" fillId="5" borderId="16" xfId="0" applyNumberFormat="1" applyFont="1" applyFill="1" applyBorder="1" applyAlignment="1" applyProtection="1">
      <alignment horizontal="center" vertical="center"/>
      <protection locked="0"/>
    </xf>
    <xf numFmtId="0" fontId="6" fillId="9" borderId="3" xfId="0" applyNumberFormat="1" applyFont="1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9" borderId="5" xfId="0" applyFill="1" applyBorder="1" applyAlignment="1" applyProtection="1">
      <alignment horizontal="center"/>
      <protection locked="0"/>
    </xf>
    <xf numFmtId="0" fontId="3" fillId="4" borderId="61" xfId="0" applyNumberFormat="1" applyFont="1" applyFill="1" applyBorder="1" applyAlignment="1" applyProtection="1">
      <alignment horizontal="center" vertical="center"/>
      <protection locked="0"/>
    </xf>
    <xf numFmtId="0" fontId="3" fillId="4" borderId="62" xfId="0" applyNumberFormat="1" applyFont="1" applyFill="1" applyBorder="1" applyAlignment="1" applyProtection="1">
      <alignment horizontal="center" vertical="center"/>
      <protection locked="0"/>
    </xf>
    <xf numFmtId="0" fontId="3" fillId="4" borderId="49" xfId="0" applyNumberFormat="1" applyFont="1" applyFill="1" applyBorder="1" applyAlignment="1" applyProtection="1">
      <alignment horizontal="center" vertical="center"/>
      <protection locked="0"/>
    </xf>
    <xf numFmtId="0" fontId="3" fillId="4" borderId="33" xfId="0" applyNumberFormat="1" applyFont="1" applyFill="1" applyBorder="1" applyAlignment="1" applyProtection="1">
      <alignment horizontal="center" vertical="center"/>
      <protection locked="0"/>
    </xf>
    <xf numFmtId="0" fontId="3" fillId="4" borderId="34" xfId="0" applyNumberFormat="1" applyFont="1" applyFill="1" applyBorder="1" applyAlignment="1" applyProtection="1">
      <alignment horizontal="center" vertical="center"/>
      <protection locked="0"/>
    </xf>
    <xf numFmtId="0" fontId="3" fillId="4" borderId="35" xfId="0" applyNumberFormat="1" applyFont="1" applyFill="1" applyBorder="1" applyAlignment="1" applyProtection="1">
      <alignment horizontal="center" vertical="center"/>
      <protection locked="0"/>
    </xf>
    <xf numFmtId="0" fontId="3" fillId="6" borderId="40" xfId="0" applyNumberFormat="1" applyFont="1" applyFill="1" applyBorder="1" applyAlignment="1" applyProtection="1">
      <alignment horizontal="center" vertical="center"/>
      <protection locked="0"/>
    </xf>
    <xf numFmtId="0" fontId="3" fillId="6" borderId="41" xfId="0" applyNumberFormat="1" applyFont="1" applyFill="1" applyBorder="1" applyAlignment="1" applyProtection="1">
      <alignment horizontal="center" vertical="center"/>
      <protection locked="0"/>
    </xf>
    <xf numFmtId="0" fontId="3" fillId="6" borderId="42" xfId="0" applyNumberFormat="1" applyFont="1" applyFill="1" applyBorder="1" applyAlignment="1" applyProtection="1">
      <alignment horizontal="center" vertical="center"/>
      <protection locked="0"/>
    </xf>
    <xf numFmtId="0" fontId="3" fillId="5" borderId="30" xfId="0" applyNumberFormat="1" applyFont="1" applyFill="1" applyBorder="1" applyAlignment="1" applyProtection="1">
      <alignment horizontal="center" vertical="center"/>
      <protection locked="0"/>
    </xf>
    <xf numFmtId="0" fontId="3" fillId="5" borderId="31" xfId="0" applyNumberFormat="1" applyFont="1" applyFill="1" applyBorder="1" applyAlignment="1" applyProtection="1">
      <alignment horizontal="center" vertical="center"/>
      <protection locked="0"/>
    </xf>
    <xf numFmtId="0" fontId="3" fillId="5" borderId="32" xfId="0" applyNumberFormat="1" applyFont="1" applyFill="1" applyBorder="1" applyAlignment="1" applyProtection="1">
      <alignment horizontal="center" vertical="center"/>
      <protection locked="0"/>
    </xf>
    <xf numFmtId="164" fontId="14" fillId="4" borderId="48" xfId="1" applyNumberFormat="1" applyFont="1" applyFill="1" applyBorder="1" applyAlignment="1" applyProtection="1">
      <alignment horizontal="center"/>
      <protection hidden="1"/>
    </xf>
    <xf numFmtId="164" fontId="14" fillId="4" borderId="49" xfId="1" applyNumberFormat="1" applyFont="1" applyFill="1" applyBorder="1" applyAlignment="1" applyProtection="1">
      <alignment horizontal="center"/>
      <protection hidden="1"/>
    </xf>
    <xf numFmtId="164" fontId="14" fillId="6" borderId="48" xfId="1" applyNumberFormat="1" applyFont="1" applyFill="1" applyBorder="1" applyAlignment="1" applyProtection="1">
      <alignment horizontal="center" vertical="center"/>
      <protection hidden="1"/>
    </xf>
    <xf numFmtId="164" fontId="14" fillId="6" borderId="49" xfId="1" applyNumberFormat="1" applyFont="1" applyFill="1" applyBorder="1" applyAlignment="1" applyProtection="1">
      <alignment horizontal="center" vertical="center"/>
      <protection hidden="1"/>
    </xf>
    <xf numFmtId="0" fontId="3" fillId="4" borderId="36" xfId="0" applyNumberFormat="1" applyFont="1" applyFill="1" applyBorder="1" applyAlignment="1" applyProtection="1">
      <alignment horizontal="center" vertical="center"/>
      <protection locked="0"/>
    </xf>
    <xf numFmtId="0" fontId="3" fillId="4" borderId="37" xfId="0" applyNumberFormat="1" applyFont="1" applyFill="1" applyBorder="1" applyAlignment="1" applyProtection="1">
      <alignment horizontal="center" vertical="center"/>
      <protection locked="0"/>
    </xf>
    <xf numFmtId="0" fontId="3" fillId="4" borderId="38" xfId="0" applyNumberFormat="1" applyFont="1" applyFill="1" applyBorder="1" applyAlignment="1" applyProtection="1">
      <alignment horizontal="center" vertical="center"/>
      <protection locked="0"/>
    </xf>
    <xf numFmtId="164" fontId="14" fillId="0" borderId="48" xfId="1" applyNumberFormat="1" applyFont="1" applyFill="1" applyBorder="1" applyAlignment="1" applyProtection="1">
      <alignment horizontal="center"/>
      <protection hidden="1"/>
    </xf>
    <xf numFmtId="164" fontId="14" fillId="0" borderId="49" xfId="1" applyNumberFormat="1" applyFont="1" applyFill="1" applyBorder="1" applyAlignment="1" applyProtection="1">
      <alignment horizontal="center"/>
      <protection hidden="1"/>
    </xf>
    <xf numFmtId="164" fontId="14" fillId="4" borderId="48" xfId="0" applyNumberFormat="1" applyFont="1" applyFill="1" applyBorder="1" applyAlignment="1" applyProtection="1">
      <alignment horizontal="center"/>
      <protection hidden="1"/>
    </xf>
    <xf numFmtId="164" fontId="14" fillId="4" borderId="49" xfId="0" applyNumberFormat="1" applyFont="1" applyFill="1" applyBorder="1" applyAlignment="1" applyProtection="1">
      <alignment horizontal="center"/>
      <protection hidden="1"/>
    </xf>
    <xf numFmtId="165" fontId="17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F1EEE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DDDEE7"/>
      <rgbColor rgb="00FFCC00"/>
      <rgbColor rgb="00FF9900"/>
      <rgbColor rgb="00FF6600"/>
      <rgbColor rgb="00666699"/>
      <rgbColor rgb="00969696"/>
      <rgbColor rgb="00003366"/>
      <rgbColor rgb="00606388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5</xdr:row>
      <xdr:rowOff>31750</xdr:rowOff>
    </xdr:from>
    <xdr:to>
      <xdr:col>11</xdr:col>
      <xdr:colOff>615950</xdr:colOff>
      <xdr:row>5</xdr:row>
      <xdr:rowOff>234950</xdr:rowOff>
    </xdr:to>
    <xdr:sp macro="" textlink="">
      <xdr:nvSpPr>
        <xdr:cNvPr id="2" name="Double Bracket 1"/>
        <xdr:cNvSpPr/>
      </xdr:nvSpPr>
      <xdr:spPr>
        <a:xfrm>
          <a:off x="3238500" y="1150938"/>
          <a:ext cx="2862263" cy="2032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44450</xdr:colOff>
      <xdr:row>5</xdr:row>
      <xdr:rowOff>19050</xdr:rowOff>
    </xdr:from>
    <xdr:to>
      <xdr:col>7</xdr:col>
      <xdr:colOff>177800</xdr:colOff>
      <xdr:row>5</xdr:row>
      <xdr:rowOff>222250</xdr:rowOff>
    </xdr:to>
    <xdr:cxnSp macro="">
      <xdr:nvCxnSpPr>
        <xdr:cNvPr id="4" name="Straight Connector 3"/>
        <xdr:cNvCxnSpPr/>
      </xdr:nvCxnSpPr>
      <xdr:spPr>
        <a:xfrm rot="5400000">
          <a:off x="3933825" y="1374775"/>
          <a:ext cx="203200" cy="133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292100</xdr:colOff>
      <xdr:row>5</xdr:row>
      <xdr:rowOff>44450</xdr:rowOff>
    </xdr:from>
    <xdr:to>
      <xdr:col>8</xdr:col>
      <xdr:colOff>457200</xdr:colOff>
      <xdr:row>5</xdr:row>
      <xdr:rowOff>209550</xdr:rowOff>
    </xdr:to>
    <xdr:sp macro="" textlink="">
      <xdr:nvSpPr>
        <xdr:cNvPr id="16" name="Multiply 15"/>
        <xdr:cNvSpPr/>
      </xdr:nvSpPr>
      <xdr:spPr>
        <a:xfrm>
          <a:off x="4419600" y="1365250"/>
          <a:ext cx="165100" cy="165100"/>
        </a:xfrm>
        <a:prstGeom prst="mathMultiply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336550</xdr:colOff>
      <xdr:row>5</xdr:row>
      <xdr:rowOff>38100</xdr:rowOff>
    </xdr:from>
    <xdr:to>
      <xdr:col>9</xdr:col>
      <xdr:colOff>501650</xdr:colOff>
      <xdr:row>5</xdr:row>
      <xdr:rowOff>203200</xdr:rowOff>
    </xdr:to>
    <xdr:sp macro="" textlink="">
      <xdr:nvSpPr>
        <xdr:cNvPr id="17" name="Multiply 16"/>
        <xdr:cNvSpPr/>
      </xdr:nvSpPr>
      <xdr:spPr>
        <a:xfrm>
          <a:off x="5029200" y="1358900"/>
          <a:ext cx="165100" cy="165100"/>
        </a:xfrm>
        <a:prstGeom prst="mathMultiply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425450</xdr:colOff>
      <xdr:row>5</xdr:row>
      <xdr:rowOff>44450</xdr:rowOff>
    </xdr:from>
    <xdr:to>
      <xdr:col>11</xdr:col>
      <xdr:colOff>95250</xdr:colOff>
      <xdr:row>5</xdr:row>
      <xdr:rowOff>177800</xdr:rowOff>
    </xdr:to>
    <xdr:sp macro="" textlink="">
      <xdr:nvSpPr>
        <xdr:cNvPr id="18" name="Equal 17"/>
        <xdr:cNvSpPr/>
      </xdr:nvSpPr>
      <xdr:spPr>
        <a:xfrm>
          <a:off x="5645150" y="1365250"/>
          <a:ext cx="158750" cy="133350"/>
        </a:xfrm>
        <a:prstGeom prst="mathEqual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547687</xdr:colOff>
      <xdr:row>1</xdr:row>
      <xdr:rowOff>35719</xdr:rowOff>
    </xdr:from>
    <xdr:to>
      <xdr:col>14</xdr:col>
      <xdr:colOff>130968</xdr:colOff>
      <xdr:row>1</xdr:row>
      <xdr:rowOff>412883</xdr:rowOff>
    </xdr:to>
    <xdr:pic>
      <xdr:nvPicPr>
        <xdr:cNvPr id="19" name="Picture 18" descr="logo_iso_lloy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31843" y="202407"/>
          <a:ext cx="607219" cy="377164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1</xdr:row>
      <xdr:rowOff>23811</xdr:rowOff>
    </xdr:from>
    <xdr:to>
      <xdr:col>2</xdr:col>
      <xdr:colOff>675242</xdr:colOff>
      <xdr:row>2</xdr:row>
      <xdr:rowOff>11905</xdr:rowOff>
    </xdr:to>
    <xdr:pic>
      <xdr:nvPicPr>
        <xdr:cNvPr id="20" name="Picture 19" descr="Logo Sipatex - new.png"/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</a:blip>
        <a:stretch>
          <a:fillRect/>
        </a:stretch>
      </xdr:blipFill>
      <xdr:spPr>
        <a:xfrm>
          <a:off x="59531" y="190499"/>
          <a:ext cx="913367" cy="440531"/>
        </a:xfrm>
        <a:prstGeom prst="rect">
          <a:avLst/>
        </a:prstGeom>
      </xdr:spPr>
    </xdr:pic>
    <xdr:clientData/>
  </xdr:twoCellAnchor>
  <xdr:twoCellAnchor>
    <xdr:from>
      <xdr:col>10</xdr:col>
      <xdr:colOff>317500</xdr:colOff>
      <xdr:row>23</xdr:row>
      <xdr:rowOff>71438</xdr:rowOff>
    </xdr:from>
    <xdr:to>
      <xdr:col>14</xdr:col>
      <xdr:colOff>158750</xdr:colOff>
      <xdr:row>29</xdr:row>
      <xdr:rowOff>87312</xdr:rowOff>
    </xdr:to>
    <xdr:sp macro="" textlink="">
      <xdr:nvSpPr>
        <xdr:cNvPr id="21" name="Rounded Rectangle 20"/>
        <xdr:cNvSpPr/>
      </xdr:nvSpPr>
      <xdr:spPr>
        <a:xfrm>
          <a:off x="5500688" y="5484813"/>
          <a:ext cx="2444750" cy="881062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53974</xdr:colOff>
      <xdr:row>6</xdr:row>
      <xdr:rowOff>20638</xdr:rowOff>
    </xdr:from>
    <xdr:to>
      <xdr:col>4</xdr:col>
      <xdr:colOff>120649</xdr:colOff>
      <xdr:row>6</xdr:row>
      <xdr:rowOff>223838</xdr:rowOff>
    </xdr:to>
    <xdr:cxnSp macro="">
      <xdr:nvCxnSpPr>
        <xdr:cNvPr id="22" name="Straight Connector 21"/>
        <xdr:cNvCxnSpPr/>
      </xdr:nvCxnSpPr>
      <xdr:spPr>
        <a:xfrm rot="5400000">
          <a:off x="2501900" y="1446213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539749</xdr:colOff>
      <xdr:row>14</xdr:row>
      <xdr:rowOff>22227</xdr:rowOff>
    </xdr:from>
    <xdr:to>
      <xdr:col>4</xdr:col>
      <xdr:colOff>66674</xdr:colOff>
      <xdr:row>14</xdr:row>
      <xdr:rowOff>225427</xdr:rowOff>
    </xdr:to>
    <xdr:cxnSp macro="">
      <xdr:nvCxnSpPr>
        <xdr:cNvPr id="23" name="Straight Connector 22"/>
        <xdr:cNvCxnSpPr/>
      </xdr:nvCxnSpPr>
      <xdr:spPr>
        <a:xfrm rot="5400000">
          <a:off x="2447925" y="3313114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20</xdr:row>
      <xdr:rowOff>7941</xdr:rowOff>
    </xdr:from>
    <xdr:to>
      <xdr:col>4</xdr:col>
      <xdr:colOff>76199</xdr:colOff>
      <xdr:row>20</xdr:row>
      <xdr:rowOff>211141</xdr:rowOff>
    </xdr:to>
    <xdr:cxnSp macro="">
      <xdr:nvCxnSpPr>
        <xdr:cNvPr id="24" name="Straight Connector 23"/>
        <xdr:cNvCxnSpPr/>
      </xdr:nvCxnSpPr>
      <xdr:spPr>
        <a:xfrm rot="5400000">
          <a:off x="2457450" y="4703766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87312</xdr:colOff>
      <xdr:row>14</xdr:row>
      <xdr:rowOff>30165</xdr:rowOff>
    </xdr:from>
    <xdr:to>
      <xdr:col>7</xdr:col>
      <xdr:colOff>153987</xdr:colOff>
      <xdr:row>14</xdr:row>
      <xdr:rowOff>233365</xdr:rowOff>
    </xdr:to>
    <xdr:cxnSp macro="">
      <xdr:nvCxnSpPr>
        <xdr:cNvPr id="25" name="Straight Connector 24"/>
        <xdr:cNvCxnSpPr/>
      </xdr:nvCxnSpPr>
      <xdr:spPr>
        <a:xfrm rot="5400000">
          <a:off x="3733800" y="3321052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20</xdr:row>
      <xdr:rowOff>15880</xdr:rowOff>
    </xdr:from>
    <xdr:to>
      <xdr:col>7</xdr:col>
      <xdr:colOff>171450</xdr:colOff>
      <xdr:row>20</xdr:row>
      <xdr:rowOff>219080</xdr:rowOff>
    </xdr:to>
    <xdr:cxnSp macro="">
      <xdr:nvCxnSpPr>
        <xdr:cNvPr id="26" name="Straight Connector 25"/>
        <xdr:cNvCxnSpPr/>
      </xdr:nvCxnSpPr>
      <xdr:spPr>
        <a:xfrm rot="5400000">
          <a:off x="3751263" y="4711705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58210</xdr:colOff>
      <xdr:row>14</xdr:row>
      <xdr:rowOff>30166</xdr:rowOff>
    </xdr:from>
    <xdr:to>
      <xdr:col>10</xdr:col>
      <xdr:colOff>124885</xdr:colOff>
      <xdr:row>14</xdr:row>
      <xdr:rowOff>233366</xdr:rowOff>
    </xdr:to>
    <xdr:cxnSp macro="">
      <xdr:nvCxnSpPr>
        <xdr:cNvPr id="27" name="Straight Connector 26"/>
        <xdr:cNvCxnSpPr/>
      </xdr:nvCxnSpPr>
      <xdr:spPr>
        <a:xfrm rot="5400000">
          <a:off x="5059365" y="3368678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106362</xdr:colOff>
      <xdr:row>20</xdr:row>
      <xdr:rowOff>17469</xdr:rowOff>
    </xdr:from>
    <xdr:to>
      <xdr:col>10</xdr:col>
      <xdr:colOff>173037</xdr:colOff>
      <xdr:row>20</xdr:row>
      <xdr:rowOff>220669</xdr:rowOff>
    </xdr:to>
    <xdr:cxnSp macro="">
      <xdr:nvCxnSpPr>
        <xdr:cNvPr id="28" name="Straight Connector 27"/>
        <xdr:cNvCxnSpPr/>
      </xdr:nvCxnSpPr>
      <xdr:spPr>
        <a:xfrm rot="5400000">
          <a:off x="5038725" y="4713294"/>
          <a:ext cx="20320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272521</xdr:colOff>
      <xdr:row>1</xdr:row>
      <xdr:rowOff>56884</xdr:rowOff>
    </xdr:from>
    <xdr:to>
      <xdr:col>14</xdr:col>
      <xdr:colOff>474557</xdr:colOff>
      <xdr:row>1</xdr:row>
      <xdr:rowOff>423331</xdr:rowOff>
    </xdr:to>
    <xdr:pic>
      <xdr:nvPicPr>
        <xdr:cNvPr id="7" name="Picture 6" descr="logo_iso_lloy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4021" y="205051"/>
          <a:ext cx="921703" cy="36644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11907</xdr:colOff>
      <xdr:row>1</xdr:row>
      <xdr:rowOff>23810</xdr:rowOff>
    </xdr:from>
    <xdr:to>
      <xdr:col>2</xdr:col>
      <xdr:colOff>740411</xdr:colOff>
      <xdr:row>1</xdr:row>
      <xdr:rowOff>412749</xdr:rowOff>
    </xdr:to>
    <xdr:pic>
      <xdr:nvPicPr>
        <xdr:cNvPr id="8" name="Picture 7" descr="Logo Sipatex - new.png"/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</a:blip>
        <a:stretch>
          <a:fillRect/>
        </a:stretch>
      </xdr:blipFill>
      <xdr:spPr>
        <a:xfrm>
          <a:off x="64824" y="171977"/>
          <a:ext cx="971920" cy="388939"/>
        </a:xfrm>
        <a:prstGeom prst="rect">
          <a:avLst/>
        </a:prstGeom>
      </xdr:spPr>
    </xdr:pic>
    <xdr:clientData/>
  </xdr:twoCellAnchor>
  <xdr:twoCellAnchor>
    <xdr:from>
      <xdr:col>2</xdr:col>
      <xdr:colOff>1523999</xdr:colOff>
      <xdr:row>24</xdr:row>
      <xdr:rowOff>64634</xdr:rowOff>
    </xdr:from>
    <xdr:to>
      <xdr:col>8</xdr:col>
      <xdr:colOff>476250</xdr:colOff>
      <xdr:row>32</xdr:row>
      <xdr:rowOff>116417</xdr:rowOff>
    </xdr:to>
    <xdr:sp macro="" textlink="">
      <xdr:nvSpPr>
        <xdr:cNvPr id="9" name="Rounded Rectangle 8"/>
        <xdr:cNvSpPr/>
      </xdr:nvSpPr>
      <xdr:spPr>
        <a:xfrm>
          <a:off x="1820332" y="5483301"/>
          <a:ext cx="2635251" cy="1215949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7"/>
  </sheetPr>
  <dimension ref="B1:S32"/>
  <sheetViews>
    <sheetView showGridLines="0" tabSelected="1" topLeftCell="A8" zoomScale="90" zoomScaleNormal="90" workbookViewId="0">
      <selection activeCell="G27" sqref="G27"/>
    </sheetView>
  </sheetViews>
  <sheetFormatPr defaultColWidth="10" defaultRowHeight="11.25"/>
  <cols>
    <col min="1" max="1" width="0.7109375" style="1" customWidth="1"/>
    <col min="2" max="2" width="3.7109375" style="1" customWidth="1"/>
    <col min="3" max="3" width="25.28515625" style="1" customWidth="1"/>
    <col min="4" max="4" width="9" style="1" customWidth="1"/>
    <col min="5" max="5" width="2.28515625" style="1" customWidth="1"/>
    <col min="6" max="6" width="8.140625" style="1" customWidth="1"/>
    <col min="7" max="7" width="7.5703125" style="1" customWidth="1"/>
    <col min="8" max="8" width="3" style="1" customWidth="1"/>
    <col min="9" max="9" width="8.42578125" style="1" customWidth="1"/>
    <col min="10" max="10" width="7.85546875" style="1" customWidth="1"/>
    <col min="11" max="11" width="7.85546875" style="1" bestFit="1" customWidth="1"/>
    <col min="12" max="12" width="10.7109375" style="1" customWidth="1"/>
    <col min="13" max="13" width="5.85546875" style="1" customWidth="1"/>
    <col min="14" max="14" width="15.28515625" style="1" customWidth="1"/>
    <col min="15" max="15" width="4.85546875" style="1" customWidth="1"/>
    <col min="16" max="16" width="10" style="1"/>
    <col min="17" max="17" width="10.5703125" style="1" bestFit="1" customWidth="1"/>
    <col min="18" max="18" width="15.28515625" style="1" bestFit="1" customWidth="1"/>
    <col min="19" max="19" width="10.5703125" style="1" bestFit="1" customWidth="1"/>
    <col min="20" max="16384" width="10" style="1"/>
  </cols>
  <sheetData>
    <row r="1" spans="2:18" ht="13.5" customHeight="1"/>
    <row r="2" spans="2:18" ht="36" customHeight="1" thickBot="1">
      <c r="B2" s="149" t="s">
        <v>17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</row>
    <row r="3" spans="2:18" ht="10.5" customHeight="1" thickTop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2:18" ht="9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8" ht="18.95" customHeight="1">
      <c r="B5" s="5"/>
      <c r="C5" s="80" t="s">
        <v>0</v>
      </c>
      <c r="D5" s="157" t="s">
        <v>81</v>
      </c>
      <c r="E5" s="158"/>
      <c r="F5" s="159"/>
      <c r="G5" s="81"/>
      <c r="H5" s="82"/>
      <c r="I5" s="82"/>
      <c r="J5" s="82"/>
      <c r="K5" s="82"/>
      <c r="L5" s="83"/>
      <c r="M5" s="44"/>
      <c r="N5" s="44"/>
      <c r="O5" s="7"/>
    </row>
    <row r="6" spans="2:18" ht="18.95" customHeight="1">
      <c r="B6" s="5"/>
      <c r="C6" s="49" t="s">
        <v>15</v>
      </c>
      <c r="D6" s="84" t="s">
        <v>79</v>
      </c>
      <c r="E6" s="85"/>
      <c r="F6" s="86"/>
      <c r="G6" s="87">
        <f>D7</f>
        <v>30</v>
      </c>
      <c r="H6" s="88"/>
      <c r="I6" s="88">
        <f>F7</f>
        <v>4</v>
      </c>
      <c r="J6" s="88">
        <f>D8</f>
        <v>58</v>
      </c>
      <c r="K6" s="144">
        <f>D9</f>
        <v>65</v>
      </c>
      <c r="L6" s="145">
        <f>D10</f>
        <v>7830</v>
      </c>
      <c r="M6" s="44"/>
      <c r="N6" s="44"/>
      <c r="O6" s="7"/>
    </row>
    <row r="7" spans="2:18" ht="18.95" customHeight="1">
      <c r="B7" s="5"/>
      <c r="C7" s="49" t="s">
        <v>1</v>
      </c>
      <c r="D7" s="84">
        <v>30</v>
      </c>
      <c r="E7" s="89"/>
      <c r="F7" s="90">
        <v>4</v>
      </c>
      <c r="G7" s="91"/>
      <c r="H7" s="92"/>
      <c r="I7" s="92"/>
      <c r="J7" s="92"/>
      <c r="K7" s="92"/>
      <c r="L7" s="93"/>
      <c r="M7" s="44"/>
      <c r="N7" s="44"/>
      <c r="O7" s="7"/>
    </row>
    <row r="8" spans="2:18" ht="18.95" customHeight="1">
      <c r="B8" s="5"/>
      <c r="C8" s="49" t="s">
        <v>3</v>
      </c>
      <c r="D8" s="84">
        <v>58</v>
      </c>
      <c r="E8" s="85"/>
      <c r="F8" s="94"/>
      <c r="G8" s="95"/>
      <c r="H8" s="43"/>
      <c r="I8" s="43"/>
      <c r="J8" s="43"/>
      <c r="K8" s="43"/>
      <c r="L8" s="44"/>
      <c r="M8" s="44"/>
      <c r="N8" s="44"/>
      <c r="O8" s="7"/>
    </row>
    <row r="9" spans="2:18" ht="18.95" customHeight="1">
      <c r="B9" s="5"/>
      <c r="C9" s="49" t="s">
        <v>4</v>
      </c>
      <c r="D9" s="84">
        <v>65</v>
      </c>
      <c r="E9" s="85"/>
      <c r="F9" s="96"/>
      <c r="G9" s="95"/>
      <c r="H9" s="43"/>
      <c r="I9" s="43"/>
      <c r="J9" s="43"/>
      <c r="K9" s="43"/>
      <c r="L9" s="44"/>
      <c r="M9" s="44"/>
      <c r="N9" s="44"/>
      <c r="O9" s="7"/>
    </row>
    <row r="10" spans="2:18" ht="18.95" customHeight="1">
      <c r="B10" s="5"/>
      <c r="C10" s="49" t="s">
        <v>6</v>
      </c>
      <c r="D10" s="143">
        <v>7830</v>
      </c>
      <c r="E10" s="85"/>
      <c r="F10" s="96"/>
      <c r="G10" s="95"/>
      <c r="H10" s="43"/>
      <c r="I10" s="43"/>
      <c r="J10" s="43"/>
      <c r="K10" s="43"/>
      <c r="L10" s="44"/>
      <c r="M10" s="44"/>
      <c r="N10" s="44"/>
      <c r="O10" s="7"/>
    </row>
    <row r="11" spans="2:18" ht="18.95" customHeight="1">
      <c r="B11" s="5"/>
      <c r="C11" s="52" t="s">
        <v>7</v>
      </c>
      <c r="D11" s="97">
        <v>13500</v>
      </c>
      <c r="E11" s="98"/>
      <c r="F11" s="99"/>
      <c r="G11" s="155"/>
      <c r="H11" s="156"/>
      <c r="I11" s="156"/>
      <c r="J11" s="43"/>
      <c r="K11" s="43"/>
      <c r="L11" s="100"/>
      <c r="M11" s="100"/>
      <c r="N11" s="100"/>
      <c r="O11" s="139"/>
    </row>
    <row r="12" spans="2:18" ht="15.95" customHeight="1">
      <c r="B12" s="5"/>
      <c r="C12" s="54"/>
      <c r="D12" s="54"/>
      <c r="E12" s="54"/>
      <c r="F12" s="54"/>
      <c r="G12" s="54"/>
      <c r="H12" s="54"/>
      <c r="I12" s="54"/>
      <c r="J12" s="54"/>
      <c r="K12" s="54"/>
      <c r="L12" s="55"/>
      <c r="M12" s="43"/>
      <c r="N12" s="13"/>
      <c r="O12" s="141">
        <f>IF(D$6="Plain",1.14,1.1)</f>
        <v>1.1000000000000001</v>
      </c>
    </row>
    <row r="13" spans="2:18" ht="18.95" customHeight="1">
      <c r="B13" s="5"/>
      <c r="C13" s="56" t="s">
        <v>5</v>
      </c>
      <c r="D13" s="152" t="s">
        <v>9</v>
      </c>
      <c r="E13" s="153"/>
      <c r="F13" s="154"/>
      <c r="G13" s="152" t="s">
        <v>10</v>
      </c>
      <c r="H13" s="153"/>
      <c r="I13" s="154"/>
      <c r="J13" s="152" t="s">
        <v>11</v>
      </c>
      <c r="K13" s="153"/>
      <c r="L13" s="154"/>
      <c r="M13" s="41"/>
      <c r="N13" s="15" t="s">
        <v>21</v>
      </c>
      <c r="O13" s="141">
        <f>IF(D16&gt;0, 1.12,1.1)</f>
        <v>1.1000000000000001</v>
      </c>
    </row>
    <row r="14" spans="2:18" ht="18.95" customHeight="1">
      <c r="B14" s="5"/>
      <c r="C14" s="57" t="s">
        <v>19</v>
      </c>
      <c r="D14" s="155">
        <f>28000/13700</f>
        <v>2.0437956204379564</v>
      </c>
      <c r="E14" s="156"/>
      <c r="F14" s="160"/>
      <c r="G14" s="155">
        <v>3</v>
      </c>
      <c r="H14" s="156"/>
      <c r="I14" s="160"/>
      <c r="J14" s="155"/>
      <c r="K14" s="156"/>
      <c r="L14" s="160"/>
      <c r="M14" s="41"/>
      <c r="N14" s="137">
        <f>(((D$10*D$15*O$12*O$13*(D$17/$N$17)/9000)*(D14*D11))+((D$10*G$15*O$12*O$13*(G$17/$N$17)/9000)*(G14*D11))+((D$10*J$15*O$12*O$13*(J$17/$N$17)/9000)*(J14*D11)))/1000+IF(D16&lt;500,4.5*D16/1000*N16,IF(D16&lt;1200,4*D16/1000*N16,IF(D16&lt;1500,3.5*D16/1000*N16,IF(D16&lt;2100,3*D16/1000*N16,0))))+IF(D16&gt;0,900,0)+IF(G16&lt;500,4.5*G16/1000*N16/1000*N16,IF(G16&lt;1200,4*G16/1000*N16,IF(G16&lt;1500,3.5*G16/1000*N16,IF(G16&lt;2100,3*G16/1000*N16,0))))+IF(G16&gt;0,900,0)+IF(J16&lt;500,4.5*J16/1000*N16,IF(J16&lt;1200,4*J16/1000*N16,IF(J16&lt;1500,3.5*J16/1000*N16,IF(J16&lt;2100,3*J16/1000*N16,0))))+IF(J16&gt;0,900,0)</f>
        <v>3921.1154014598542</v>
      </c>
      <c r="O14" s="33"/>
    </row>
    <row r="15" spans="2:18" ht="18.95" customHeight="1">
      <c r="B15" s="5"/>
      <c r="C15" s="101" t="s">
        <v>8</v>
      </c>
      <c r="D15" s="102">
        <v>135</v>
      </c>
      <c r="E15" s="103" t="s">
        <v>2</v>
      </c>
      <c r="F15" s="104">
        <v>108</v>
      </c>
      <c r="G15" s="105"/>
      <c r="H15" s="103"/>
      <c r="I15" s="106"/>
      <c r="J15" s="102"/>
      <c r="K15" s="103"/>
      <c r="L15" s="107"/>
      <c r="M15" s="62"/>
      <c r="N15" s="15" t="s">
        <v>14</v>
      </c>
      <c r="O15" s="33">
        <f>IF(G16="T", 1.02,IF(G16="N",1.01,0))</f>
        <v>0</v>
      </c>
    </row>
    <row r="16" spans="2:18" ht="18.95" customHeight="1">
      <c r="B16" s="5"/>
      <c r="C16" s="63" t="s">
        <v>74</v>
      </c>
      <c r="D16" s="108">
        <v>0</v>
      </c>
      <c r="E16" s="109"/>
      <c r="F16" s="110"/>
      <c r="G16" s="108">
        <v>0</v>
      </c>
      <c r="H16" s="109"/>
      <c r="I16" s="110"/>
      <c r="J16" s="108"/>
      <c r="K16" s="111"/>
      <c r="L16" s="112"/>
      <c r="M16" s="62"/>
      <c r="N16" s="17">
        <f>((D$10*D$15*O$12*O$13*(D$17/$N$17)/9000)+(D$10*G$15*O$12*O$13*(G$17/$N$17)/9000)+(D$10*J$15*O$12*O$13*(J$17/$N$17)/9000))</f>
        <v>142.11449999999999</v>
      </c>
      <c r="O16" s="33">
        <f>IF(J16="T", 1.02,IF(J16="N",1.01,0))</f>
        <v>0</v>
      </c>
      <c r="Q16" s="8"/>
      <c r="R16" s="8">
        <f>N16*57</f>
        <v>8100.5264999999999</v>
      </c>
    </row>
    <row r="17" spans="2:19" ht="18.95" customHeight="1">
      <c r="B17" s="5"/>
      <c r="C17" s="65" t="s">
        <v>18</v>
      </c>
      <c r="D17" s="113">
        <v>1</v>
      </c>
      <c r="E17" s="114"/>
      <c r="F17" s="115"/>
      <c r="G17" s="113"/>
      <c r="H17" s="114"/>
      <c r="I17" s="115"/>
      <c r="J17" s="113"/>
      <c r="K17" s="116"/>
      <c r="L17" s="117"/>
      <c r="M17" s="62"/>
      <c r="N17" s="18">
        <f>SUM(D17:J17)</f>
        <v>1</v>
      </c>
      <c r="O17" s="140"/>
    </row>
    <row r="18" spans="2:19" ht="12" customHeight="1">
      <c r="B18" s="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"/>
      <c r="N18" s="19"/>
      <c r="O18" s="142"/>
    </row>
    <row r="19" spans="2:19" ht="21" customHeight="1">
      <c r="B19" s="5"/>
      <c r="C19" s="68" t="s">
        <v>12</v>
      </c>
      <c r="D19" s="161" t="s">
        <v>9</v>
      </c>
      <c r="E19" s="162"/>
      <c r="F19" s="163"/>
      <c r="G19" s="161" t="s">
        <v>10</v>
      </c>
      <c r="H19" s="162"/>
      <c r="I19" s="163"/>
      <c r="J19" s="161" t="s">
        <v>11</v>
      </c>
      <c r="K19" s="162"/>
      <c r="L19" s="163"/>
      <c r="M19" s="41"/>
      <c r="N19" s="15" t="s">
        <v>20</v>
      </c>
      <c r="O19" s="141">
        <f>IF(D22&gt;0, 1.15,1.01)</f>
        <v>1.01</v>
      </c>
    </row>
    <row r="20" spans="2:19" ht="21" customHeight="1">
      <c r="B20" s="5"/>
      <c r="C20" s="57" t="s">
        <v>19</v>
      </c>
      <c r="D20" s="155">
        <f>28000/13700</f>
        <v>2.0437956204379564</v>
      </c>
      <c r="E20" s="156"/>
      <c r="F20" s="160"/>
      <c r="G20" s="155"/>
      <c r="H20" s="156"/>
      <c r="I20" s="160"/>
      <c r="J20" s="155"/>
      <c r="K20" s="156"/>
      <c r="L20" s="160"/>
      <c r="M20" s="41"/>
      <c r="N20" s="137">
        <f>(((D$8*D$9*D$21*1.01*1.006*(D$23/N$23)/9000)*(D20*D11))+((D$8*D$9*G$21*1.01*1.006*(G$23/N$23)/9000)*(G20*D11))+((D$8*D$9*J$21*1.01*1.006*(J$23/N$23)/9000)*(J20*D11)))/1000+IF(D22&lt;500,4*D22/1000*N22,IF(D22&lt;1200,3.5*D22/1000*N22,IF(D22&lt;1500,3*D22/1000*N22,IF(D22&lt;2100,2.5*D22/1000*N22,0))))+IF(D22&gt;0,600,0)+IF(G22&lt;500,4.5*G22/1000*N22,IF(G22&lt;1200,4*G22/1000*N22,IF(G22&lt;1500,3.5*G22/1000*N22,IF(G22&lt;2100,3*G22/1000*N22,0))))+IF(G22&gt;0,600,0)+IF(J22&lt;500,4.5*J22/1000*N22,IF(J22&lt;1200,4*J22/1000*N22,IF(J22&lt;1500,3.5*J22/1000*N22,IF(J22&lt;2100,3*J22/1000*N22,0))))+IF(J22&gt;0,600,0)</f>
        <v>792.6714216788323</v>
      </c>
      <c r="O20" s="33"/>
      <c r="Q20" s="8"/>
    </row>
    <row r="21" spans="2:19" ht="17.25" customHeight="1">
      <c r="B21" s="5"/>
      <c r="C21" s="49" t="s">
        <v>8</v>
      </c>
      <c r="D21" s="87">
        <v>135</v>
      </c>
      <c r="E21" s="118" t="s">
        <v>2</v>
      </c>
      <c r="F21" s="90">
        <v>108</v>
      </c>
      <c r="G21" s="119"/>
      <c r="H21" s="118"/>
      <c r="I21" s="120"/>
      <c r="J21" s="87"/>
      <c r="K21" s="118"/>
      <c r="L21" s="121"/>
      <c r="M21" s="62"/>
      <c r="N21" s="15" t="s">
        <v>13</v>
      </c>
      <c r="O21" s="33">
        <f>IF(G22="T", 1.02,IF(G22="N",1.01,0))</f>
        <v>0</v>
      </c>
      <c r="R21" s="8">
        <f>N22*57</f>
        <v>1653.934085505</v>
      </c>
    </row>
    <row r="22" spans="2:19" ht="22.5" customHeight="1">
      <c r="B22" s="5"/>
      <c r="C22" s="63" t="s">
        <v>74</v>
      </c>
      <c r="D22" s="122">
        <v>0</v>
      </c>
      <c r="E22" s="123"/>
      <c r="F22" s="124"/>
      <c r="G22" s="122">
        <v>0</v>
      </c>
      <c r="H22" s="123"/>
      <c r="I22" s="124"/>
      <c r="J22" s="122">
        <v>0</v>
      </c>
      <c r="K22" s="125"/>
      <c r="L22" s="126"/>
      <c r="M22" s="62"/>
      <c r="N22" s="17">
        <f>((D$8*D$9*D$21*1.01*1.006*O19*(D$23/N$23)/9000)+(D$8*D$9*G$21*1.01*1.006*O19*(G$23/N$23)/9000)+(D$8*D$9*J$21*1.01*1.006*O19*(J$23/N$23)/9000))</f>
        <v>29.016387465000001</v>
      </c>
      <c r="O22" s="33">
        <f>IF(J22="T", 1.02,IF(J22="N",1.01,0))</f>
        <v>0</v>
      </c>
      <c r="P22" s="8"/>
      <c r="Q22" s="8"/>
      <c r="R22" s="8">
        <v>15961</v>
      </c>
      <c r="S22" s="1">
        <v>15405</v>
      </c>
    </row>
    <row r="23" spans="2:19" ht="21.75" customHeight="1">
      <c r="B23" s="5"/>
      <c r="C23" s="71" t="s">
        <v>18</v>
      </c>
      <c r="D23" s="127">
        <v>1</v>
      </c>
      <c r="E23" s="114"/>
      <c r="F23" s="115"/>
      <c r="G23" s="127">
        <v>1</v>
      </c>
      <c r="H23" s="114"/>
      <c r="I23" s="115"/>
      <c r="J23" s="127">
        <v>0</v>
      </c>
      <c r="K23" s="116"/>
      <c r="L23" s="117"/>
      <c r="M23" s="6"/>
      <c r="N23" s="66">
        <f>SUM(D23:J23)</f>
        <v>2</v>
      </c>
      <c r="O23" s="9"/>
      <c r="R23" s="8">
        <f>R22-S22</f>
        <v>556</v>
      </c>
      <c r="S23" s="8"/>
    </row>
    <row r="24" spans="2:19" ht="12" customHeight="1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9"/>
      <c r="S24" s="146"/>
    </row>
    <row r="25" spans="2:19" ht="15.95" customHeight="1">
      <c r="B25" s="128"/>
      <c r="C25" s="129" t="s">
        <v>22</v>
      </c>
      <c r="D25" s="73" t="s">
        <v>23</v>
      </c>
      <c r="E25" s="73"/>
      <c r="F25" s="73"/>
      <c r="G25" s="130">
        <v>8</v>
      </c>
      <c r="H25" s="6" t="s">
        <v>24</v>
      </c>
      <c r="I25" s="6"/>
      <c r="J25" s="6"/>
      <c r="K25" s="6"/>
      <c r="L25" s="72" t="s">
        <v>26</v>
      </c>
      <c r="M25" s="6"/>
      <c r="N25" s="21">
        <f>IF(E29="wjl",25*D8,IF(E29="R",40*D8))+IF(J29="y",1500,0)</f>
        <v>2320</v>
      </c>
      <c r="O25" s="10"/>
      <c r="S25" s="146"/>
    </row>
    <row r="26" spans="2:19" ht="5.25" customHeight="1">
      <c r="B26" s="128"/>
      <c r="C26" s="131"/>
      <c r="D26" s="73"/>
      <c r="E26" s="73"/>
      <c r="F26" s="73"/>
      <c r="G26" s="6"/>
      <c r="H26" s="6"/>
      <c r="I26" s="6"/>
      <c r="J26" s="6"/>
      <c r="K26" s="6"/>
      <c r="L26" s="72"/>
      <c r="M26" s="6"/>
      <c r="N26" s="22"/>
      <c r="O26" s="10"/>
    </row>
    <row r="27" spans="2:19" ht="15.75" customHeight="1">
      <c r="B27" s="132"/>
      <c r="C27" s="77"/>
      <c r="D27" s="133"/>
      <c r="E27" s="75"/>
      <c r="F27" s="75"/>
      <c r="G27" s="134"/>
      <c r="H27" s="77"/>
      <c r="I27" s="77"/>
      <c r="J27" s="77"/>
      <c r="K27" s="77"/>
      <c r="L27" s="72" t="s">
        <v>27</v>
      </c>
      <c r="M27" s="77"/>
      <c r="N27" s="23">
        <f>(IF(G25&lt;=4,2800,IF(G25&lt;=10,3800,IF(G25&lt;=14,5500)))+825)*((N16+N22)/1000)</f>
        <v>791.48035452562499</v>
      </c>
      <c r="O27" s="10"/>
      <c r="S27" s="8"/>
    </row>
    <row r="28" spans="2:19" ht="5.25" customHeight="1">
      <c r="B28" s="128"/>
      <c r="C28" s="6"/>
      <c r="D28" s="6"/>
      <c r="E28" s="6"/>
      <c r="F28" s="6"/>
      <c r="G28" s="6"/>
      <c r="H28" s="6"/>
      <c r="I28" s="6"/>
      <c r="J28" s="6"/>
      <c r="K28" s="6"/>
      <c r="L28" s="72"/>
      <c r="M28" s="6"/>
      <c r="N28" s="22"/>
      <c r="O28" s="10"/>
    </row>
    <row r="29" spans="2:19" ht="15" customHeight="1">
      <c r="B29" s="128"/>
      <c r="C29" s="72" t="s">
        <v>25</v>
      </c>
      <c r="D29" s="6"/>
      <c r="E29" s="147" t="s">
        <v>82</v>
      </c>
      <c r="F29" s="148"/>
      <c r="G29" s="72" t="s">
        <v>29</v>
      </c>
      <c r="H29" s="6"/>
      <c r="I29" s="6"/>
      <c r="J29" s="130" t="s">
        <v>16</v>
      </c>
      <c r="K29" s="6"/>
      <c r="L29" s="72" t="s">
        <v>28</v>
      </c>
      <c r="M29" s="6"/>
      <c r="N29" s="24">
        <f>(N14+N20+N27+N25)*1.2</f>
        <v>9390.3206131971729</v>
      </c>
      <c r="O29" s="10"/>
    </row>
    <row r="30" spans="2:19">
      <c r="B30" s="135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1"/>
    </row>
    <row r="32" spans="2:19">
      <c r="N32" s="8">
        <f>N29*1.5</f>
        <v>14085.480919795758</v>
      </c>
    </row>
  </sheetData>
  <sheetProtection password="CC51" sheet="1" objects="1" scenarios="1"/>
  <mergeCells count="16">
    <mergeCell ref="E29:F29"/>
    <mergeCell ref="B2:O2"/>
    <mergeCell ref="D13:F13"/>
    <mergeCell ref="G13:I13"/>
    <mergeCell ref="J13:L13"/>
    <mergeCell ref="G11:I11"/>
    <mergeCell ref="D5:F5"/>
    <mergeCell ref="D14:F14"/>
    <mergeCell ref="G14:I14"/>
    <mergeCell ref="J14:L14"/>
    <mergeCell ref="D20:F20"/>
    <mergeCell ref="G20:I20"/>
    <mergeCell ref="J20:L20"/>
    <mergeCell ref="D19:F19"/>
    <mergeCell ref="G19:I19"/>
    <mergeCell ref="J19:L19"/>
  </mergeCells>
  <phoneticPr fontId="0" type="noConversion"/>
  <printOptions horizontalCentered="1" gridLinesSet="0"/>
  <pageMargins left="0.74803149606299202" right="0.74803149606299202" top="0.39" bottom="0.74803149606299202" header="0.3" footer="0.74803149606299202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34"/>
  <sheetViews>
    <sheetView topLeftCell="A11" zoomScale="90" zoomScaleNormal="90" workbookViewId="0">
      <selection activeCell="D37" sqref="D37"/>
    </sheetView>
  </sheetViews>
  <sheetFormatPr defaultColWidth="10" defaultRowHeight="11.25"/>
  <cols>
    <col min="1" max="1" width="0.7109375" style="1" customWidth="1"/>
    <col min="2" max="2" width="3.7109375" style="1" customWidth="1"/>
    <col min="3" max="3" width="25.28515625" style="1" customWidth="1"/>
    <col min="4" max="4" width="9" style="1" customWidth="1"/>
    <col min="5" max="5" width="2.28515625" style="1" customWidth="1"/>
    <col min="6" max="6" width="8.140625" style="1" customWidth="1"/>
    <col min="7" max="7" width="7.5703125" style="1" customWidth="1"/>
    <col min="8" max="8" width="3" style="1" customWidth="1"/>
    <col min="9" max="9" width="8.42578125" style="1" customWidth="1"/>
    <col min="10" max="10" width="7.85546875" style="1" customWidth="1"/>
    <col min="11" max="11" width="7.28515625" style="1" bestFit="1" customWidth="1"/>
    <col min="12" max="12" width="8.85546875" style="1" customWidth="1"/>
    <col min="13" max="13" width="11.5703125" style="1" customWidth="1"/>
    <col min="14" max="14" width="10.85546875" style="1" customWidth="1"/>
    <col min="15" max="15" width="7.7109375" style="1" customWidth="1"/>
    <col min="16" max="16384" width="10" style="1"/>
  </cols>
  <sheetData>
    <row r="2" spans="2:15" ht="34.5" customHeight="1" thickBot="1">
      <c r="B2" s="164" t="s">
        <v>30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6"/>
    </row>
    <row r="3" spans="2:15" ht="6" customHeight="1" thickTop="1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ht="15">
      <c r="B5" s="5"/>
      <c r="C5" s="42" t="s">
        <v>0</v>
      </c>
      <c r="D5" s="167" t="str">
        <f>Weaving!D5</f>
        <v>T-088A17</v>
      </c>
      <c r="E5" s="168"/>
      <c r="F5" s="169"/>
      <c r="G5" s="43" t="s">
        <v>59</v>
      </c>
      <c r="H5" s="43"/>
      <c r="I5" s="43"/>
      <c r="J5" s="43"/>
      <c r="K5" s="43"/>
      <c r="L5" s="44"/>
      <c r="M5" s="44"/>
      <c r="N5" s="44"/>
      <c r="O5" s="7"/>
    </row>
    <row r="6" spans="2:15" ht="15">
      <c r="B6" s="5"/>
      <c r="C6" s="45" t="s">
        <v>31</v>
      </c>
      <c r="D6" s="46">
        <v>1</v>
      </c>
      <c r="E6" s="43"/>
      <c r="F6" s="43"/>
      <c r="G6" s="47" t="s">
        <v>60</v>
      </c>
      <c r="H6" s="47"/>
      <c r="I6" s="47"/>
      <c r="J6" s="47"/>
      <c r="K6" s="47"/>
      <c r="L6" s="48"/>
      <c r="M6" s="44"/>
      <c r="N6" s="44"/>
      <c r="O6" s="7"/>
    </row>
    <row r="7" spans="2:15" ht="15">
      <c r="B7" s="5"/>
      <c r="C7" s="49" t="s">
        <v>32</v>
      </c>
      <c r="D7" s="50" t="s">
        <v>83</v>
      </c>
      <c r="E7" s="51"/>
      <c r="F7" s="51"/>
      <c r="G7" s="51"/>
      <c r="H7" s="51"/>
      <c r="I7" s="51"/>
      <c r="J7" s="51"/>
      <c r="K7" s="51"/>
      <c r="L7" s="44"/>
      <c r="M7" s="44"/>
      <c r="N7" s="44"/>
      <c r="O7" s="7"/>
    </row>
    <row r="8" spans="2:15" ht="15">
      <c r="B8" s="5"/>
      <c r="C8" s="49" t="s">
        <v>33</v>
      </c>
      <c r="D8" s="50"/>
      <c r="E8" s="43"/>
      <c r="F8" s="43"/>
      <c r="G8" s="43" t="s">
        <v>34</v>
      </c>
      <c r="H8" s="43"/>
      <c r="I8" s="43"/>
      <c r="J8" s="43"/>
      <c r="K8" s="43"/>
      <c r="L8" s="44"/>
      <c r="M8" s="44"/>
      <c r="N8" s="44"/>
      <c r="O8" s="7"/>
    </row>
    <row r="9" spans="2:15" ht="15">
      <c r="B9" s="5"/>
      <c r="C9" s="52" t="s">
        <v>35</v>
      </c>
      <c r="D9" s="53" t="s">
        <v>68</v>
      </c>
      <c r="E9" s="43"/>
      <c r="F9" s="43"/>
      <c r="G9" s="43" t="s">
        <v>36</v>
      </c>
      <c r="H9" s="43"/>
      <c r="I9" s="43"/>
      <c r="J9" s="43"/>
      <c r="K9" s="43"/>
      <c r="L9" s="44"/>
      <c r="M9" s="44"/>
      <c r="N9" s="44"/>
      <c r="O9" s="7"/>
    </row>
    <row r="10" spans="2:15" ht="12.75">
      <c r="B10" s="5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12"/>
      <c r="N10" s="12"/>
      <c r="O10" s="33">
        <f>IF(D$6="Plain",1.14,1.1)</f>
        <v>1.1000000000000001</v>
      </c>
    </row>
    <row r="11" spans="2:15" ht="20.25" customHeight="1">
      <c r="B11" s="5"/>
      <c r="C11" s="56" t="s">
        <v>37</v>
      </c>
      <c r="D11" s="152" t="s">
        <v>39</v>
      </c>
      <c r="E11" s="153"/>
      <c r="F11" s="154"/>
      <c r="G11" s="152" t="s">
        <v>40</v>
      </c>
      <c r="H11" s="153"/>
      <c r="I11" s="154"/>
      <c r="J11" s="152" t="s">
        <v>41</v>
      </c>
      <c r="K11" s="153"/>
      <c r="L11" s="154"/>
      <c r="M11" s="14"/>
      <c r="N11" s="14"/>
      <c r="O11" s="33">
        <f>IF(D14="T", 1.02,IF(D14="N",1.01,0))</f>
        <v>0</v>
      </c>
    </row>
    <row r="12" spans="2:15" ht="15.75" customHeight="1">
      <c r="B12" s="5"/>
      <c r="C12" s="57" t="s">
        <v>38</v>
      </c>
      <c r="D12" s="155">
        <v>1</v>
      </c>
      <c r="E12" s="156"/>
      <c r="F12" s="160"/>
      <c r="G12" s="155"/>
      <c r="H12" s="156"/>
      <c r="I12" s="160"/>
      <c r="J12" s="155"/>
      <c r="K12" s="156"/>
      <c r="L12" s="160"/>
      <c r="M12" s="14"/>
      <c r="N12" s="34"/>
      <c r="O12" s="33"/>
    </row>
    <row r="13" spans="2:15" ht="18" customHeight="1">
      <c r="B13" s="5"/>
      <c r="C13" s="58"/>
      <c r="D13" s="176" t="s">
        <v>43</v>
      </c>
      <c r="E13" s="177"/>
      <c r="F13" s="178"/>
      <c r="G13" s="58" t="s">
        <v>44</v>
      </c>
      <c r="H13" s="59"/>
      <c r="I13" s="60"/>
      <c r="J13" s="58" t="s">
        <v>45</v>
      </c>
      <c r="K13" s="59"/>
      <c r="L13" s="61"/>
      <c r="M13" s="16"/>
      <c r="N13" s="14"/>
      <c r="O13" s="33">
        <f>IF(G14="T", 1.02,IF(G14="N",1.01,0))</f>
        <v>0</v>
      </c>
    </row>
    <row r="14" spans="2:15" ht="18" customHeight="1">
      <c r="B14" s="5"/>
      <c r="C14" s="63" t="s">
        <v>42</v>
      </c>
      <c r="D14" s="170">
        <v>1</v>
      </c>
      <c r="E14" s="171"/>
      <c r="F14" s="172"/>
      <c r="G14" s="170"/>
      <c r="H14" s="171"/>
      <c r="I14" s="172"/>
      <c r="J14" s="170"/>
      <c r="K14" s="171"/>
      <c r="L14" s="172"/>
      <c r="M14" s="16"/>
      <c r="N14" s="34"/>
      <c r="O14" s="33">
        <f>IF(J14="T", 1.02,IF(J14="N",1.01,0))</f>
        <v>0</v>
      </c>
    </row>
    <row r="15" spans="2:15" ht="18" customHeight="1">
      <c r="B15" s="5"/>
      <c r="C15" s="64"/>
      <c r="D15" s="170" t="s">
        <v>61</v>
      </c>
      <c r="E15" s="171"/>
      <c r="F15" s="172"/>
      <c r="G15" s="170" t="s">
        <v>62</v>
      </c>
      <c r="H15" s="171"/>
      <c r="I15" s="172"/>
      <c r="J15" s="170" t="s">
        <v>63</v>
      </c>
      <c r="K15" s="171"/>
      <c r="L15" s="172"/>
      <c r="M15" s="16"/>
      <c r="N15" s="34"/>
      <c r="O15" s="33"/>
    </row>
    <row r="16" spans="2:15" ht="18.95" customHeight="1">
      <c r="B16" s="5"/>
      <c r="C16" s="65" t="s">
        <v>64</v>
      </c>
      <c r="D16" s="183"/>
      <c r="E16" s="184"/>
      <c r="F16" s="185"/>
      <c r="G16" s="183">
        <v>1</v>
      </c>
      <c r="H16" s="184"/>
      <c r="I16" s="185"/>
      <c r="J16" s="183"/>
      <c r="K16" s="184"/>
      <c r="L16" s="185"/>
      <c r="M16" s="35">
        <v>30</v>
      </c>
      <c r="N16" s="18">
        <f>SUM(D16:J16)</f>
        <v>1</v>
      </c>
      <c r="O16" s="33"/>
    </row>
    <row r="17" spans="2:17" ht="12" customHeight="1">
      <c r="B17" s="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20"/>
      <c r="N17" s="20"/>
      <c r="O17" s="36"/>
    </row>
    <row r="18" spans="2:17" ht="21" customHeight="1">
      <c r="B18" s="5"/>
      <c r="C18" s="68" t="s">
        <v>46</v>
      </c>
      <c r="D18" s="161" t="s">
        <v>52</v>
      </c>
      <c r="E18" s="162"/>
      <c r="F18" s="163"/>
      <c r="G18" s="161" t="s">
        <v>53</v>
      </c>
      <c r="H18" s="162"/>
      <c r="I18" s="163"/>
      <c r="J18" s="161"/>
      <c r="K18" s="162"/>
      <c r="L18" s="163"/>
      <c r="M18" s="14"/>
      <c r="N18" s="14"/>
      <c r="O18" s="33">
        <f>IF(D21="T", 1.02,IF(D21="N",1.01,0))</f>
        <v>1.01</v>
      </c>
    </row>
    <row r="19" spans="2:17" ht="21" customHeight="1">
      <c r="B19" s="5"/>
      <c r="C19" s="69" t="s">
        <v>73</v>
      </c>
      <c r="D19" s="173" t="s">
        <v>75</v>
      </c>
      <c r="E19" s="174"/>
      <c r="F19" s="175"/>
      <c r="G19" s="173" t="s">
        <v>54</v>
      </c>
      <c r="H19" s="174"/>
      <c r="I19" s="175"/>
      <c r="J19" s="173" t="s">
        <v>16</v>
      </c>
      <c r="K19" s="174"/>
      <c r="L19" s="175"/>
      <c r="M19" s="37">
        <f>IF(D19="Y",1000,0)</f>
        <v>0</v>
      </c>
      <c r="N19" s="37">
        <f>IF(J19="Y",250,0)</f>
        <v>0</v>
      </c>
      <c r="O19" s="33"/>
      <c r="Q19" s="8"/>
    </row>
    <row r="20" spans="2:17" ht="17.25" customHeight="1">
      <c r="B20" s="5"/>
      <c r="C20" s="63" t="s">
        <v>47</v>
      </c>
      <c r="D20" s="173" t="s">
        <v>75</v>
      </c>
      <c r="E20" s="174"/>
      <c r="F20" s="175"/>
      <c r="G20" s="170" t="s">
        <v>55</v>
      </c>
      <c r="H20" s="171"/>
      <c r="I20" s="172"/>
      <c r="J20" s="173" t="s">
        <v>75</v>
      </c>
      <c r="K20" s="174"/>
      <c r="L20" s="175"/>
      <c r="M20" s="37">
        <f>IF(D20="Y",1500,0)</f>
        <v>0</v>
      </c>
      <c r="N20" s="37">
        <f>IF(J20="Y",400,0)</f>
        <v>0</v>
      </c>
      <c r="O20" s="38">
        <f>IF(G21="T", 1.02,IF(G21="N",1.01,0))</f>
        <v>0</v>
      </c>
    </row>
    <row r="21" spans="2:17" ht="22.5" customHeight="1">
      <c r="B21" s="5"/>
      <c r="C21" s="70" t="s">
        <v>48</v>
      </c>
      <c r="D21" s="173" t="s">
        <v>75</v>
      </c>
      <c r="E21" s="174"/>
      <c r="F21" s="175"/>
      <c r="G21" s="170" t="s">
        <v>56</v>
      </c>
      <c r="H21" s="171"/>
      <c r="I21" s="172"/>
      <c r="J21" s="173" t="s">
        <v>16</v>
      </c>
      <c r="K21" s="174"/>
      <c r="L21" s="175"/>
      <c r="M21" s="37">
        <f t="shared" ref="M21:M22" si="0">IF(D21="Y",500,0)</f>
        <v>0</v>
      </c>
      <c r="N21" s="37">
        <f>IF(J21="Y",500,0)</f>
        <v>0</v>
      </c>
      <c r="O21" s="38">
        <f>IF(J21="T", 1.02,IF(J21="N",1.01,0))</f>
        <v>1.01</v>
      </c>
      <c r="Q21" s="8"/>
    </row>
    <row r="22" spans="2:17" ht="22.5" customHeight="1">
      <c r="B22" s="5"/>
      <c r="C22" s="70" t="s">
        <v>51</v>
      </c>
      <c r="D22" s="173" t="s">
        <v>75</v>
      </c>
      <c r="E22" s="174"/>
      <c r="F22" s="175"/>
      <c r="G22" s="170" t="s">
        <v>57</v>
      </c>
      <c r="H22" s="171"/>
      <c r="I22" s="172"/>
      <c r="J22" s="173" t="s">
        <v>16</v>
      </c>
      <c r="K22" s="174"/>
      <c r="L22" s="175"/>
      <c r="M22" s="37">
        <f t="shared" si="0"/>
        <v>0</v>
      </c>
      <c r="N22" s="37">
        <f>IF(J22="Y",800,0)</f>
        <v>0</v>
      </c>
      <c r="O22" s="38"/>
      <c r="Q22" s="8"/>
    </row>
    <row r="23" spans="2:17" ht="22.5" customHeight="1">
      <c r="B23" s="5"/>
      <c r="C23" s="70" t="s">
        <v>50</v>
      </c>
      <c r="D23" s="173" t="s">
        <v>75</v>
      </c>
      <c r="E23" s="174"/>
      <c r="F23" s="175"/>
      <c r="G23" s="170" t="s">
        <v>58</v>
      </c>
      <c r="H23" s="171"/>
      <c r="I23" s="172"/>
      <c r="J23" s="173" t="s">
        <v>80</v>
      </c>
      <c r="K23" s="174"/>
      <c r="L23" s="175"/>
      <c r="M23" s="37">
        <f>IF(D23="Y",300,0)</f>
        <v>0</v>
      </c>
      <c r="N23" s="37">
        <f>IF(J23="Y",500,0)</f>
        <v>500</v>
      </c>
      <c r="O23" s="38"/>
      <c r="Q23" s="8"/>
    </row>
    <row r="24" spans="2:17" ht="21.75" customHeight="1">
      <c r="B24" s="5"/>
      <c r="C24" s="71" t="s">
        <v>49</v>
      </c>
      <c r="D24" s="173" t="s">
        <v>75</v>
      </c>
      <c r="E24" s="174"/>
      <c r="F24" s="175"/>
      <c r="G24" s="183" t="s">
        <v>72</v>
      </c>
      <c r="H24" s="184"/>
      <c r="I24" s="185"/>
      <c r="J24" s="183" t="s">
        <v>75</v>
      </c>
      <c r="K24" s="184"/>
      <c r="L24" s="185"/>
      <c r="M24" s="37">
        <f>IF(D24="Y",400,0)</f>
        <v>0</v>
      </c>
      <c r="N24" s="37">
        <f>IF(J24="Y",7000,0)</f>
        <v>0</v>
      </c>
      <c r="O24" s="39"/>
    </row>
    <row r="25" spans="2:17" ht="12" customHeight="1">
      <c r="B25" s="28"/>
      <c r="C25" s="6"/>
      <c r="D25" s="6"/>
      <c r="E25" s="6"/>
      <c r="F25" s="6"/>
      <c r="G25" s="6"/>
      <c r="H25" s="6"/>
      <c r="I25" s="6"/>
      <c r="J25" s="6"/>
      <c r="K25" s="6"/>
      <c r="L25" s="6"/>
      <c r="M25" s="20"/>
      <c r="N25" s="37">
        <f>SUM(M19:N23)+M24+N24</f>
        <v>500</v>
      </c>
      <c r="O25" s="40"/>
    </row>
    <row r="26" spans="2:17" ht="15.95" customHeight="1">
      <c r="B26" s="28"/>
      <c r="C26" s="6"/>
      <c r="D26" s="72" t="s">
        <v>65</v>
      </c>
      <c r="E26" s="73"/>
      <c r="F26" s="6"/>
      <c r="G26" s="179">
        <f>IF(D6=1,1200,IF(D6=2,1600,IF(D6=3,2000)))+IF(D9="r",500,IF(D9="c",800))</f>
        <v>1200</v>
      </c>
      <c r="H26" s="180"/>
      <c r="I26" s="6"/>
      <c r="J26" s="72" t="s">
        <v>69</v>
      </c>
      <c r="K26" s="6"/>
      <c r="L26" s="6"/>
      <c r="M26" s="6"/>
      <c r="N26" s="6"/>
      <c r="O26" s="29"/>
    </row>
    <row r="27" spans="2:17" ht="5.25" customHeight="1">
      <c r="B27" s="28"/>
      <c r="C27" s="6"/>
      <c r="D27" s="72"/>
      <c r="E27" s="73"/>
      <c r="F27" s="6"/>
      <c r="G27" s="22"/>
      <c r="H27" s="20"/>
      <c r="I27" s="6"/>
      <c r="J27" s="6"/>
      <c r="K27" s="6"/>
      <c r="L27" s="6"/>
      <c r="M27" s="6"/>
      <c r="N27" s="6"/>
      <c r="O27" s="29"/>
    </row>
    <row r="28" spans="2:17" ht="15.75" customHeight="1">
      <c r="B28" s="74"/>
      <c r="C28" s="6"/>
      <c r="D28" s="72" t="s">
        <v>67</v>
      </c>
      <c r="E28" s="75"/>
      <c r="F28" s="76" t="str">
        <f>IF(D7="P","Print","Dye")</f>
        <v>Dye</v>
      </c>
      <c r="G28" s="181">
        <f>IF(D7="D",2000,IF(D7="P",D12*2500+G12*3000+J12*3500))+IF(D8="d",1500,300)</f>
        <v>2300</v>
      </c>
      <c r="H28" s="182"/>
      <c r="I28" s="77"/>
      <c r="J28" s="190">
        <f>G32*1.2+Weaving!N29+1500</f>
        <v>15737.120613197174</v>
      </c>
      <c r="K28" s="190"/>
      <c r="L28" s="190"/>
      <c r="M28" s="190"/>
      <c r="N28" s="78" t="s">
        <v>70</v>
      </c>
      <c r="O28" s="29"/>
      <c r="Q28" s="138"/>
    </row>
    <row r="29" spans="2:17" ht="5.25" customHeight="1">
      <c r="B29" s="28"/>
      <c r="C29" s="6"/>
      <c r="D29" s="72"/>
      <c r="E29" s="6"/>
      <c r="F29" s="6"/>
      <c r="G29" s="22"/>
      <c r="H29" s="20"/>
      <c r="I29" s="6"/>
      <c r="J29" s="79"/>
      <c r="K29" s="79"/>
      <c r="L29" s="79"/>
      <c r="M29" s="79"/>
      <c r="N29" s="79"/>
      <c r="O29" s="29"/>
    </row>
    <row r="30" spans="2:17" ht="15" customHeight="1">
      <c r="B30" s="28"/>
      <c r="C30" s="6"/>
      <c r="D30" s="72" t="s">
        <v>71</v>
      </c>
      <c r="E30" s="6"/>
      <c r="F30" s="6"/>
      <c r="G30" s="186">
        <f>N25</f>
        <v>500</v>
      </c>
      <c r="H30" s="187"/>
      <c r="I30" s="6"/>
      <c r="J30" s="6"/>
      <c r="K30" s="6"/>
      <c r="L30" s="6"/>
      <c r="M30" s="6"/>
      <c r="N30" s="6"/>
      <c r="O30" s="29"/>
    </row>
    <row r="31" spans="2:17" ht="3.75" customHeight="1">
      <c r="B31" s="28"/>
      <c r="C31" s="6"/>
      <c r="D31" s="6"/>
      <c r="E31" s="6"/>
      <c r="F31" s="6"/>
      <c r="G31" s="20"/>
      <c r="H31" s="20"/>
      <c r="I31" s="6"/>
      <c r="J31" s="6"/>
      <c r="K31" s="6"/>
      <c r="L31" s="6"/>
      <c r="M31" s="6"/>
      <c r="N31" s="6"/>
      <c r="O31" s="29"/>
    </row>
    <row r="32" spans="2:17" ht="14.25">
      <c r="B32" s="28"/>
      <c r="C32" s="6"/>
      <c r="D32" s="72" t="s">
        <v>66</v>
      </c>
      <c r="E32" s="6"/>
      <c r="F32" s="6"/>
      <c r="G32" s="188">
        <f>IF(D14=1,0,IF(G14=1,-500,IF(J14=1,-800)))+IF(D16=1,0,IF(G16=1,M16*1.3,IF(J16=1,M16*1.5)))+G26+G28+N25</f>
        <v>4039</v>
      </c>
      <c r="H32" s="189"/>
      <c r="I32" s="6"/>
      <c r="J32" s="6"/>
      <c r="K32" s="6"/>
      <c r="L32" s="6"/>
      <c r="M32" s="6"/>
      <c r="N32" s="6"/>
      <c r="O32" s="29"/>
    </row>
    <row r="33" spans="2:15">
      <c r="B33" s="2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29"/>
    </row>
    <row r="34" spans="2:15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</row>
  </sheetData>
  <mergeCells count="44">
    <mergeCell ref="G30:H30"/>
    <mergeCell ref="G32:H32"/>
    <mergeCell ref="G16:I16"/>
    <mergeCell ref="J16:L16"/>
    <mergeCell ref="D16:F16"/>
    <mergeCell ref="D20:F20"/>
    <mergeCell ref="D21:F21"/>
    <mergeCell ref="D22:F22"/>
    <mergeCell ref="D23:F23"/>
    <mergeCell ref="D24:F24"/>
    <mergeCell ref="J20:L20"/>
    <mergeCell ref="G20:I20"/>
    <mergeCell ref="G21:I21"/>
    <mergeCell ref="G22:I22"/>
    <mergeCell ref="G23:I23"/>
    <mergeCell ref="J28:M28"/>
    <mergeCell ref="G26:H26"/>
    <mergeCell ref="G28:H28"/>
    <mergeCell ref="J21:L21"/>
    <mergeCell ref="J22:L22"/>
    <mergeCell ref="J23:L23"/>
    <mergeCell ref="G24:I24"/>
    <mergeCell ref="J24:L24"/>
    <mergeCell ref="D19:F19"/>
    <mergeCell ref="G19:I19"/>
    <mergeCell ref="J19:L19"/>
    <mergeCell ref="D13:F13"/>
    <mergeCell ref="D14:F14"/>
    <mergeCell ref="G14:I14"/>
    <mergeCell ref="J14:L14"/>
    <mergeCell ref="D15:F15"/>
    <mergeCell ref="G15:I15"/>
    <mergeCell ref="D12:F12"/>
    <mergeCell ref="G12:I12"/>
    <mergeCell ref="J12:L12"/>
    <mergeCell ref="D18:F18"/>
    <mergeCell ref="G18:I18"/>
    <mergeCell ref="J18:L18"/>
    <mergeCell ref="J15:L15"/>
    <mergeCell ref="B2:O2"/>
    <mergeCell ref="D5:F5"/>
    <mergeCell ref="D11:F11"/>
    <mergeCell ref="G11:I11"/>
    <mergeCell ref="J11:L11"/>
  </mergeCells>
  <pageMargins left="0.7" right="0.31" top="0.39" bottom="0.37" header="0.3" footer="0.3"/>
  <pageSetup orientation="landscape" horizont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6:H6"/>
  <sheetViews>
    <sheetView workbookViewId="0">
      <selection activeCell="A2" sqref="A2"/>
    </sheetView>
  </sheetViews>
  <sheetFormatPr defaultRowHeight="12.75"/>
  <cols>
    <col min="1" max="1" width="25" customWidth="1"/>
    <col min="2" max="2" width="15.42578125" customWidth="1"/>
  </cols>
  <sheetData>
    <row r="6" spans="1:8">
      <c r="A6" t="s">
        <v>76</v>
      </c>
      <c r="B6" t="s">
        <v>77</v>
      </c>
      <c r="C6" s="191" t="s">
        <v>1</v>
      </c>
      <c r="D6" s="191"/>
      <c r="E6" s="191"/>
      <c r="F6" s="191"/>
      <c r="G6" s="191"/>
      <c r="H6" t="s">
        <v>78</v>
      </c>
    </row>
  </sheetData>
  <mergeCells count="1">
    <mergeCell ref="C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Weaving</vt:lpstr>
      <vt:lpstr>Proses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lastPrinted>2015-12-11T14:25:39Z</cp:lastPrinted>
  <dcterms:created xsi:type="dcterms:W3CDTF">2001-02-06T18:50:21Z</dcterms:created>
  <dcterms:modified xsi:type="dcterms:W3CDTF">2018-05-22T02:05:22Z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TC060891481033</vt:lpwstr>
  </property>
</Properties>
</file>