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7605" windowWidth="23040" windowHeight="90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81" i="1" l="1"/>
  <c r="V60" i="1" l="1"/>
  <c r="U60" i="1"/>
  <c r="T60" i="1"/>
  <c r="S60" i="1"/>
  <c r="R60" i="1"/>
  <c r="Q60" i="1"/>
  <c r="V59" i="1"/>
  <c r="U59" i="1"/>
  <c r="T59" i="1"/>
  <c r="S59" i="1"/>
  <c r="R59" i="1"/>
  <c r="Q59" i="1"/>
  <c r="D40" i="1" l="1"/>
  <c r="W1" i="1"/>
  <c r="G75" i="1" l="1"/>
  <c r="E75" i="1"/>
  <c r="C75" i="1"/>
  <c r="U7" i="1" l="1"/>
  <c r="U3" i="1"/>
  <c r="N9" i="1" l="1"/>
  <c r="P34" i="1" s="1"/>
  <c r="T34" i="1" s="1"/>
  <c r="O9" i="1"/>
  <c r="D59" i="1" s="1"/>
  <c r="H59" i="1" s="1"/>
  <c r="M9" i="1"/>
  <c r="D34" i="1" s="1"/>
  <c r="N6" i="1"/>
  <c r="O6" i="1"/>
  <c r="M6" i="1"/>
  <c r="N5" i="1"/>
  <c r="P27" i="1" s="1"/>
  <c r="T27" i="1" s="1"/>
  <c r="O5" i="1"/>
  <c r="D52" i="1" s="1"/>
  <c r="H52" i="1" s="1"/>
  <c r="M5" i="1"/>
  <c r="D27" i="1" s="1"/>
  <c r="N4" i="1"/>
  <c r="P26" i="1" s="1"/>
  <c r="T26" i="1" s="1"/>
  <c r="O4" i="1"/>
  <c r="D51" i="1" s="1"/>
  <c r="H51" i="1" s="1"/>
  <c r="M4" i="1"/>
  <c r="D26" i="1" l="1"/>
  <c r="H26" i="1" s="1"/>
  <c r="D29" i="1"/>
  <c r="M7" i="1"/>
  <c r="M8" i="1" s="1"/>
  <c r="D33" i="1" s="1"/>
  <c r="H27" i="1"/>
  <c r="P29" i="1"/>
  <c r="T29" i="1" s="1"/>
  <c r="N7" i="1"/>
  <c r="P31" i="1" s="1"/>
  <c r="T31" i="1" s="1"/>
  <c r="H34" i="1"/>
  <c r="D54" i="1"/>
  <c r="H54" i="1" s="1"/>
  <c r="O7" i="1"/>
  <c r="D56" i="1" s="1"/>
  <c r="H56" i="1" s="1"/>
  <c r="M10" i="1" l="1"/>
  <c r="U20" i="1"/>
  <c r="D64" i="1" s="1"/>
  <c r="N8" i="1"/>
  <c r="P33" i="1" s="1"/>
  <c r="T33" i="1" s="1"/>
  <c r="O8" i="1"/>
  <c r="D58" i="1" s="1"/>
  <c r="H58" i="1" s="1"/>
  <c r="H33" i="1"/>
  <c r="M20" i="1"/>
  <c r="D39" i="1" s="1"/>
  <c r="D31" i="1"/>
  <c r="M19" i="1"/>
  <c r="D36" i="1" s="1"/>
  <c r="Q19" i="1"/>
  <c r="P36" i="1" s="1"/>
  <c r="H29" i="1"/>
  <c r="U19" i="1"/>
  <c r="D61" i="1" s="1"/>
  <c r="Q20" i="1"/>
  <c r="P39" i="1" s="1"/>
  <c r="O10" i="1" l="1"/>
  <c r="U51" i="1" s="1"/>
  <c r="V51" i="1" s="1"/>
  <c r="G79" i="1" s="1"/>
  <c r="N10" i="1"/>
  <c r="S51" i="1" s="1"/>
  <c r="Q51" i="1"/>
  <c r="C78" i="1" s="1"/>
  <c r="D37" i="1"/>
  <c r="H31" i="1"/>
  <c r="D62" i="1" l="1"/>
  <c r="D65" i="1" s="1"/>
  <c r="D67" i="1" s="1"/>
  <c r="D68" i="1" s="1"/>
  <c r="U55" i="1" s="1"/>
  <c r="G78" i="1"/>
  <c r="T51" i="1"/>
  <c r="E79" i="1" s="1"/>
  <c r="E78" i="1"/>
  <c r="U4" i="1"/>
  <c r="S19" i="1" s="1"/>
  <c r="T36" i="1" s="1"/>
  <c r="U8" i="1"/>
  <c r="S20" i="1" s="1"/>
  <c r="T39" i="1" s="1"/>
  <c r="P37" i="1"/>
  <c r="P40" i="1" s="1"/>
  <c r="P42" i="1" s="1"/>
  <c r="S52" i="1" s="1"/>
  <c r="R51" i="1"/>
  <c r="C79" i="1" s="1"/>
  <c r="D42" i="1"/>
  <c r="Q52" i="1" s="1"/>
  <c r="W20" i="1" l="1"/>
  <c r="H64" i="1" s="1"/>
  <c r="W19" i="1"/>
  <c r="H61" i="1" s="1"/>
  <c r="H62" i="1" s="1"/>
  <c r="O19" i="1"/>
  <c r="H36" i="1" s="1"/>
  <c r="H37" i="1" s="1"/>
  <c r="O20" i="1"/>
  <c r="H39" i="1" s="1"/>
  <c r="D80" i="1"/>
  <c r="B80" i="1"/>
  <c r="B76" i="1" s="1"/>
  <c r="C80" i="1"/>
  <c r="C76" i="1" s="1"/>
  <c r="P43" i="1"/>
  <c r="R42" i="1" s="1"/>
  <c r="F56" i="1"/>
  <c r="F54" i="1"/>
  <c r="F51" i="1"/>
  <c r="F64" i="1"/>
  <c r="U53" i="1"/>
  <c r="U56" i="1" s="1"/>
  <c r="F52" i="1"/>
  <c r="F59" i="1"/>
  <c r="F61" i="1"/>
  <c r="F58" i="1"/>
  <c r="F65" i="1"/>
  <c r="F62" i="1"/>
  <c r="U52" i="1"/>
  <c r="F67" i="1"/>
  <c r="T37" i="1"/>
  <c r="D43" i="1"/>
  <c r="Q55" i="1" s="1"/>
  <c r="F80" i="1" l="1"/>
  <c r="F76" i="1" s="1"/>
  <c r="U58" i="1"/>
  <c r="G82" i="1"/>
  <c r="G80" i="1"/>
  <c r="G76" i="1" s="1"/>
  <c r="D76" i="1"/>
  <c r="E80" i="1"/>
  <c r="E76" i="1" s="1"/>
  <c r="S53" i="1"/>
  <c r="R29" i="1"/>
  <c r="R31" i="1"/>
  <c r="S55" i="1"/>
  <c r="R34" i="1"/>
  <c r="R27" i="1"/>
  <c r="R39" i="1"/>
  <c r="R33" i="1"/>
  <c r="R26" i="1"/>
  <c r="R40" i="1"/>
  <c r="R36" i="1"/>
  <c r="R37" i="1"/>
  <c r="F26" i="1"/>
  <c r="Q53" i="1"/>
  <c r="Q56" i="1" s="1"/>
  <c r="F27" i="1"/>
  <c r="F34" i="1"/>
  <c r="F29" i="1"/>
  <c r="F33" i="1"/>
  <c r="F39" i="1"/>
  <c r="F36" i="1"/>
  <c r="F31" i="1"/>
  <c r="F37" i="1"/>
  <c r="T40" i="1"/>
  <c r="T42" i="1" s="1"/>
  <c r="T52" i="1" s="1"/>
  <c r="F42" i="1"/>
  <c r="F40" i="1"/>
  <c r="H40" i="1"/>
  <c r="H42" i="1" s="1"/>
  <c r="R52" i="1" s="1"/>
  <c r="H65" i="1"/>
  <c r="H67" i="1" s="1"/>
  <c r="V52" i="1" s="1"/>
  <c r="S63" i="1" l="1"/>
  <c r="Q58" i="1"/>
  <c r="C82" i="1"/>
  <c r="S56" i="1"/>
  <c r="B77" i="1"/>
  <c r="C81" i="1"/>
  <c r="C77" i="1" s="1"/>
  <c r="F81" i="1"/>
  <c r="D81" i="1"/>
  <c r="H43" i="1"/>
  <c r="R55" i="1" s="1"/>
  <c r="T43" i="1"/>
  <c r="T55" i="1" s="1"/>
  <c r="H68" i="1"/>
  <c r="V55" i="1" s="1"/>
  <c r="O63" i="1" l="1"/>
  <c r="S58" i="1"/>
  <c r="E82" i="1"/>
  <c r="D77" i="1"/>
  <c r="E81" i="1"/>
  <c r="E77" i="1" s="1"/>
  <c r="F77" i="1"/>
  <c r="G81" i="1"/>
  <c r="G77" i="1" s="1"/>
  <c r="J42" i="1"/>
  <c r="J65" i="1"/>
  <c r="V40" i="1"/>
  <c r="V53" i="1"/>
  <c r="V56" i="1" s="1"/>
  <c r="T53" i="1"/>
  <c r="T56" i="1" s="1"/>
  <c r="J40" i="1"/>
  <c r="R53" i="1"/>
  <c r="R56" i="1" s="1"/>
  <c r="J31" i="1"/>
  <c r="J27" i="1"/>
  <c r="J33" i="1"/>
  <c r="J26" i="1"/>
  <c r="J29" i="1"/>
  <c r="J34" i="1"/>
  <c r="J39" i="1"/>
  <c r="J36" i="1"/>
  <c r="J37" i="1"/>
  <c r="J58" i="1"/>
  <c r="J51" i="1"/>
  <c r="J56" i="1"/>
  <c r="J52" i="1"/>
  <c r="J54" i="1"/>
  <c r="J59" i="1"/>
  <c r="J61" i="1"/>
  <c r="J64" i="1"/>
  <c r="J62" i="1"/>
  <c r="V33" i="1"/>
  <c r="V29" i="1"/>
  <c r="V27" i="1"/>
  <c r="V26" i="1"/>
  <c r="V31" i="1"/>
  <c r="V34" i="1"/>
  <c r="V39" i="1"/>
  <c r="V36" i="1"/>
  <c r="V37" i="1"/>
  <c r="J67" i="1"/>
  <c r="V42" i="1"/>
  <c r="Q63" i="1" l="1"/>
  <c r="R58" i="1"/>
  <c r="C83" i="1"/>
  <c r="T58" i="1"/>
  <c r="E83" i="1"/>
  <c r="V58" i="1"/>
  <c r="G83" i="1"/>
  <c r="P63" i="1" l="1"/>
  <c r="R63" i="1"/>
  <c r="T63" i="1"/>
</calcChain>
</file>

<file path=xl/sharedStrings.xml><?xml version="1.0" encoding="utf-8"?>
<sst xmlns="http://schemas.openxmlformats.org/spreadsheetml/2006/main" count="153" uniqueCount="87">
  <si>
    <t>№</t>
  </si>
  <si>
    <t>Показатель</t>
  </si>
  <si>
    <t>Данные по видам изделий</t>
  </si>
  <si>
    <t>A</t>
  </si>
  <si>
    <t>B</t>
  </si>
  <si>
    <t>C</t>
  </si>
  <si>
    <t>Объем производства, шт\год</t>
  </si>
  <si>
    <t>Стоимость сырья и материалов, р\шт</t>
  </si>
  <si>
    <t>Стоимость покупных комплектующих изделий и полуфабрикатов, р\шт</t>
  </si>
  <si>
    <t>Трудоемкость изделий, нормо-ч</t>
  </si>
  <si>
    <t>Средняя тарифная ставка, р\нормо-ч</t>
  </si>
  <si>
    <t>Процент дополнительной заработной платы производственнх рабочих, %</t>
  </si>
  <si>
    <t>Затраты машинного времени на изделие, маш.ч\шт</t>
  </si>
  <si>
    <t>Средняя стоимость машино-часа, р\маш.ч</t>
  </si>
  <si>
    <t>Годовая смета общепроизводственных расходов, р</t>
  </si>
  <si>
    <t>Годовая смета коммерческих расходов, р</t>
  </si>
  <si>
    <t>Годовой фонд дополнительной заработной платы, р</t>
  </si>
  <si>
    <t>Годовой фонд основной заработной плат, р</t>
  </si>
  <si>
    <t>Годовая смета общехозяйственных расходов, р</t>
  </si>
  <si>
    <t>Годовой объем товарной продукции, рассчитанной по производственной себестоимости, р</t>
  </si>
  <si>
    <t>Норматив транспортно-заготовительных расходов</t>
  </si>
  <si>
    <t>Соц нужды</t>
  </si>
  <si>
    <t>Нормативная прибыль от полной себестоимости</t>
  </si>
  <si>
    <t>Расчет прямых затрат по изделиям</t>
  </si>
  <si>
    <t>Статья калькуляции</t>
  </si>
  <si>
    <t>Изделие</t>
  </si>
  <si>
    <t>А</t>
  </si>
  <si>
    <t>В</t>
  </si>
  <si>
    <t>С</t>
  </si>
  <si>
    <t>Сырье и материалы</t>
  </si>
  <si>
    <t>Покупные комплектующие изделия и полуфабрикаты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</si>
  <si>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</si>
  <si>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</si>
  <si>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на соцнужды</t>
  </si>
  <si>
    <t>Расходы на содержание и эксплуатацию оборудования</t>
  </si>
  <si>
    <t>Итого</t>
  </si>
  <si>
    <t>Расчет общепроизводственных и общехозяйственных расходов</t>
  </si>
  <si>
    <t>Величина затрат по статьям калькуляции, изделиям и способам расчета</t>
  </si>
  <si>
    <t>Общепроизводственные расходы</t>
  </si>
  <si>
    <t>Общехозяйственные расходы</t>
  </si>
  <si>
    <t>В % от заработной платы производственных рабочих</t>
  </si>
  <si>
    <t>В % от прямых затрат</t>
  </si>
  <si>
    <t>Процент общепроизводственных расходов</t>
  </si>
  <si>
    <t>от заработной платы, %</t>
  </si>
  <si>
    <t>от прямых затрат, %</t>
  </si>
  <si>
    <t>Процент общехозяйственных расходов</t>
  </si>
  <si>
    <t>Процент дополнительной заработной платы Ндоп, %</t>
  </si>
  <si>
    <t>Расчет себестоимости изделия А</t>
  </si>
  <si>
    <t>Статья калькуляции и вид себестоимости</t>
  </si>
  <si>
    <t>Величина затрат, р/шт</t>
  </si>
  <si>
    <t>Первый способ расчета</t>
  </si>
  <si>
    <t>Структура себестоимости, %</t>
  </si>
  <si>
    <t>Второй способ расчета</t>
  </si>
  <si>
    <t>Покупные комплектующие изделия и материалы</t>
  </si>
  <si>
    <t>Итого цеховая себестоимость</t>
  </si>
  <si>
    <t>Итого производственная себестоимость</t>
  </si>
  <si>
    <t>Коммерческие расходы</t>
  </si>
  <si>
    <t>Итого полная себестоимость</t>
  </si>
  <si>
    <t>Расчет себестоимости изделия B</t>
  </si>
  <si>
    <t>Элементы цены</t>
  </si>
  <si>
    <t>Прямые затраты (переменные), р</t>
  </si>
  <si>
    <t>1-й способ</t>
  </si>
  <si>
    <t>2-й способ</t>
  </si>
  <si>
    <t>Косвенные затраты (постоянные), р</t>
  </si>
  <si>
    <t>Всего затраты (себестоимость), р</t>
  </si>
  <si>
    <t>Рентабельность, %</t>
  </si>
  <si>
    <t>Текущий объем реализации, р</t>
  </si>
  <si>
    <t>c НДС 18%</t>
  </si>
  <si>
    <t>Цена изделия (выручка от реализации), р</t>
  </si>
  <si>
    <t>Прибыль, р</t>
  </si>
  <si>
    <t>Прибыль при текущем объеме реализации, р</t>
  </si>
  <si>
    <t>Изделие А</t>
  </si>
  <si>
    <t>Изделие В</t>
  </si>
  <si>
    <t>Изделие С</t>
  </si>
  <si>
    <t>Q</t>
  </si>
  <si>
    <t>Tкр</t>
  </si>
  <si>
    <t>Переменные издержки</t>
  </si>
  <si>
    <t>Постоянные издержки</t>
  </si>
  <si>
    <t>Выручка</t>
  </si>
  <si>
    <t>Общие издержки</t>
  </si>
  <si>
    <t>Расчет себестоимости изделия C</t>
  </si>
  <si>
    <t>a1</t>
  </si>
  <si>
    <t>a2</t>
  </si>
  <si>
    <t>b1</t>
  </si>
  <si>
    <t>b2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</si>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</sst>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37" xfId="0" applyBorder="1"/>
    <xf numFmtId="0" fontId="3" fillId="0" borderId="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right" wrapText="1"/>
    </xf>
    <xf numFmtId="0" fontId="5" fillId="0" borderId="38" xfId="0" applyFont="1" applyBorder="1" applyAlignment="1">
      <alignment horizontal="right" wrapText="1"/>
    </xf>
    <xf numFmtId="0" fontId="6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 wrapText="1"/>
    </xf>
    <xf numFmtId="2" fontId="2" fillId="0" borderId="3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Изделие</a:t>
            </a:r>
            <a:r>
              <a:rPr lang="ru-RU" baseline="0"/>
              <a:t> А способ 1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Лист1!$A$76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Лист1!$B$76:$C$76</c:f>
              <c:numCache>
                <c:formatCode>#,##0.00</c:formatCode>
                <c:ptCount val="2"/>
                <c:pt idx="0" formatCode="0.00">
                  <c:v>5003.402129445205</c:v>
                </c:pt>
                <c:pt idx="1">
                  <c:v>48339.45815020716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E8-4D6A-88FD-35F6C7C129D3}"/>
            </c:ext>
          </c:extLst>
        </c:ser>
        <c:ser>
          <c:idx val="2"/>
          <c:order val="1"/>
          <c:tx>
            <c:strRef>
              <c:f>Лист1!$A$80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Лист1!$B$80:$C$80</c:f>
              <c:numCache>
                <c:formatCode>General</c:formatCode>
                <c:ptCount val="2"/>
                <c:pt idx="0" formatCode="0.00">
                  <c:v>5003.402129445205</c:v>
                </c:pt>
                <c:pt idx="1">
                  <c:v>5003.402129445205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4E8-4D6A-88FD-35F6C7C129D3}"/>
            </c:ext>
          </c:extLst>
        </c:ser>
        <c:ser>
          <c:idx val="3"/>
          <c:order val="2"/>
          <c:tx>
            <c:strRef>
              <c:f>Лист1!$A$82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Лист1!$B$82:$C$82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58007.349780248594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4E8-4D6A-88FD-35F6C7C129D3}"/>
            </c:ext>
          </c:extLst>
        </c:ser>
        <c:ser>
          <c:idx val="1"/>
          <c:order val="3"/>
          <c:tx>
            <c:v>Точка безубыточности</c:v>
          </c:tx>
          <c:marker>
            <c:symbol val="circle"/>
            <c:size val="6"/>
          </c:marker>
          <c:xVal>
            <c:numRef>
              <c:f>Лист1!$J$75</c:f>
              <c:numCache>
                <c:formatCode>General</c:formatCode>
                <c:ptCount val="1"/>
                <c:pt idx="0">
                  <c:v>323</c:v>
                </c:pt>
              </c:numCache>
            </c:numRef>
          </c:xVal>
          <c:yVal>
            <c:numRef>
              <c:f>Лист1!$J$76</c:f>
              <c:numCache>
                <c:formatCode>General</c:formatCode>
                <c:ptCount val="1"/>
                <c:pt idx="0">
                  <c:v>19785</c:v>
                </c:pt>
              </c:numCache>
            </c:numRef>
          </c:yVal>
          <c:smooth val="1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73747584"/>
        <c:axId val="173757952"/>
      </c:scatterChart>
      <c:valAx>
        <c:axId val="173747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3757952"/>
        <c:crosses val="autoZero"/>
        <c:crossBetween val="midCat"/>
      </c:valAx>
      <c:valAx>
        <c:axId val="1737579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TC</a:t>
                </a:r>
              </a:p>
              <a:p>
                <a:pPr>
                  <a:defRPr/>
                </a:pPr>
                <a:r>
                  <a:rPr lang="en-US"/>
                  <a:t>VC</a:t>
                </a:r>
              </a:p>
              <a:p>
                <a:pPr>
                  <a:defRPr/>
                </a:pPr>
                <a:r>
                  <a:rPr lang="en-US"/>
                  <a:t>FC</a:t>
                </a:r>
              </a:p>
              <a:p>
                <a:pPr>
                  <a:defRPr/>
                </a:pPr>
                <a:r>
                  <a:rPr lang="ru-RU"/>
                  <a:t>Выручка</a:t>
                </a:r>
              </a:p>
            </c:rich>
          </c:tx>
          <c:layout>
            <c:manualLayout>
              <c:xMode val="edge"/>
              <c:yMode val="edge"/>
              <c:x val="4.6176046176046176E-2"/>
              <c:y val="0.3744940651075333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37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Изделие А способ </a:t>
            </a:r>
            <a:r>
              <a:rPr lang="en-US" sz="1800" b="1" i="0" baseline="0">
                <a:effectLst/>
              </a:rPr>
              <a:t>2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Лист1!$B$77:$C$77</c:f>
              <c:numCache>
                <c:formatCode>#,##0.00</c:formatCode>
                <c:ptCount val="2"/>
                <c:pt idx="0" formatCode="0.00">
                  <c:v>10056.059024883187</c:v>
                </c:pt>
                <c:pt idx="1">
                  <c:v>53392.115045645143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E-459D-AB38-9A3C19206EFC}"/>
            </c:ext>
          </c:extLst>
        </c:ser>
        <c:ser>
          <c:idx val="2"/>
          <c:order val="1"/>
          <c:tx>
            <c:strRef>
              <c:f>Лист1!$A$81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Лист1!$B$81:$C$81</c:f>
              <c:numCache>
                <c:formatCode>0.00</c:formatCode>
                <c:ptCount val="2"/>
                <c:pt idx="0">
                  <c:v>10056.059024883187</c:v>
                </c:pt>
                <c:pt idx="1">
                  <c:v>10056.059024883187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E-459D-AB38-9A3C19206EFC}"/>
            </c:ext>
          </c:extLst>
        </c:ser>
        <c:ser>
          <c:idx val="3"/>
          <c:order val="2"/>
          <c:tx>
            <c:strRef>
              <c:f>Лист1!$A$83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Лист1!$B$75:$C$75</c:f>
              <c:numCache>
                <c:formatCode>General</c:formatCode>
                <c:ptCount val="2"/>
                <c:pt idx="0">
                  <c:v>0</c:v>
                </c:pt>
                <c:pt idx="1">
                  <c:v>947</c:v>
                </c:pt>
              </c:numCache>
            </c:numRef>
          </c:xVal>
          <c:yVal>
            <c:numRef>
              <c:f>Лист1!$B$83:$C$83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64070.538054774173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27E-459D-AB38-9A3C19206EFC}"/>
            </c:ext>
          </c:extLst>
        </c:ser>
        <c:ser>
          <c:idx val="1"/>
          <c:order val="3"/>
          <c:tx>
            <c:v>Точка безубыточности</c:v>
          </c:tx>
          <c:marker>
            <c:symbol val="circle"/>
            <c:size val="6"/>
          </c:marker>
          <c:xVal>
            <c:numRef>
              <c:f>Лист1!$K$75</c:f>
              <c:numCache>
                <c:formatCode>General</c:formatCode>
                <c:ptCount val="1"/>
                <c:pt idx="0">
                  <c:v>460</c:v>
                </c:pt>
              </c:numCache>
            </c:numRef>
          </c:xVal>
          <c:yVal>
            <c:numRef>
              <c:f>Лист1!$K$76</c:f>
              <c:numCache>
                <c:formatCode>General</c:formatCode>
                <c:ptCount val="1"/>
                <c:pt idx="0">
                  <c:v>31122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6320"/>
        <c:axId val="1752582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Лист1!$A$79</c15:sqref>
                        </c15:formulaRef>
                      </c:ext>
                    </c:extLst>
                    <c:strCache>
                      <c:ptCount val="1"/>
                      <c:pt idx="0">
                        <c:v>Переменные издержки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Лист1!$B$75:$C$75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Лист1!$B$79:$C$79</c15:sqref>
                        </c15:formulaRef>
                      </c:ext>
                    </c:extLst>
                    <c:numCache>
                      <c:formatCode>#,##0.00</c:formatCode>
                      <c:ptCount val="2"/>
                      <c:pt idx="0" formatCode="General">
                        <c:v>0</c:v>
                      </c:pt>
                      <c:pt idx="1">
                        <c:v>85587.320032112824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27E-459D-AB38-9A3C19206EFC}"/>
                  </c:ext>
                </c:extLst>
              </c15:ser>
            </c15:filteredScatterSeries>
          </c:ext>
        </c:extLst>
      </c:scatterChart>
      <c:valAx>
        <c:axId val="175256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5258240"/>
        <c:crosses val="autoZero"/>
        <c:crossBetween val="midCat"/>
      </c:valAx>
      <c:valAx>
        <c:axId val="1752582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FC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Выручка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75967134542965E-2"/>
              <c:y val="0.374494222704920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52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Изделие</a:t>
            </a:r>
            <a:r>
              <a:rPr lang="ru-RU" baseline="0"/>
              <a:t> </a:t>
            </a:r>
            <a:r>
              <a:rPr lang="en-US" baseline="0"/>
              <a:t>B</a:t>
            </a:r>
            <a:r>
              <a:rPr lang="ru-RU" baseline="0"/>
              <a:t> способ 1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Лист1!$A$76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Лист1!$D$76:$E$76</c:f>
              <c:numCache>
                <c:formatCode>0.00</c:formatCode>
                <c:ptCount val="2"/>
                <c:pt idx="0">
                  <c:v>12757.121917444298</c:v>
                </c:pt>
                <c:pt idx="1">
                  <c:v>48972.273997564145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5CB-4666-BB56-0673D19975F4}"/>
            </c:ext>
          </c:extLst>
        </c:ser>
        <c:ser>
          <c:idx val="2"/>
          <c:order val="1"/>
          <c:tx>
            <c:strRef>
              <c:f>Лист1!$A$80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Лист1!$D$80:$E$80</c:f>
              <c:numCache>
                <c:formatCode>0.00</c:formatCode>
                <c:ptCount val="2"/>
                <c:pt idx="0">
                  <c:v>12757.121917444298</c:v>
                </c:pt>
                <c:pt idx="1">
                  <c:v>12757.121917444298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5CB-4666-BB56-0673D19975F4}"/>
            </c:ext>
          </c:extLst>
        </c:ser>
        <c:ser>
          <c:idx val="3"/>
          <c:order val="2"/>
          <c:tx>
            <c:strRef>
              <c:f>Лист1!$A$82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Лист1!$D$82:$E$82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58766.728797076976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5CB-4666-BB56-0673D19975F4}"/>
            </c:ext>
          </c:extLst>
        </c:ser>
        <c:ser>
          <c:idx val="1"/>
          <c:order val="3"/>
          <c:tx>
            <c:v>Точка безуюыточности</c:v>
          </c:tx>
          <c:marker>
            <c:symbol val="circle"/>
            <c:size val="6"/>
          </c:marker>
          <c:xVal>
            <c:numRef>
              <c:f>Лист1!$L$75</c:f>
              <c:numCache>
                <c:formatCode>General</c:formatCode>
                <c:ptCount val="1"/>
                <c:pt idx="0">
                  <c:v>882</c:v>
                </c:pt>
              </c:numCache>
            </c:numRef>
          </c:xVal>
          <c:yVal>
            <c:numRef>
              <c:f>Лист1!$L$76</c:f>
              <c:numCache>
                <c:formatCode>General</c:formatCode>
                <c:ptCount val="1"/>
                <c:pt idx="0">
                  <c:v>33269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0720"/>
        <c:axId val="1753169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Лист1!$A$78</c15:sqref>
                        </c15:formulaRef>
                      </c:ext>
                    </c:extLst>
                    <c:strCache>
                      <c:ptCount val="1"/>
                      <c:pt idx="0">
                        <c:v>Переменные издержки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Лист1!$D$75:$E$75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1471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Лист1!$D$78:$E$78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General">
                        <c:v>0</c:v>
                      </c:pt>
                      <c:pt idx="1">
                        <c:v>37240.136039211444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5CB-4666-BB56-0673D19975F4}"/>
                  </c:ext>
                </c:extLst>
              </c15:ser>
            </c15:filteredScatterSeries>
          </c:ext>
        </c:extLst>
      </c:scatterChart>
      <c:valAx>
        <c:axId val="175310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5316992"/>
        <c:crosses val="autoZero"/>
        <c:crossBetween val="midCat"/>
      </c:valAx>
      <c:valAx>
        <c:axId val="1753169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TC</a:t>
                </a:r>
              </a:p>
              <a:p>
                <a:pPr>
                  <a:defRPr/>
                </a:pPr>
                <a:r>
                  <a:rPr lang="en-US"/>
                  <a:t>VC</a:t>
                </a:r>
              </a:p>
              <a:p>
                <a:pPr>
                  <a:defRPr/>
                </a:pPr>
                <a:r>
                  <a:rPr lang="en-US"/>
                  <a:t>FC</a:t>
                </a:r>
              </a:p>
              <a:p>
                <a:pPr>
                  <a:defRPr/>
                </a:pPr>
                <a:r>
                  <a:rPr lang="ru-RU"/>
                  <a:t>Выручка</a:t>
                </a:r>
              </a:p>
            </c:rich>
          </c:tx>
          <c:layout>
            <c:manualLayout>
              <c:xMode val="edge"/>
              <c:yMode val="edge"/>
              <c:x val="4.6176046176046176E-2"/>
              <c:y val="0.3744940651075333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531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Изделие </a:t>
            </a:r>
            <a:r>
              <a:rPr lang="en-US" sz="1800" b="1" i="0" baseline="0">
                <a:effectLst/>
              </a:rPr>
              <a:t>B</a:t>
            </a:r>
            <a:r>
              <a:rPr lang="ru-RU" sz="1800" b="1" i="0" baseline="0">
                <a:effectLst/>
              </a:rPr>
              <a:t> способ </a:t>
            </a:r>
            <a:r>
              <a:rPr lang="en-US" sz="1800" b="1" i="0" baseline="0">
                <a:effectLst/>
              </a:rPr>
              <a:t>2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Лист1!$D$77:$E$77</c:f>
              <c:numCache>
                <c:formatCode>0.00</c:formatCode>
                <c:ptCount val="2"/>
                <c:pt idx="0">
                  <c:v>8403.6652236726331</c:v>
                </c:pt>
                <c:pt idx="1">
                  <c:v>44618.817303792486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73-4BE6-B3F7-C22F6EE2DF78}"/>
            </c:ext>
          </c:extLst>
        </c:ser>
        <c:ser>
          <c:idx val="2"/>
          <c:order val="1"/>
          <c:tx>
            <c:strRef>
              <c:f>Лист1!$A$81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Лист1!$D$81:$E$81</c:f>
              <c:numCache>
                <c:formatCode>0.00</c:formatCode>
                <c:ptCount val="2"/>
                <c:pt idx="0">
                  <c:v>8403.6652236726331</c:v>
                </c:pt>
                <c:pt idx="1">
                  <c:v>8403.6652236726331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A73-4BE6-B3F7-C22F6EE2DF78}"/>
            </c:ext>
          </c:extLst>
        </c:ser>
        <c:ser>
          <c:idx val="3"/>
          <c:order val="2"/>
          <c:tx>
            <c:strRef>
              <c:f>Лист1!$A$83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Лист1!$D$75:$E$75</c:f>
              <c:numCache>
                <c:formatCode>General</c:formatCode>
                <c:ptCount val="2"/>
                <c:pt idx="0">
                  <c:v>0</c:v>
                </c:pt>
                <c:pt idx="1">
                  <c:v>1558</c:v>
                </c:pt>
              </c:numCache>
            </c:numRef>
          </c:xVal>
          <c:yVal>
            <c:numRef>
              <c:f>Лист1!$D$83:$E$83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53542.580764550978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A73-4BE6-B3F7-C22F6EE2DF78}"/>
            </c:ext>
          </c:extLst>
        </c:ser>
        <c:ser>
          <c:idx val="1"/>
          <c:order val="3"/>
          <c:tx>
            <c:v>Точка безубыточности</c:v>
          </c:tx>
          <c:marker>
            <c:symbol val="circle"/>
            <c:size val="6"/>
          </c:marker>
          <c:xVal>
            <c:numRef>
              <c:f>Лист1!$M$75</c:f>
              <c:numCache>
                <c:formatCode>General</c:formatCode>
                <c:ptCount val="1"/>
                <c:pt idx="0">
                  <c:v>756</c:v>
                </c:pt>
              </c:numCache>
            </c:numRef>
          </c:xVal>
          <c:yVal>
            <c:numRef>
              <c:f>Лист1!$M$76</c:f>
              <c:numCache>
                <c:formatCode>General</c:formatCode>
                <c:ptCount val="1"/>
                <c:pt idx="0">
                  <c:v>25981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2832"/>
        <c:axId val="1753591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Лист1!$A$79</c15:sqref>
                        </c15:formulaRef>
                      </c:ext>
                    </c:extLst>
                    <c:strCache>
                      <c:ptCount val="1"/>
                      <c:pt idx="0">
                        <c:v>Переменные издержки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Лист1!$D$75:$E$75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1471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Лист1!$D$79:$E$79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General">
                        <c:v>0</c:v>
                      </c:pt>
                      <c:pt idx="1">
                        <c:v>37240.136039211444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A73-4BE6-B3F7-C22F6EE2DF78}"/>
                  </c:ext>
                </c:extLst>
              </c15:ser>
            </c15:filteredScatterSeries>
          </c:ext>
        </c:extLst>
      </c:scatterChart>
      <c:valAx>
        <c:axId val="175352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5359104"/>
        <c:crosses val="autoZero"/>
        <c:crossBetween val="midCat"/>
      </c:valAx>
      <c:valAx>
        <c:axId val="1753591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FC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Выручка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75967134542965E-2"/>
              <c:y val="0.374494222704920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535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Изделие</a:t>
            </a:r>
            <a:r>
              <a:rPr lang="ru-RU" baseline="0"/>
              <a:t> </a:t>
            </a:r>
            <a:r>
              <a:rPr lang="en-US" baseline="0"/>
              <a:t>C</a:t>
            </a:r>
            <a:r>
              <a:rPr lang="ru-RU" baseline="0"/>
              <a:t> способ 1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Лист1!$A$76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Лист1!$F$76:$G$76</c:f>
              <c:numCache>
                <c:formatCode>0.00</c:formatCode>
                <c:ptCount val="2"/>
                <c:pt idx="0">
                  <c:v>6882.6421052214937</c:v>
                </c:pt>
                <c:pt idx="1">
                  <c:v>59749.218136250347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94-4DAA-823D-02E9DD6B85D3}"/>
            </c:ext>
          </c:extLst>
        </c:ser>
        <c:ser>
          <c:idx val="2"/>
          <c:order val="1"/>
          <c:tx>
            <c:strRef>
              <c:f>Лист1!$A$80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Лист1!$F$80:$G$80</c:f>
              <c:numCache>
                <c:formatCode>0.00</c:formatCode>
                <c:ptCount val="2"/>
                <c:pt idx="0">
                  <c:v>6882.6421052214937</c:v>
                </c:pt>
                <c:pt idx="1">
                  <c:v>6882.6421052214937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94-4DAA-823D-02E9DD6B85D3}"/>
            </c:ext>
          </c:extLst>
        </c:ser>
        <c:ser>
          <c:idx val="3"/>
          <c:order val="2"/>
          <c:tx>
            <c:strRef>
              <c:f>Лист1!$A$82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Лист1!$F$82:$G$82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71699.061763500416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A94-4DAA-823D-02E9DD6B85D3}"/>
            </c:ext>
          </c:extLst>
        </c:ser>
        <c:ser>
          <c:idx val="1"/>
          <c:order val="3"/>
          <c:tx>
            <c:v>Точка безубыточности</c:v>
          </c:tx>
          <c:marker>
            <c:symbol val="circle"/>
            <c:size val="6"/>
          </c:marker>
          <c:xVal>
            <c:numRef>
              <c:f>Лист1!$N$75</c:f>
              <c:numCache>
                <c:formatCode>General</c:formatCode>
                <c:ptCount val="1"/>
                <c:pt idx="0">
                  <c:v>136</c:v>
                </c:pt>
              </c:numCache>
            </c:numRef>
          </c:xVal>
          <c:yVal>
            <c:numRef>
              <c:f>Лист1!$N$76</c:f>
              <c:numCache>
                <c:formatCode>General</c:formatCode>
                <c:ptCount val="1"/>
                <c:pt idx="0">
                  <c:v>26284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6672"/>
        <c:axId val="1802385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Лист1!$A$78</c15:sqref>
                        </c15:formulaRef>
                      </c:ext>
                    </c:extLst>
                    <c:strCache>
                      <c:ptCount val="1"/>
                      <c:pt idx="0">
                        <c:v>Переменные издержки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Лист1!$F$75:$G$75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Лист1!$F$78:$G$78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General">
                        <c:v>0</c:v>
                      </c:pt>
                      <c:pt idx="1">
                        <c:v>25208.532028684233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A94-4DAA-823D-02E9DD6B85D3}"/>
                  </c:ext>
                </c:extLst>
              </c15:ser>
            </c15:filteredScatterSeries>
          </c:ext>
        </c:extLst>
      </c:scatterChart>
      <c:valAx>
        <c:axId val="18023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0238592"/>
        <c:crosses val="autoZero"/>
        <c:crossBetween val="midCat"/>
      </c:valAx>
      <c:valAx>
        <c:axId val="1802385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TC</a:t>
                </a:r>
              </a:p>
              <a:p>
                <a:pPr>
                  <a:defRPr/>
                </a:pPr>
                <a:r>
                  <a:rPr lang="en-US"/>
                  <a:t>VC</a:t>
                </a:r>
              </a:p>
              <a:p>
                <a:pPr>
                  <a:defRPr/>
                </a:pPr>
                <a:r>
                  <a:rPr lang="en-US"/>
                  <a:t>FC</a:t>
                </a:r>
              </a:p>
              <a:p>
                <a:pPr>
                  <a:defRPr/>
                </a:pPr>
                <a:r>
                  <a:rPr lang="ru-RU"/>
                  <a:t>Выручка</a:t>
                </a:r>
              </a:p>
            </c:rich>
          </c:tx>
          <c:layout>
            <c:manualLayout>
              <c:xMode val="edge"/>
              <c:yMode val="edge"/>
              <c:x val="4.6176046176046176E-2"/>
              <c:y val="0.3744940651075333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023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Изделие </a:t>
            </a:r>
            <a:r>
              <a:rPr lang="en-US" sz="1800" b="1" i="0" baseline="0">
                <a:effectLst/>
              </a:rPr>
              <a:t>C</a:t>
            </a:r>
            <a:r>
              <a:rPr lang="ru-RU" sz="1800" b="1" i="0" baseline="0">
                <a:effectLst/>
              </a:rPr>
              <a:t> способ </a:t>
            </a:r>
            <a:r>
              <a:rPr lang="en-US" sz="1800" b="1" i="0" baseline="0">
                <a:effectLst/>
              </a:rPr>
              <a:t>2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  <c:pt idx="0">
                  <c:v>Общие издержки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Лист1!$F$77:$G$77</c:f>
              <c:numCache>
                <c:formatCode>0.00</c:formatCode>
                <c:ptCount val="2"/>
                <c:pt idx="0">
                  <c:v>12267.600188554341</c:v>
                </c:pt>
                <c:pt idx="1">
                  <c:v>65134.176219583198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D0E-4EA4-BCF5-98A27870035D}"/>
            </c:ext>
          </c:extLst>
        </c:ser>
        <c:ser>
          <c:idx val="2"/>
          <c:order val="1"/>
          <c:tx>
            <c:strRef>
              <c:f>Лист1!$A$81</c:f>
              <c:strCache>
                <c:ptCount val="1"/>
                <c:pt idx="0">
                  <c:v>Постоянные издержки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Лист1!$F$81:$G$81</c:f>
              <c:numCache>
                <c:formatCode>0.00</c:formatCode>
                <c:ptCount val="2"/>
                <c:pt idx="0">
                  <c:v>12267.600188554341</c:v>
                </c:pt>
                <c:pt idx="1">
                  <c:v>12267.600188554341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D0E-4EA4-BCF5-98A27870035D}"/>
            </c:ext>
          </c:extLst>
        </c:ser>
        <c:ser>
          <c:idx val="3"/>
          <c:order val="2"/>
          <c:tx>
            <c:strRef>
              <c:f>Лист1!$A$83</c:f>
              <c:strCache>
                <c:ptCount val="1"/>
                <c:pt idx="0">
                  <c:v>Выручка</c:v>
                </c:pt>
              </c:strCache>
            </c:strRef>
          </c:tx>
          <c:xVal>
            <c:numRef>
              <c:f>Лист1!$F$75:$G$75</c:f>
              <c:numCache>
                <c:formatCode>General</c:formatCode>
                <c:ptCount val="2"/>
                <c:pt idx="0">
                  <c:v>0</c:v>
                </c:pt>
                <c:pt idx="1">
                  <c:v>371</c:v>
                </c:pt>
              </c:numCache>
            </c:numRef>
          </c:xVal>
          <c:yVal>
            <c:numRef>
              <c:f>Лист1!$F$83:$G$83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78161.011463499832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D0E-4EA4-BCF5-98A27870035D}"/>
            </c:ext>
          </c:extLst>
        </c:ser>
        <c:ser>
          <c:idx val="1"/>
          <c:order val="3"/>
          <c:tx>
            <c:v>Точка безубыточности</c:v>
          </c:tx>
          <c:marker>
            <c:symbol val="circle"/>
            <c:size val="6"/>
          </c:marker>
          <c:xVal>
            <c:numRef>
              <c:f>Лист1!$O$75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Лист1!$O$76</c:f>
              <c:numCache>
                <c:formatCode>General</c:formatCode>
                <c:ptCount val="1"/>
                <c:pt idx="0">
                  <c:v>37922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4320"/>
        <c:axId val="1813396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Лист1!$A$79</c15:sqref>
                        </c15:formulaRef>
                      </c:ext>
                    </c:extLst>
                    <c:strCache>
                      <c:ptCount val="1"/>
                      <c:pt idx="0">
                        <c:v>Переменные издержки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Лист1!$F$75:$G$75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Лист1!$F$79:$G$79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General">
                        <c:v>0</c:v>
                      </c:pt>
                      <c:pt idx="1">
                        <c:v>25208.532028684233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D0E-4EA4-BCF5-98A27870035D}"/>
                  </c:ext>
                </c:extLst>
              </c15:ser>
            </c15:filteredScatterSeries>
          </c:ext>
        </c:extLst>
      </c:scatterChart>
      <c:valAx>
        <c:axId val="180264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Объем производства,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1339648"/>
        <c:crosses val="autoZero"/>
        <c:crossBetween val="midCat"/>
      </c:valAx>
      <c:valAx>
        <c:axId val="1813396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FC</a:t>
                </a:r>
                <a:endParaRPr lang="ru-RU" sz="1000">
                  <a:effectLst/>
                </a:endParaRPr>
              </a:p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Выручка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75967134542965E-2"/>
              <c:y val="0.3744942227049206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026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85</xdr:row>
      <xdr:rowOff>19050</xdr:rowOff>
    </xdr:from>
    <xdr:to>
      <xdr:col>7</xdr:col>
      <xdr:colOff>133350</xdr:colOff>
      <xdr:row>98</xdr:row>
      <xdr:rowOff>76200</xdr:rowOff>
    </xdr:to>
    <xdr:graphicFrame macro="">
      <xdr:nvGraphicFramePr>
        <xdr:cNvPr id="8" name="Диаграмма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152400</xdr:rowOff>
    </xdr:from>
    <xdr:to>
      <xdr:col>7</xdr:col>
      <xdr:colOff>114300</xdr:colOff>
      <xdr:row>111</xdr:row>
      <xdr:rowOff>161925</xdr:rowOff>
    </xdr:to>
    <xdr:graphicFrame macro="">
      <xdr:nvGraphicFramePr>
        <xdr:cNvPr id="9" name="Диаграмма 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85</xdr:row>
      <xdr:rowOff>9525</xdr:rowOff>
    </xdr:from>
    <xdr:to>
      <xdr:col>14</xdr:col>
      <xdr:colOff>581025</xdr:colOff>
      <xdr:row>98</xdr:row>
      <xdr:rowOff>85725</xdr:rowOff>
    </xdr:to>
    <xdr:graphicFrame macro="">
      <xdr:nvGraphicFramePr>
        <xdr:cNvPr id="10" name="Диаграмма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99</xdr:row>
      <xdr:rowOff>19050</xdr:rowOff>
    </xdr:from>
    <xdr:to>
      <xdr:col>14</xdr:col>
      <xdr:colOff>561975</xdr:colOff>
      <xdr:row>112</xdr:row>
      <xdr:rowOff>28575</xdr:rowOff>
    </xdr:to>
    <xdr:graphicFrame macro="">
      <xdr:nvGraphicFramePr>
        <xdr:cNvPr id="11" name="Диаграмма 5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276225</xdr:colOff>
      <xdr:row>85</xdr:row>
      <xdr:rowOff>57150</xdr:rowOff>
    </xdr:from>
    <xdr:to>
      <xdr:col>21</xdr:col>
      <xdr:colOff>638175</xdr:colOff>
      <xdr:row>98</xdr:row>
      <xdr:rowOff>133350</xdr:rowOff>
    </xdr:to>
    <xdr:graphicFrame macro="">
      <xdr:nvGraphicFramePr>
        <xdr:cNvPr id="12" name="Диаграмма 6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238125</xdr:colOff>
      <xdr:row>99</xdr:row>
      <xdr:rowOff>38100</xdr:rowOff>
    </xdr:from>
    <xdr:to>
      <xdr:col>21</xdr:col>
      <xdr:colOff>581025</xdr:colOff>
      <xdr:row>112</xdr:row>
      <xdr:rowOff>47625</xdr:rowOff>
    </xdr:to>
    <xdr:graphicFrame macro="">
      <xdr:nvGraphicFramePr>
        <xdr:cNvPr id="13" name="Диаграмма 7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L25" zoomScale="85" zoomScaleNormal="85" workbookViewId="0">
      <selection activeCell="F42" sqref="F42:G42"/>
    </sheetView>
  </sheetViews>
  <sheetFormatPr defaultRowHeight="15" x14ac:dyDescent="0.25"/>
  <cols>
    <col min="2" max="2" width="9.7109375" bestFit="1" customWidth="1"/>
    <col min="3" max="3" width="10.28515625" bestFit="1" customWidth="1"/>
    <col min="4" max="4" width="10.7109375" bestFit="1" customWidth="1"/>
    <col min="5" max="5" width="11.85546875" bestFit="1" customWidth="1"/>
    <col min="6" max="6" width="10.7109375" bestFit="1" customWidth="1"/>
    <col min="7" max="7" width="11.85546875" bestFit="1" customWidth="1"/>
    <col min="15" max="15" width="12.42578125" customWidth="1"/>
    <col min="16" max="16" width="11" customWidth="1"/>
    <col min="17" max="17" width="12.42578125" customWidth="1"/>
    <col min="18" max="18" width="13" customWidth="1"/>
    <col min="19" max="19" width="16.28515625" customWidth="1"/>
    <col min="20" max="22" width="14.42578125" bestFit="1" customWidth="1"/>
    <col min="23" max="26" width="9.5703125" bestFit="1" customWidth="1"/>
    <col min="28" max="28" width="9.5703125" bestFit="1" customWidth="1"/>
  </cols>
  <sheetData>
    <row r="1" spans="1:24" ht="15.75" thickBot="1" x14ac:dyDescent="0.3">
      <c r="A1" s="76" t="s">
        <v>0</v>
      </c>
      <c r="B1" s="71" t="s">
        <v>1</v>
      </c>
      <c r="C1" s="69"/>
      <c r="D1" s="69"/>
      <c r="E1" s="72"/>
      <c r="F1" s="68" t="s">
        <v>2</v>
      </c>
      <c r="G1" s="69"/>
      <c r="H1" s="70"/>
      <c r="J1" s="47" t="s">
        <v>23</v>
      </c>
      <c r="K1" s="48"/>
      <c r="L1" s="48"/>
      <c r="M1" s="48"/>
      <c r="N1" s="48"/>
      <c r="O1" s="49"/>
      <c r="Q1" s="66" t="s">
        <v>46</v>
      </c>
      <c r="R1" s="66"/>
      <c r="S1" s="66"/>
      <c r="T1" s="66"/>
      <c r="U1" s="66"/>
      <c r="V1" s="66"/>
      <c r="W1" s="14">
        <f>F15/F14*100</f>
        <v>12.000000487507142</v>
      </c>
    </row>
    <row r="2" spans="1:24" ht="15.75" thickBot="1" x14ac:dyDescent="0.3">
      <c r="A2" s="77"/>
      <c r="B2" s="73"/>
      <c r="C2" s="74"/>
      <c r="D2" s="74"/>
      <c r="E2" s="75"/>
      <c r="F2" s="5" t="s">
        <v>3</v>
      </c>
      <c r="G2" s="6" t="s">
        <v>4</v>
      </c>
      <c r="H2" s="7" t="s">
        <v>5</v>
      </c>
      <c r="J2" s="60" t="s">
        <v>24</v>
      </c>
      <c r="K2" s="61"/>
      <c r="L2" s="62"/>
      <c r="M2" s="50" t="s">
        <v>25</v>
      </c>
      <c r="N2" s="51"/>
      <c r="O2" s="52"/>
      <c r="Q2" s="57" t="s">
        <v>42</v>
      </c>
      <c r="R2" s="57"/>
      <c r="S2" s="57"/>
      <c r="T2" s="57"/>
      <c r="U2" s="57"/>
    </row>
    <row r="3" spans="1:24" ht="16.5" thickBot="1" x14ac:dyDescent="0.3">
      <c r="A3" s="10">
        <v>1</v>
      </c>
      <c r="B3" s="78" t="s">
        <v>6</v>
      </c>
      <c r="C3" s="54"/>
      <c r="D3" s="54"/>
      <c r="E3" s="54"/>
      <c r="F3" s="27">
        <v>947</v>
      </c>
      <c r="G3" s="28">
        <v>1558</v>
      </c>
      <c r="H3" s="28">
        <v>371</v>
      </c>
      <c r="J3" s="63"/>
      <c r="K3" s="64"/>
      <c r="L3" s="65"/>
      <c r="M3" s="13" t="s">
        <v>26</v>
      </c>
      <c r="N3" s="1" t="s">
        <v>27</v>
      </c>
      <c r="O3" s="2" t="s">
        <v>28</v>
      </c>
      <c r="Q3" s="67" t="s">
        <v>43</v>
      </c>
      <c r="R3" s="67"/>
      <c r="S3" s="67"/>
      <c r="T3" s="67"/>
      <c r="U3" s="15">
        <f>F11/(F14+F15)*100</f>
        <v>42.830411319277381</v>
      </c>
    </row>
    <row r="4" spans="1:24" ht="16.5" thickBot="1" x14ac:dyDescent="0.3">
      <c r="A4" s="11">
        <v>2</v>
      </c>
      <c r="B4" s="31" t="s">
        <v>7</v>
      </c>
      <c r="C4" s="57"/>
      <c r="D4" s="57"/>
      <c r="E4" s="57"/>
      <c r="F4" s="27">
        <v>17</v>
      </c>
      <c r="G4" s="28">
        <v>273</v>
      </c>
      <c r="H4" s="28">
        <v>385</v>
      </c>
      <c r="J4" s="53" t="s">
        <v>29</v>
      </c>
      <c r="K4" s="54"/>
      <c r="L4" s="54"/>
      <c r="M4" s="8">
        <f>F4*(1+0.1)</f>
        <v>18.700000000000003</v>
      </c>
      <c r="N4" s="8">
        <f t="shared" ref="N4:O4" si="0">G4*(1+0.1)</f>
        <v>300.3</v>
      </c>
      <c r="O4" s="9">
        <f t="shared" si="0"/>
        <v>423.50000000000006</v>
      </c>
      <c r="Q4" s="57" t="s">
        <v>44</v>
      </c>
      <c r="R4" s="57"/>
      <c r="S4" s="57"/>
      <c r="T4" s="57"/>
      <c r="U4" s="15">
        <f>F11/(M10*F3+N10*G3+O10*H3)*100</f>
        <v>10.085625466668745</v>
      </c>
    </row>
    <row r="5" spans="1:24" ht="16.5" thickBot="1" x14ac:dyDescent="0.3">
      <c r="A5" s="11">
        <v>3</v>
      </c>
      <c r="B5" s="34" t="s">
        <v>8</v>
      </c>
      <c r="C5" s="34"/>
      <c r="D5" s="34"/>
      <c r="E5" s="35"/>
      <c r="F5" s="27">
        <v>1125</v>
      </c>
      <c r="G5" s="28">
        <v>3221</v>
      </c>
      <c r="H5" s="28">
        <v>2325</v>
      </c>
      <c r="J5" s="55" t="s">
        <v>30</v>
      </c>
      <c r="K5" s="39"/>
      <c r="L5" s="39"/>
      <c r="M5" s="3">
        <f>+F5*(1+0.1)</f>
        <v>1237.5</v>
      </c>
      <c r="N5" s="3">
        <f t="shared" ref="N5:O5" si="1">+G5*(1+0.1)</f>
        <v>3543.1000000000004</v>
      </c>
      <c r="O5" s="4">
        <f t="shared" si="1"/>
        <v>2557.5</v>
      </c>
    </row>
    <row r="6" spans="1:24" ht="16.5" thickBot="1" x14ac:dyDescent="0.3">
      <c r="A6" s="11">
        <v>4</v>
      </c>
      <c r="B6" s="31" t="s">
        <v>9</v>
      </c>
      <c r="C6" s="57"/>
      <c r="D6" s="57"/>
      <c r="E6" s="57"/>
      <c r="F6" s="27">
        <v>39</v>
      </c>
      <c r="G6" s="28">
        <v>129</v>
      </c>
      <c r="H6" s="28">
        <v>51</v>
      </c>
      <c r="J6" s="55" t="s">
        <v>31</v>
      </c>
      <c r="K6" s="39"/>
      <c r="L6" s="39"/>
      <c r="M6" s="3">
        <f>F6*F7</f>
        <v>3276</v>
      </c>
      <c r="N6" s="3">
        <f t="shared" ref="N6:O6" si="2">G6*G7</f>
        <v>12642</v>
      </c>
      <c r="O6" s="4">
        <f t="shared" si="2"/>
        <v>4896</v>
      </c>
      <c r="Q6" s="57" t="s">
        <v>45</v>
      </c>
      <c r="R6" s="57"/>
      <c r="S6" s="57"/>
      <c r="T6" s="57"/>
      <c r="U6" s="57"/>
    </row>
    <row r="7" spans="1:24" ht="16.5" thickBot="1" x14ac:dyDescent="0.3">
      <c r="A7" s="11">
        <v>5</v>
      </c>
      <c r="B7" s="44" t="s">
        <v>10</v>
      </c>
      <c r="C7" s="44"/>
      <c r="D7" s="44"/>
      <c r="E7" s="31"/>
      <c r="F7" s="27">
        <v>84</v>
      </c>
      <c r="G7" s="28">
        <v>98</v>
      </c>
      <c r="H7" s="28">
        <v>96</v>
      </c>
      <c r="J7" s="55" t="s">
        <v>32</v>
      </c>
      <c r="K7" s="39"/>
      <c r="L7" s="39"/>
      <c r="M7" s="3">
        <f>M6*W1/100</f>
        <v>393.12001597073396</v>
      </c>
      <c r="N7" s="3">
        <f>N6*W1/100</f>
        <v>1517.0400616306529</v>
      </c>
      <c r="O7" s="4">
        <f>O6*W1/100</f>
        <v>587.52002386834965</v>
      </c>
      <c r="Q7" s="57" t="s">
        <v>43</v>
      </c>
      <c r="R7" s="57"/>
      <c r="S7" s="57"/>
      <c r="T7" s="57"/>
      <c r="U7" s="15">
        <f>F12/(F14+F15)*100</f>
        <v>30.798230914938816</v>
      </c>
    </row>
    <row r="8" spans="1:24" ht="16.5" thickBot="1" x14ac:dyDescent="0.3">
      <c r="A8" s="11">
        <v>6</v>
      </c>
      <c r="B8" s="34" t="s">
        <v>11</v>
      </c>
      <c r="C8" s="34"/>
      <c r="D8" s="34"/>
      <c r="E8" s="35"/>
      <c r="F8" s="27">
        <v>12</v>
      </c>
      <c r="G8" s="28">
        <v>12</v>
      </c>
      <c r="H8" s="28">
        <v>12</v>
      </c>
      <c r="J8" s="56" t="s">
        <v>33</v>
      </c>
      <c r="K8" s="57"/>
      <c r="L8" s="57"/>
      <c r="M8" s="3">
        <f>(M6+M7)*F18</f>
        <v>1100.7360047912202</v>
      </c>
      <c r="N8" s="3">
        <f>(N6+N7)*F18</f>
        <v>4247.7120184891955</v>
      </c>
      <c r="O8" s="4">
        <f>(O6+O7)*F18</f>
        <v>1645.056007160505</v>
      </c>
      <c r="Q8" s="57" t="s">
        <v>44</v>
      </c>
      <c r="R8" s="57"/>
      <c r="S8" s="57"/>
      <c r="T8" s="57"/>
      <c r="U8" s="15">
        <f>F12/(M10*F3+N10*G3+O10*H3)*100</f>
        <v>7.2523100403718521</v>
      </c>
    </row>
    <row r="9" spans="1:24" ht="16.5" thickBot="1" x14ac:dyDescent="0.3">
      <c r="A9" s="11">
        <v>7</v>
      </c>
      <c r="B9" s="34" t="s">
        <v>12</v>
      </c>
      <c r="C9" s="34"/>
      <c r="D9" s="34"/>
      <c r="E9" s="35"/>
      <c r="F9" s="27">
        <v>182</v>
      </c>
      <c r="G9" s="28">
        <v>57</v>
      </c>
      <c r="H9" s="28">
        <v>253</v>
      </c>
      <c r="J9" s="55" t="s">
        <v>34</v>
      </c>
      <c r="K9" s="39"/>
      <c r="L9" s="39"/>
      <c r="M9" s="3">
        <f>F9*F10</f>
        <v>37310</v>
      </c>
      <c r="N9" s="3">
        <f t="shared" ref="N9:O9" si="3">G9*G10</f>
        <v>13965</v>
      </c>
      <c r="O9" s="4">
        <f t="shared" si="3"/>
        <v>42757</v>
      </c>
    </row>
    <row r="10" spans="1:24" ht="16.5" thickBot="1" x14ac:dyDescent="0.3">
      <c r="A10" s="11">
        <v>8</v>
      </c>
      <c r="B10" s="34" t="s">
        <v>13</v>
      </c>
      <c r="C10" s="34"/>
      <c r="D10" s="34"/>
      <c r="E10" s="35"/>
      <c r="F10" s="27">
        <v>205</v>
      </c>
      <c r="G10" s="28">
        <v>245</v>
      </c>
      <c r="H10" s="28">
        <v>169</v>
      </c>
      <c r="J10" s="58" t="s">
        <v>35</v>
      </c>
      <c r="K10" s="59"/>
      <c r="L10" s="59"/>
      <c r="M10" s="6">
        <f>M4+M5+M6+M7+M8+M9</f>
        <v>43336.056020761956</v>
      </c>
      <c r="N10" s="6">
        <f t="shared" ref="N10:O10" si="4">N4+N5+N6+N7+N8+N9</f>
        <v>36215.152080119849</v>
      </c>
      <c r="O10" s="7">
        <f t="shared" si="4"/>
        <v>52866.576031028853</v>
      </c>
    </row>
    <row r="11" spans="1:24" ht="16.5" customHeight="1" x14ac:dyDescent="0.25">
      <c r="A11" s="11">
        <v>9</v>
      </c>
      <c r="B11" s="34" t="s">
        <v>14</v>
      </c>
      <c r="C11" s="34"/>
      <c r="D11" s="34"/>
      <c r="E11" s="35"/>
      <c r="F11" s="83">
        <v>11807842</v>
      </c>
      <c r="G11" s="84"/>
      <c r="H11" s="85"/>
    </row>
    <row r="12" spans="1:24" x14ac:dyDescent="0.25">
      <c r="A12" s="11">
        <v>10</v>
      </c>
      <c r="B12" s="34" t="s">
        <v>18</v>
      </c>
      <c r="C12" s="34"/>
      <c r="D12" s="34"/>
      <c r="E12" s="35"/>
      <c r="F12" s="86">
        <v>8490711</v>
      </c>
      <c r="G12" s="87"/>
      <c r="H12" s="88"/>
      <c r="J12" s="57" t="s">
        <v>36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 x14ac:dyDescent="0.25">
      <c r="A13" s="11">
        <v>11</v>
      </c>
      <c r="B13" s="34" t="s">
        <v>15</v>
      </c>
      <c r="C13" s="34"/>
      <c r="D13" s="34"/>
      <c r="E13" s="35"/>
      <c r="F13" s="86">
        <v>6868725</v>
      </c>
      <c r="G13" s="87"/>
      <c r="H13" s="88"/>
      <c r="J13" s="43" t="s">
        <v>24</v>
      </c>
      <c r="K13" s="43"/>
      <c r="L13" s="43"/>
      <c r="M13" s="57" t="s">
        <v>37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1:24" x14ac:dyDescent="0.25">
      <c r="A14" s="11">
        <v>12</v>
      </c>
      <c r="B14" s="34" t="s">
        <v>17</v>
      </c>
      <c r="C14" s="34"/>
      <c r="D14" s="34"/>
      <c r="E14" s="35"/>
      <c r="F14" s="86">
        <v>24615024</v>
      </c>
      <c r="G14" s="87"/>
      <c r="H14" s="88"/>
      <c r="J14" s="43"/>
      <c r="K14" s="43"/>
      <c r="L14" s="43"/>
      <c r="M14" s="57" t="s">
        <v>26</v>
      </c>
      <c r="N14" s="57"/>
      <c r="O14" s="57"/>
      <c r="P14" s="57"/>
      <c r="Q14" s="57" t="s">
        <v>27</v>
      </c>
      <c r="R14" s="57"/>
      <c r="S14" s="57"/>
      <c r="T14" s="57"/>
      <c r="U14" s="57" t="s">
        <v>28</v>
      </c>
      <c r="V14" s="57"/>
      <c r="W14" s="57"/>
      <c r="X14" s="57"/>
    </row>
    <row r="15" spans="1:24" x14ac:dyDescent="0.25">
      <c r="A15" s="11">
        <v>13</v>
      </c>
      <c r="B15" s="34" t="s">
        <v>16</v>
      </c>
      <c r="C15" s="34"/>
      <c r="D15" s="34"/>
      <c r="E15" s="35"/>
      <c r="F15" s="86">
        <v>2953803</v>
      </c>
      <c r="G15" s="87"/>
      <c r="H15" s="88"/>
      <c r="J15" s="43"/>
      <c r="K15" s="43"/>
      <c r="L15" s="43"/>
      <c r="M15" s="38" t="s">
        <v>40</v>
      </c>
      <c r="N15" s="38"/>
      <c r="O15" s="38" t="s">
        <v>41</v>
      </c>
      <c r="P15" s="38"/>
      <c r="Q15" s="38" t="s">
        <v>40</v>
      </c>
      <c r="R15" s="38"/>
      <c r="S15" s="38" t="s">
        <v>41</v>
      </c>
      <c r="T15" s="38"/>
      <c r="U15" s="38" t="s">
        <v>40</v>
      </c>
      <c r="V15" s="38"/>
      <c r="W15" s="38" t="s">
        <v>41</v>
      </c>
      <c r="X15" s="38"/>
    </row>
    <row r="16" spans="1:24" ht="16.5" customHeight="1" thickBot="1" x14ac:dyDescent="0.3">
      <c r="A16" s="12">
        <v>14</v>
      </c>
      <c r="B16" s="32" t="s">
        <v>19</v>
      </c>
      <c r="C16" s="32"/>
      <c r="D16" s="32"/>
      <c r="E16" s="33"/>
      <c r="F16" s="86">
        <v>137374505</v>
      </c>
      <c r="G16" s="87"/>
      <c r="H16" s="88"/>
      <c r="J16" s="43"/>
      <c r="K16" s="43"/>
      <c r="L16" s="43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25">
      <c r="A17" s="45" t="s">
        <v>20</v>
      </c>
      <c r="B17" s="46"/>
      <c r="C17" s="46"/>
      <c r="D17" s="46"/>
      <c r="E17" s="46"/>
      <c r="F17" s="25">
        <v>0.1</v>
      </c>
      <c r="G17" s="25"/>
      <c r="H17" s="25"/>
      <c r="J17" s="43"/>
      <c r="K17" s="43"/>
      <c r="L17" s="43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25">
      <c r="A18" s="80" t="s">
        <v>21</v>
      </c>
      <c r="B18" s="43"/>
      <c r="C18" s="43"/>
      <c r="D18" s="43"/>
      <c r="E18" s="43"/>
      <c r="F18" s="25">
        <v>0.3</v>
      </c>
      <c r="G18" s="25"/>
      <c r="H18" s="25"/>
      <c r="J18" s="43"/>
      <c r="K18" s="43"/>
      <c r="L18" s="43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5.75" customHeight="1" thickBot="1" x14ac:dyDescent="0.3">
      <c r="A19" s="81" t="s">
        <v>22</v>
      </c>
      <c r="B19" s="82"/>
      <c r="C19" s="82"/>
      <c r="D19" s="82"/>
      <c r="E19" s="82"/>
      <c r="F19" s="25">
        <v>0.2</v>
      </c>
      <c r="G19" s="25"/>
      <c r="H19" s="25"/>
      <c r="J19" s="40" t="s">
        <v>38</v>
      </c>
      <c r="K19" s="41"/>
      <c r="L19" s="42"/>
      <c r="M19" s="30">
        <f>(M6+M7)*U3/100</f>
        <v>1571.4991946382015</v>
      </c>
      <c r="N19" s="31"/>
      <c r="O19" s="30">
        <f>M10*U4/100</f>
        <v>4370.7123022798014</v>
      </c>
      <c r="P19" s="31"/>
      <c r="Q19" s="30">
        <f>(N6+N7)*U3/100</f>
        <v>6064.3750972576745</v>
      </c>
      <c r="R19" s="31"/>
      <c r="S19" s="30">
        <f>N10*U4/100</f>
        <v>3652.5246009853831</v>
      </c>
      <c r="T19" s="31"/>
      <c r="U19" s="30">
        <f>(O6+O7)*U3/100</f>
        <v>2348.6141809977516</v>
      </c>
      <c r="V19" s="31"/>
      <c r="W19" s="30">
        <f>O10*U4/100</f>
        <v>5331.9248555412414</v>
      </c>
      <c r="X19" s="31"/>
    </row>
    <row r="20" spans="1:24" x14ac:dyDescent="0.25">
      <c r="J20" s="39" t="s">
        <v>39</v>
      </c>
      <c r="K20" s="39"/>
      <c r="L20" s="39"/>
      <c r="M20" s="30">
        <f>(M6+M7)*U7/100</f>
        <v>1130.0240550649066</v>
      </c>
      <c r="N20" s="31"/>
      <c r="O20" s="30">
        <f>M10*U8/100</f>
        <v>3142.8651418948903</v>
      </c>
      <c r="P20" s="31"/>
      <c r="Q20" s="30">
        <f>(N6+N7)*U7/100</f>
        <v>4360.7338535197041</v>
      </c>
      <c r="R20" s="31"/>
      <c r="S20" s="30">
        <f>N10*U8/100</f>
        <v>2626.4351104424672</v>
      </c>
      <c r="T20" s="31"/>
      <c r="U20" s="30">
        <f>(O6+O7)*U7/100</f>
        <v>1688.8271592178824</v>
      </c>
      <c r="V20" s="31"/>
      <c r="W20" s="30">
        <f>O10*U8/100</f>
        <v>3834.0480014991249</v>
      </c>
      <c r="X20" s="31"/>
    </row>
    <row r="22" spans="1:24" x14ac:dyDescent="0.25">
      <c r="A22" s="57" t="s">
        <v>47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M22" s="57" t="s">
        <v>58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4" x14ac:dyDescent="0.25">
      <c r="A23" s="38" t="s">
        <v>48</v>
      </c>
      <c r="B23" s="38"/>
      <c r="C23" s="38"/>
      <c r="D23" s="57" t="s">
        <v>49</v>
      </c>
      <c r="E23" s="57"/>
      <c r="F23" s="57"/>
      <c r="G23" s="57"/>
      <c r="H23" s="57"/>
      <c r="I23" s="57"/>
      <c r="J23" s="57"/>
      <c r="K23" s="57"/>
      <c r="M23" s="38" t="s">
        <v>48</v>
      </c>
      <c r="N23" s="38"/>
      <c r="O23" s="38"/>
      <c r="P23" s="57" t="s">
        <v>49</v>
      </c>
      <c r="Q23" s="57"/>
      <c r="R23" s="57"/>
      <c r="S23" s="57"/>
      <c r="T23" s="57"/>
      <c r="U23" s="57"/>
      <c r="V23" s="57"/>
      <c r="W23" s="57"/>
    </row>
    <row r="24" spans="1:24" x14ac:dyDescent="0.25">
      <c r="A24" s="38"/>
      <c r="B24" s="38"/>
      <c r="C24" s="38"/>
      <c r="D24" s="79" t="s">
        <v>50</v>
      </c>
      <c r="E24" s="79"/>
      <c r="F24" s="38" t="s">
        <v>51</v>
      </c>
      <c r="G24" s="38"/>
      <c r="H24" s="38" t="s">
        <v>52</v>
      </c>
      <c r="I24" s="38"/>
      <c r="J24" s="38" t="s">
        <v>51</v>
      </c>
      <c r="K24" s="38"/>
      <c r="M24" s="38"/>
      <c r="N24" s="38"/>
      <c r="O24" s="38"/>
      <c r="P24" s="79" t="s">
        <v>50</v>
      </c>
      <c r="Q24" s="79"/>
      <c r="R24" s="38" t="s">
        <v>51</v>
      </c>
      <c r="S24" s="38"/>
      <c r="T24" s="38" t="s">
        <v>52</v>
      </c>
      <c r="U24" s="38"/>
      <c r="V24" s="38" t="s">
        <v>51</v>
      </c>
      <c r="W24" s="38"/>
    </row>
    <row r="25" spans="1:24" x14ac:dyDescent="0.25">
      <c r="A25" s="38"/>
      <c r="B25" s="38"/>
      <c r="C25" s="38"/>
      <c r="D25" s="79"/>
      <c r="E25" s="79"/>
      <c r="F25" s="38"/>
      <c r="G25" s="38"/>
      <c r="H25" s="38"/>
      <c r="I25" s="38"/>
      <c r="J25" s="38"/>
      <c r="K25" s="38"/>
      <c r="M25" s="38"/>
      <c r="N25" s="38"/>
      <c r="O25" s="38"/>
      <c r="P25" s="79"/>
      <c r="Q25" s="79"/>
      <c r="R25" s="38"/>
      <c r="S25" s="38"/>
      <c r="T25" s="38"/>
      <c r="U25" s="38"/>
      <c r="V25" s="38"/>
      <c r="W25" s="38"/>
    </row>
    <row r="26" spans="1:24" x14ac:dyDescent="0.25">
      <c r="A26" s="57" t="s">
        <v>29</v>
      </c>
      <c r="B26" s="57"/>
      <c r="C26" s="57"/>
      <c r="D26" s="90">
        <f>M4</f>
        <v>18.700000000000003</v>
      </c>
      <c r="E26" s="91"/>
      <c r="F26" s="100">
        <f>D26/D43*100</f>
        <v>3.8684753027004845E-2</v>
      </c>
      <c r="G26" s="101"/>
      <c r="H26" s="90">
        <f>D26</f>
        <v>18.700000000000003</v>
      </c>
      <c r="I26" s="91"/>
      <c r="J26" s="100">
        <f>H26/H43*100</f>
        <v>3.502389816176657E-2</v>
      </c>
      <c r="K26" s="101"/>
      <c r="M26" s="57" t="s">
        <v>29</v>
      </c>
      <c r="N26" s="57"/>
      <c r="O26" s="57"/>
      <c r="P26" s="90">
        <f>N4</f>
        <v>300.3</v>
      </c>
      <c r="Q26" s="91"/>
      <c r="R26" s="100">
        <f>P26/P43*100</f>
        <v>0.61320411630249549</v>
      </c>
      <c r="S26" s="101"/>
      <c r="T26" s="90">
        <f>P26</f>
        <v>300.3</v>
      </c>
      <c r="U26" s="91"/>
      <c r="V26" s="100">
        <f>T26/T43*100</f>
        <v>0.67303442391888613</v>
      </c>
      <c r="W26" s="101"/>
    </row>
    <row r="27" spans="1:24" ht="15" customHeight="1" x14ac:dyDescent="0.25">
      <c r="A27" s="79" t="s">
        <v>53</v>
      </c>
      <c r="B27" s="79"/>
      <c r="C27" s="79"/>
      <c r="D27" s="92">
        <f>M5</f>
        <v>1237.5</v>
      </c>
      <c r="E27" s="93"/>
      <c r="F27" s="96">
        <f>D27/D43*100</f>
        <v>2.5600204209047317</v>
      </c>
      <c r="G27" s="97"/>
      <c r="H27" s="92">
        <f>D27</f>
        <v>1237.5</v>
      </c>
      <c r="I27" s="93"/>
      <c r="J27" s="96">
        <f>H27/H43*100</f>
        <v>2.3177579665874934</v>
      </c>
      <c r="K27" s="97"/>
      <c r="M27" s="79" t="s">
        <v>53</v>
      </c>
      <c r="N27" s="79"/>
      <c r="O27" s="79"/>
      <c r="P27" s="92">
        <f>N5</f>
        <v>3543.1000000000004</v>
      </c>
      <c r="Q27" s="93"/>
      <c r="R27" s="96">
        <f>P27/P43*100</f>
        <v>7.2349101047997726</v>
      </c>
      <c r="S27" s="97"/>
      <c r="T27" s="92">
        <f>P27</f>
        <v>3543.1000000000004</v>
      </c>
      <c r="U27" s="93"/>
      <c r="V27" s="96">
        <f>T27/T43*100</f>
        <v>7.9408200712188002</v>
      </c>
      <c r="W27" s="97"/>
    </row>
    <row r="28" spans="1:24" x14ac:dyDescent="0.25">
      <c r="A28" s="79"/>
      <c r="B28" s="79"/>
      <c r="C28" s="79"/>
      <c r="D28" s="94"/>
      <c r="E28" s="95"/>
      <c r="F28" s="98"/>
      <c r="G28" s="99"/>
      <c r="H28" s="94"/>
      <c r="I28" s="95"/>
      <c r="J28" s="98"/>
      <c r="K28" s="99"/>
      <c r="M28" s="79"/>
      <c r="N28" s="79"/>
      <c r="O28" s="79"/>
      <c r="P28" s="94"/>
      <c r="Q28" s="95"/>
      <c r="R28" s="98"/>
      <c r="S28" s="99"/>
      <c r="T28" s="94"/>
      <c r="U28" s="95"/>
      <c r="V28" s="98"/>
      <c r="W28" s="99"/>
    </row>
    <row r="29" spans="1:24" x14ac:dyDescent="0.25">
      <c r="A29" s="79" t="s">
        <v>31</v>
      </c>
      <c r="B29" s="79"/>
      <c r="C29" s="79"/>
      <c r="D29" s="92">
        <f>M6</f>
        <v>3276</v>
      </c>
      <c r="E29" s="93"/>
      <c r="F29" s="96">
        <f>D29/D43*100</f>
        <v>6.7770722415223448</v>
      </c>
      <c r="G29" s="97"/>
      <c r="H29" s="92">
        <f>D29</f>
        <v>3276</v>
      </c>
      <c r="I29" s="93"/>
      <c r="J29" s="96">
        <f>H29/$H$43*100</f>
        <v>6.1357374533661639</v>
      </c>
      <c r="K29" s="97"/>
      <c r="M29" s="79" t="s">
        <v>31</v>
      </c>
      <c r="N29" s="79"/>
      <c r="O29" s="79"/>
      <c r="P29" s="92">
        <f>N6</f>
        <v>12642</v>
      </c>
      <c r="Q29" s="93"/>
      <c r="R29" s="96">
        <f>P29/P43*100</f>
        <v>25.814606854133025</v>
      </c>
      <c r="S29" s="97"/>
      <c r="T29" s="92">
        <f>P29</f>
        <v>12642</v>
      </c>
      <c r="U29" s="93"/>
      <c r="V29" s="96">
        <f>T29/T43*100</f>
        <v>28.333337286655208</v>
      </c>
      <c r="W29" s="97"/>
    </row>
    <row r="30" spans="1:24" x14ac:dyDescent="0.25">
      <c r="A30" s="79"/>
      <c r="B30" s="79"/>
      <c r="C30" s="79"/>
      <c r="D30" s="94"/>
      <c r="E30" s="95"/>
      <c r="F30" s="98"/>
      <c r="G30" s="99"/>
      <c r="H30" s="94"/>
      <c r="I30" s="95"/>
      <c r="J30" s="98"/>
      <c r="K30" s="99"/>
      <c r="M30" s="79"/>
      <c r="N30" s="79"/>
      <c r="O30" s="79"/>
      <c r="P30" s="94"/>
      <c r="Q30" s="95"/>
      <c r="R30" s="98"/>
      <c r="S30" s="99"/>
      <c r="T30" s="94"/>
      <c r="U30" s="95"/>
      <c r="V30" s="98"/>
      <c r="W30" s="99"/>
    </row>
    <row r="31" spans="1:24" x14ac:dyDescent="0.25">
      <c r="A31" s="79" t="s">
        <v>32</v>
      </c>
      <c r="B31" s="79"/>
      <c r="C31" s="79"/>
      <c r="D31" s="96">
        <f>M7</f>
        <v>393.12001597073396</v>
      </c>
      <c r="E31" s="97"/>
      <c r="F31" s="96">
        <f>D31/D43*100</f>
        <v>0.81324870202139254</v>
      </c>
      <c r="G31" s="97"/>
      <c r="H31" s="96">
        <f>D31</f>
        <v>393.12001597073396</v>
      </c>
      <c r="I31" s="97"/>
      <c r="J31" s="96">
        <f>H31/$H$43*100</f>
        <v>0.73628852431609793</v>
      </c>
      <c r="K31" s="97"/>
      <c r="M31" s="79" t="s">
        <v>32</v>
      </c>
      <c r="N31" s="79"/>
      <c r="O31" s="79"/>
      <c r="P31" s="96">
        <f>N7</f>
        <v>1517.0400616306529</v>
      </c>
      <c r="Q31" s="97"/>
      <c r="R31" s="96">
        <f>P31/P43*100</f>
        <v>3.0977529483440152</v>
      </c>
      <c r="S31" s="97"/>
      <c r="T31" s="96">
        <f>P31</f>
        <v>1517.0400616306529</v>
      </c>
      <c r="U31" s="97"/>
      <c r="V31" s="96">
        <f>T31/T43*100</f>
        <v>3.4000006125256679</v>
      </c>
      <c r="W31" s="97"/>
    </row>
    <row r="32" spans="1:24" x14ac:dyDescent="0.25">
      <c r="A32" s="79"/>
      <c r="B32" s="79"/>
      <c r="C32" s="79"/>
      <c r="D32" s="98"/>
      <c r="E32" s="99"/>
      <c r="F32" s="98"/>
      <c r="G32" s="99"/>
      <c r="H32" s="98"/>
      <c r="I32" s="99"/>
      <c r="J32" s="98"/>
      <c r="K32" s="99"/>
      <c r="M32" s="79"/>
      <c r="N32" s="79"/>
      <c r="O32" s="79"/>
      <c r="P32" s="98"/>
      <c r="Q32" s="99"/>
      <c r="R32" s="98"/>
      <c r="S32" s="99"/>
      <c r="T32" s="98"/>
      <c r="U32" s="99"/>
      <c r="V32" s="98"/>
      <c r="W32" s="99"/>
    </row>
    <row r="33" spans="1:23" x14ac:dyDescent="0.25">
      <c r="A33" s="57" t="s">
        <v>33</v>
      </c>
      <c r="B33" s="57"/>
      <c r="C33" s="57"/>
      <c r="D33" s="100">
        <f>M8</f>
        <v>1100.7360047912202</v>
      </c>
      <c r="E33" s="101"/>
      <c r="F33" s="100">
        <f>D33/D43*100</f>
        <v>2.2770962830631212</v>
      </c>
      <c r="G33" s="101"/>
      <c r="H33" s="100">
        <f>D33</f>
        <v>1100.7360047912202</v>
      </c>
      <c r="I33" s="101"/>
      <c r="J33" s="100">
        <f>H33/H43*100</f>
        <v>2.0616077933046788</v>
      </c>
      <c r="K33" s="101"/>
      <c r="M33" s="57" t="s">
        <v>33</v>
      </c>
      <c r="N33" s="57"/>
      <c r="O33" s="57"/>
      <c r="P33" s="100">
        <f>N8</f>
        <v>4247.7120184891955</v>
      </c>
      <c r="Q33" s="101"/>
      <c r="R33" s="100">
        <f>P33/P43*100</f>
        <v>8.6737079407431121</v>
      </c>
      <c r="S33" s="101"/>
      <c r="T33" s="100">
        <f>P33</f>
        <v>4247.7120184891955</v>
      </c>
      <c r="U33" s="101"/>
      <c r="V33" s="100">
        <f>T33/T43*100</f>
        <v>9.5200013697542616</v>
      </c>
      <c r="W33" s="101"/>
    </row>
    <row r="34" spans="1:23" x14ac:dyDescent="0.25">
      <c r="A34" s="38" t="s">
        <v>34</v>
      </c>
      <c r="B34" s="38"/>
      <c r="C34" s="38"/>
      <c r="D34" s="92">
        <f>M9</f>
        <v>37310</v>
      </c>
      <c r="E34" s="93"/>
      <c r="F34" s="96">
        <f>D34/D43*100</f>
        <v>77.183322750671152</v>
      </c>
      <c r="G34" s="97"/>
      <c r="H34" s="92">
        <f>D34</f>
        <v>37310</v>
      </c>
      <c r="I34" s="93"/>
      <c r="J34" s="96">
        <f>H34/H43*100</f>
        <v>69.87923210778132</v>
      </c>
      <c r="K34" s="97"/>
      <c r="M34" s="38" t="s">
        <v>34</v>
      </c>
      <c r="N34" s="38"/>
      <c r="O34" s="38"/>
      <c r="P34" s="92">
        <f>N9</f>
        <v>13965</v>
      </c>
      <c r="Q34" s="93"/>
      <c r="R34" s="96">
        <f>P34/P43*100</f>
        <v>28.516135478402759</v>
      </c>
      <c r="S34" s="97"/>
      <c r="T34" s="92">
        <f>P34</f>
        <v>13965</v>
      </c>
      <c r="U34" s="93"/>
      <c r="V34" s="96">
        <f>T34/T43*100</f>
        <v>31.298453979444709</v>
      </c>
      <c r="W34" s="97"/>
    </row>
    <row r="35" spans="1:23" x14ac:dyDescent="0.25">
      <c r="A35" s="38"/>
      <c r="B35" s="38"/>
      <c r="C35" s="38"/>
      <c r="D35" s="94"/>
      <c r="E35" s="95"/>
      <c r="F35" s="98"/>
      <c r="G35" s="99"/>
      <c r="H35" s="94"/>
      <c r="I35" s="95"/>
      <c r="J35" s="98"/>
      <c r="K35" s="99"/>
      <c r="M35" s="38"/>
      <c r="N35" s="38"/>
      <c r="O35" s="38"/>
      <c r="P35" s="94"/>
      <c r="Q35" s="95"/>
      <c r="R35" s="98"/>
      <c r="S35" s="99"/>
      <c r="T35" s="94"/>
      <c r="U35" s="95"/>
      <c r="V35" s="98"/>
      <c r="W35" s="99"/>
    </row>
    <row r="36" spans="1:23" x14ac:dyDescent="0.25">
      <c r="A36" s="89" t="s">
        <v>38</v>
      </c>
      <c r="B36" s="89"/>
      <c r="C36" s="89"/>
      <c r="D36" s="100">
        <f>M19</f>
        <v>1571.4991946382015</v>
      </c>
      <c r="E36" s="101"/>
      <c r="F36" s="100">
        <f>D36/D43*100</f>
        <v>3.2509656805730391</v>
      </c>
      <c r="G36" s="101"/>
      <c r="H36" s="100">
        <f>O19</f>
        <v>4370.7123022798014</v>
      </c>
      <c r="I36" s="101"/>
      <c r="J36" s="100">
        <f>H36/H43*100</f>
        <v>8.1860632390068488</v>
      </c>
      <c r="K36" s="101"/>
      <c r="M36" s="89" t="s">
        <v>38</v>
      </c>
      <c r="N36" s="89"/>
      <c r="O36" s="89"/>
      <c r="P36" s="100">
        <f>Q19</f>
        <v>6064.3750972576745</v>
      </c>
      <c r="Q36" s="101"/>
      <c r="R36" s="100">
        <f>P36/P43*100</f>
        <v>12.383282625510331</v>
      </c>
      <c r="S36" s="101"/>
      <c r="T36" s="100">
        <f>S19</f>
        <v>3652.5246009853831</v>
      </c>
      <c r="U36" s="101"/>
      <c r="V36" s="100">
        <f>T36/T43*100</f>
        <v>8.1860632390068488</v>
      </c>
      <c r="W36" s="101"/>
    </row>
    <row r="37" spans="1:23" x14ac:dyDescent="0.25">
      <c r="A37" s="79" t="s">
        <v>54</v>
      </c>
      <c r="B37" s="79"/>
      <c r="C37" s="79"/>
      <c r="D37" s="96">
        <f>M10+D36</f>
        <v>44907.555215400156</v>
      </c>
      <c r="E37" s="97"/>
      <c r="F37" s="96">
        <f>D37/D43*100</f>
        <v>92.900410831782779</v>
      </c>
      <c r="G37" s="97"/>
      <c r="H37" s="96">
        <f>M10+H36</f>
        <v>47706.768323041761</v>
      </c>
      <c r="I37" s="97"/>
      <c r="J37" s="96">
        <f>H37/H43*100</f>
        <v>89.351710982524381</v>
      </c>
      <c r="K37" s="97"/>
      <c r="M37" s="79" t="s">
        <v>54</v>
      </c>
      <c r="N37" s="79"/>
      <c r="O37" s="79"/>
      <c r="P37" s="96">
        <f>P36+N10</f>
        <v>42279.527177377524</v>
      </c>
      <c r="Q37" s="97"/>
      <c r="R37" s="96">
        <f>P37/P43*100</f>
        <v>86.333600068235512</v>
      </c>
      <c r="S37" s="97"/>
      <c r="T37" s="96">
        <f>T36+N10</f>
        <v>39867.676681105229</v>
      </c>
      <c r="U37" s="97"/>
      <c r="V37" s="96">
        <f>T37/T43*100</f>
        <v>89.351710982524367</v>
      </c>
      <c r="W37" s="97"/>
    </row>
    <row r="38" spans="1:23" x14ac:dyDescent="0.25">
      <c r="A38" s="79"/>
      <c r="B38" s="79"/>
      <c r="C38" s="79"/>
      <c r="D38" s="98"/>
      <c r="E38" s="99"/>
      <c r="F38" s="98"/>
      <c r="G38" s="99"/>
      <c r="H38" s="98"/>
      <c r="I38" s="99"/>
      <c r="J38" s="98"/>
      <c r="K38" s="99"/>
      <c r="M38" s="79"/>
      <c r="N38" s="79"/>
      <c r="O38" s="79"/>
      <c r="P38" s="98"/>
      <c r="Q38" s="99"/>
      <c r="R38" s="98"/>
      <c r="S38" s="99"/>
      <c r="T38" s="98"/>
      <c r="U38" s="99"/>
      <c r="V38" s="98"/>
      <c r="W38" s="99"/>
    </row>
    <row r="39" spans="1:23" x14ac:dyDescent="0.25">
      <c r="A39" s="57" t="s">
        <v>39</v>
      </c>
      <c r="B39" s="57"/>
      <c r="C39" s="57"/>
      <c r="D39" s="100">
        <f>M20</f>
        <v>1130.0240550649066</v>
      </c>
      <c r="E39" s="101"/>
      <c r="F39" s="100">
        <f>D39/D43*100</f>
        <v>2.3376845713775629</v>
      </c>
      <c r="G39" s="101"/>
      <c r="H39" s="100">
        <f>O20</f>
        <v>3142.8651418948903</v>
      </c>
      <c r="I39" s="101"/>
      <c r="J39" s="100">
        <f>H39/H43*100</f>
        <v>5.886384420635971</v>
      </c>
      <c r="K39" s="101"/>
      <c r="M39" s="57" t="s">
        <v>39</v>
      </c>
      <c r="N39" s="57"/>
      <c r="O39" s="57"/>
      <c r="P39" s="100">
        <f>Q20</f>
        <v>4360.7338535197041</v>
      </c>
      <c r="Q39" s="101"/>
      <c r="R39" s="100">
        <f>P39/P43*100</f>
        <v>8.9044953349248281</v>
      </c>
      <c r="S39" s="101"/>
      <c r="T39" s="100">
        <f>S20</f>
        <v>2626.4351104424672</v>
      </c>
      <c r="U39" s="101"/>
      <c r="V39" s="100">
        <f>T39/T43*100</f>
        <v>5.886384420635971</v>
      </c>
      <c r="W39" s="101"/>
    </row>
    <row r="40" spans="1:23" x14ac:dyDescent="0.25">
      <c r="A40" s="79" t="s">
        <v>55</v>
      </c>
      <c r="B40" s="79"/>
      <c r="C40" s="79"/>
      <c r="D40" s="96">
        <f>D37+D39</f>
        <v>46037.579270465059</v>
      </c>
      <c r="E40" s="97"/>
      <c r="F40" s="96">
        <f>D40/D43*100</f>
        <v>95.238095403160344</v>
      </c>
      <c r="G40" s="97"/>
      <c r="H40" s="96">
        <f>H37+H39</f>
        <v>50849.633464936647</v>
      </c>
      <c r="I40" s="97"/>
      <c r="J40" s="96">
        <f>H40/H43*100</f>
        <v>95.238095403160344</v>
      </c>
      <c r="K40" s="97"/>
      <c r="M40" s="79" t="s">
        <v>55</v>
      </c>
      <c r="N40" s="79"/>
      <c r="O40" s="79"/>
      <c r="P40" s="96">
        <f>P37+P39</f>
        <v>46640.261030897229</v>
      </c>
      <c r="Q40" s="97"/>
      <c r="R40" s="96">
        <f>P40/P43*100</f>
        <v>95.238095403160344</v>
      </c>
      <c r="S40" s="97"/>
      <c r="T40" s="96">
        <f>T37+T39</f>
        <v>42494.111791547693</v>
      </c>
      <c r="U40" s="97"/>
      <c r="V40" s="96">
        <f>T40/T43*100</f>
        <v>95.238095403160344</v>
      </c>
      <c r="W40" s="97"/>
    </row>
    <row r="41" spans="1:23" x14ac:dyDescent="0.25">
      <c r="A41" s="79"/>
      <c r="B41" s="79"/>
      <c r="C41" s="79"/>
      <c r="D41" s="98"/>
      <c r="E41" s="99"/>
      <c r="F41" s="98"/>
      <c r="G41" s="99"/>
      <c r="H41" s="98"/>
      <c r="I41" s="99"/>
      <c r="J41" s="98"/>
      <c r="K41" s="99"/>
      <c r="M41" s="79"/>
      <c r="N41" s="79"/>
      <c r="O41" s="79"/>
      <c r="P41" s="98"/>
      <c r="Q41" s="99"/>
      <c r="R41" s="98"/>
      <c r="S41" s="99"/>
      <c r="T41" s="98"/>
      <c r="U41" s="99"/>
      <c r="V41" s="98"/>
      <c r="W41" s="99"/>
    </row>
    <row r="42" spans="1:23" x14ac:dyDescent="0.25">
      <c r="A42" s="15" t="s">
        <v>56</v>
      </c>
      <c r="B42" s="15"/>
      <c r="C42" s="15"/>
      <c r="D42" s="100">
        <f>D40*(F13/F16)</f>
        <v>2301.8788797420971</v>
      </c>
      <c r="E42" s="101"/>
      <c r="F42" s="100">
        <f>D42/D43*100</f>
        <v>4.7619045968396572</v>
      </c>
      <c r="G42" s="101"/>
      <c r="H42" s="100">
        <f>H40*(F13/F16)</f>
        <v>2542.4815807084942</v>
      </c>
      <c r="I42" s="101"/>
      <c r="J42" s="100">
        <f>H42/H43*100</f>
        <v>4.7619045968396572</v>
      </c>
      <c r="K42" s="101"/>
      <c r="M42" s="15" t="s">
        <v>56</v>
      </c>
      <c r="N42" s="15"/>
      <c r="O42" s="15"/>
      <c r="P42" s="100">
        <f>P40*(F13/F16)</f>
        <v>2332.0129666669195</v>
      </c>
      <c r="Q42" s="101"/>
      <c r="R42" s="100">
        <f>P42/P43*100</f>
        <v>4.7619045968396581</v>
      </c>
      <c r="S42" s="101"/>
      <c r="T42" s="100">
        <f>T40*(F13/F16)</f>
        <v>2124.7055122447823</v>
      </c>
      <c r="U42" s="101"/>
      <c r="V42" s="100">
        <f>T42/T43*100</f>
        <v>4.7619045968396572</v>
      </c>
      <c r="W42" s="101"/>
    </row>
    <row r="43" spans="1:23" x14ac:dyDescent="0.25">
      <c r="A43" s="38" t="s">
        <v>57</v>
      </c>
      <c r="B43" s="38"/>
      <c r="C43" s="38"/>
      <c r="D43" s="96">
        <f>D40+D42</f>
        <v>48339.45815020716</v>
      </c>
      <c r="E43" s="97"/>
      <c r="F43" s="92">
        <v>100</v>
      </c>
      <c r="G43" s="93"/>
      <c r="H43" s="96">
        <f>H40+H42</f>
        <v>53392.115045645143</v>
      </c>
      <c r="I43" s="97"/>
      <c r="J43" s="92">
        <v>100</v>
      </c>
      <c r="K43" s="93"/>
      <c r="M43" s="38" t="s">
        <v>57</v>
      </c>
      <c r="N43" s="38"/>
      <c r="O43" s="38"/>
      <c r="P43" s="96">
        <f>P40+P42</f>
        <v>48972.273997564145</v>
      </c>
      <c r="Q43" s="97"/>
      <c r="R43" s="92">
        <v>100</v>
      </c>
      <c r="S43" s="93"/>
      <c r="T43" s="96">
        <f>T40+T42</f>
        <v>44618.817303792479</v>
      </c>
      <c r="U43" s="97"/>
      <c r="V43" s="92">
        <v>100</v>
      </c>
      <c r="W43" s="93"/>
    </row>
    <row r="44" spans="1:23" x14ac:dyDescent="0.25">
      <c r="A44" s="38"/>
      <c r="B44" s="38"/>
      <c r="C44" s="38"/>
      <c r="D44" s="98"/>
      <c r="E44" s="99"/>
      <c r="F44" s="94"/>
      <c r="G44" s="95"/>
      <c r="H44" s="98"/>
      <c r="I44" s="99"/>
      <c r="J44" s="94"/>
      <c r="K44" s="95"/>
      <c r="M44" s="38"/>
      <c r="N44" s="38"/>
      <c r="O44" s="38"/>
      <c r="P44" s="98"/>
      <c r="Q44" s="99"/>
      <c r="R44" s="94"/>
      <c r="S44" s="95"/>
      <c r="T44" s="98"/>
      <c r="U44" s="99"/>
      <c r="V44" s="94"/>
      <c r="W44" s="95"/>
    </row>
    <row r="47" spans="1:23" x14ac:dyDescent="0.25">
      <c r="A47" s="57" t="s">
        <v>80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M47" s="43" t="s">
        <v>59</v>
      </c>
      <c r="N47" s="43"/>
      <c r="O47" s="43"/>
      <c r="P47" s="43"/>
      <c r="Q47" s="43" t="s">
        <v>25</v>
      </c>
      <c r="R47" s="43"/>
      <c r="S47" s="43"/>
      <c r="T47" s="43"/>
      <c r="U47" s="43"/>
      <c r="V47" s="43"/>
    </row>
    <row r="48" spans="1:23" x14ac:dyDescent="0.25">
      <c r="A48" s="38" t="s">
        <v>48</v>
      </c>
      <c r="B48" s="38"/>
      <c r="C48" s="38"/>
      <c r="D48" s="57" t="s">
        <v>49</v>
      </c>
      <c r="E48" s="57"/>
      <c r="F48" s="57"/>
      <c r="G48" s="57"/>
      <c r="H48" s="57"/>
      <c r="I48" s="57"/>
      <c r="J48" s="57"/>
      <c r="K48" s="57"/>
      <c r="M48" s="43"/>
      <c r="N48" s="43"/>
      <c r="O48" s="43"/>
      <c r="P48" s="43"/>
      <c r="Q48" s="43" t="s">
        <v>26</v>
      </c>
      <c r="R48" s="43"/>
      <c r="S48" s="43" t="s">
        <v>27</v>
      </c>
      <c r="T48" s="43"/>
      <c r="U48" s="43" t="s">
        <v>28</v>
      </c>
      <c r="V48" s="43"/>
    </row>
    <row r="49" spans="1:22" x14ac:dyDescent="0.25">
      <c r="A49" s="38"/>
      <c r="B49" s="38"/>
      <c r="C49" s="38"/>
      <c r="D49" s="79" t="s">
        <v>50</v>
      </c>
      <c r="E49" s="79"/>
      <c r="F49" s="38" t="s">
        <v>51</v>
      </c>
      <c r="G49" s="38"/>
      <c r="H49" s="38" t="s">
        <v>52</v>
      </c>
      <c r="I49" s="38"/>
      <c r="J49" s="38" t="s">
        <v>51</v>
      </c>
      <c r="K49" s="38"/>
      <c r="M49" s="43"/>
      <c r="N49" s="43"/>
      <c r="O49" s="43"/>
      <c r="P49" s="43"/>
      <c r="Q49" s="38" t="s">
        <v>61</v>
      </c>
      <c r="R49" s="38" t="s">
        <v>62</v>
      </c>
      <c r="S49" s="38" t="s">
        <v>61</v>
      </c>
      <c r="T49" s="38" t="s">
        <v>62</v>
      </c>
      <c r="U49" s="38" t="s">
        <v>61</v>
      </c>
      <c r="V49" s="38" t="s">
        <v>62</v>
      </c>
    </row>
    <row r="50" spans="1:22" x14ac:dyDescent="0.25">
      <c r="A50" s="38"/>
      <c r="B50" s="38"/>
      <c r="C50" s="38"/>
      <c r="D50" s="79"/>
      <c r="E50" s="79"/>
      <c r="F50" s="38"/>
      <c r="G50" s="38"/>
      <c r="H50" s="38"/>
      <c r="I50" s="38"/>
      <c r="J50" s="38"/>
      <c r="K50" s="38"/>
      <c r="M50" s="43"/>
      <c r="N50" s="43"/>
      <c r="O50" s="43"/>
      <c r="P50" s="43"/>
      <c r="Q50" s="38"/>
      <c r="R50" s="38"/>
      <c r="S50" s="38"/>
      <c r="T50" s="38"/>
      <c r="U50" s="38"/>
      <c r="V50" s="38"/>
    </row>
    <row r="51" spans="1:22" x14ac:dyDescent="0.25">
      <c r="A51" s="57" t="s">
        <v>29</v>
      </c>
      <c r="B51" s="57"/>
      <c r="C51" s="57"/>
      <c r="D51" s="90">
        <f>O4</f>
        <v>423.50000000000006</v>
      </c>
      <c r="E51" s="91"/>
      <c r="F51" s="100">
        <f>D51/D68*100</f>
        <v>0.70879588588801823</v>
      </c>
      <c r="G51" s="101"/>
      <c r="H51" s="90">
        <f>D51</f>
        <v>423.50000000000006</v>
      </c>
      <c r="I51" s="91"/>
      <c r="J51" s="100">
        <f>H51/H68*100</f>
        <v>0.65019629414253777</v>
      </c>
      <c r="K51" s="101"/>
      <c r="M51" s="43" t="s">
        <v>60</v>
      </c>
      <c r="N51" s="43"/>
      <c r="O51" s="43"/>
      <c r="P51" s="43"/>
      <c r="Q51" s="16">
        <f>M10</f>
        <v>43336.056020761956</v>
      </c>
      <c r="R51" s="16">
        <f>Q51</f>
        <v>43336.056020761956</v>
      </c>
      <c r="S51" s="16">
        <f>N10</f>
        <v>36215.152080119849</v>
      </c>
      <c r="T51" s="16">
        <f>S51</f>
        <v>36215.152080119849</v>
      </c>
      <c r="U51" s="16">
        <f>O10</f>
        <v>52866.576031028853</v>
      </c>
      <c r="V51" s="16">
        <f>U51</f>
        <v>52866.576031028853</v>
      </c>
    </row>
    <row r="52" spans="1:22" x14ac:dyDescent="0.25">
      <c r="A52" s="79" t="s">
        <v>53</v>
      </c>
      <c r="B52" s="79"/>
      <c r="C52" s="79"/>
      <c r="D52" s="92">
        <f>O5</f>
        <v>2557.5</v>
      </c>
      <c r="E52" s="93"/>
      <c r="F52" s="96">
        <f>D52/D68*100</f>
        <v>4.2803907394536163</v>
      </c>
      <c r="G52" s="97"/>
      <c r="H52" s="92">
        <f>D52</f>
        <v>2557.5</v>
      </c>
      <c r="I52" s="93"/>
      <c r="J52" s="96">
        <f>H52/H68*100</f>
        <v>3.9265100880036368</v>
      </c>
      <c r="K52" s="97"/>
      <c r="M52" s="90" t="s">
        <v>63</v>
      </c>
      <c r="N52" s="102"/>
      <c r="O52" s="102"/>
      <c r="P52" s="91"/>
      <c r="Q52" s="16">
        <f>D42+D39+D36</f>
        <v>5003.402129445205</v>
      </c>
      <c r="R52" s="16">
        <f>H42+H39+H36</f>
        <v>10056.059024883187</v>
      </c>
      <c r="S52" s="16">
        <f>P42+P39+P36</f>
        <v>12757.121917444298</v>
      </c>
      <c r="T52" s="16">
        <f>T42+T39+T36</f>
        <v>8403.6652236726331</v>
      </c>
      <c r="U52" s="16">
        <f>D67+D64+D61</f>
        <v>6882.6421052214937</v>
      </c>
      <c r="V52" s="16">
        <f>H67+H64+H61</f>
        <v>12267.600188554341</v>
      </c>
    </row>
    <row r="53" spans="1:22" x14ac:dyDescent="0.25">
      <c r="A53" s="79"/>
      <c r="B53" s="79"/>
      <c r="C53" s="79"/>
      <c r="D53" s="94"/>
      <c r="E53" s="95"/>
      <c r="F53" s="98"/>
      <c r="G53" s="99"/>
      <c r="H53" s="94"/>
      <c r="I53" s="95"/>
      <c r="J53" s="98"/>
      <c r="K53" s="99"/>
      <c r="M53" s="90" t="s">
        <v>64</v>
      </c>
      <c r="N53" s="102"/>
      <c r="O53" s="102"/>
      <c r="P53" s="91"/>
      <c r="Q53" s="16">
        <f>D43</f>
        <v>48339.45815020716</v>
      </c>
      <c r="R53" s="16">
        <f>H43</f>
        <v>53392.115045645143</v>
      </c>
      <c r="S53" s="16">
        <f>P43</f>
        <v>48972.273997564145</v>
      </c>
      <c r="T53" s="16">
        <f>T43</f>
        <v>44618.817303792479</v>
      </c>
      <c r="U53" s="16">
        <f>D68</f>
        <v>59749.21813625034</v>
      </c>
      <c r="V53" s="16">
        <f>H68</f>
        <v>65134.176219583198</v>
      </c>
    </row>
    <row r="54" spans="1:22" x14ac:dyDescent="0.25">
      <c r="A54" s="79" t="s">
        <v>31</v>
      </c>
      <c r="B54" s="79"/>
      <c r="C54" s="79"/>
      <c r="D54" s="92">
        <f>O6</f>
        <v>4896</v>
      </c>
      <c r="E54" s="93"/>
      <c r="F54" s="96">
        <f>D54/D68*100</f>
        <v>8.1942494859686832</v>
      </c>
      <c r="G54" s="97"/>
      <c r="H54" s="92">
        <f>D54</f>
        <v>4896</v>
      </c>
      <c r="I54" s="93"/>
      <c r="J54" s="96">
        <f>H54/H68*100</f>
        <v>7.5167911596738248</v>
      </c>
      <c r="K54" s="97"/>
      <c r="M54" s="90" t="s">
        <v>65</v>
      </c>
      <c r="N54" s="102"/>
      <c r="O54" s="102"/>
      <c r="P54" s="91"/>
      <c r="Q54" s="3">
        <v>20</v>
      </c>
      <c r="R54" s="3">
        <v>20</v>
      </c>
      <c r="S54" s="3">
        <v>20</v>
      </c>
      <c r="T54" s="3">
        <v>20</v>
      </c>
      <c r="U54" s="3">
        <v>20</v>
      </c>
      <c r="V54" s="3">
        <v>20</v>
      </c>
    </row>
    <row r="55" spans="1:22" ht="15.75" thickBot="1" x14ac:dyDescent="0.3">
      <c r="A55" s="79"/>
      <c r="B55" s="79"/>
      <c r="C55" s="79"/>
      <c r="D55" s="94"/>
      <c r="E55" s="95"/>
      <c r="F55" s="98"/>
      <c r="G55" s="99"/>
      <c r="H55" s="94"/>
      <c r="I55" s="95"/>
      <c r="J55" s="98"/>
      <c r="K55" s="99"/>
      <c r="M55" s="90" t="s">
        <v>69</v>
      </c>
      <c r="N55" s="102"/>
      <c r="O55" s="102"/>
      <c r="P55" s="91"/>
      <c r="Q55" s="16">
        <f>D43*(Q54/100)</f>
        <v>9667.891630041433</v>
      </c>
      <c r="R55" s="16">
        <f>H43*(R54/100)</f>
        <v>10678.42300912903</v>
      </c>
      <c r="S55" s="16">
        <f>P43*(S54/100)</f>
        <v>9794.4547995128287</v>
      </c>
      <c r="T55" s="16">
        <f>T43*(T54/100)</f>
        <v>8923.7634607584969</v>
      </c>
      <c r="U55" s="16">
        <f>D68*(T54/100)</f>
        <v>11949.843627250069</v>
      </c>
      <c r="V55" s="16">
        <f>H68*(T54/100)</f>
        <v>13026.835243916641</v>
      </c>
    </row>
    <row r="56" spans="1:22" ht="16.5" customHeight="1" x14ac:dyDescent="0.25">
      <c r="A56" s="79" t="s">
        <v>32</v>
      </c>
      <c r="B56" s="79"/>
      <c r="C56" s="79"/>
      <c r="D56" s="96">
        <f>O7</f>
        <v>587.52002386834965</v>
      </c>
      <c r="E56" s="97"/>
      <c r="F56" s="96">
        <f>D56/D68*100</f>
        <v>0.98330997826379329</v>
      </c>
      <c r="G56" s="97"/>
      <c r="H56" s="96">
        <f>D56</f>
        <v>587.52002386834965</v>
      </c>
      <c r="I56" s="97"/>
      <c r="J56" s="96">
        <f>H56/H68*100</f>
        <v>0.90201497580575263</v>
      </c>
      <c r="K56" s="97"/>
      <c r="M56" s="103" t="s">
        <v>68</v>
      </c>
      <c r="N56" s="104"/>
      <c r="O56" s="104"/>
      <c r="P56" s="105"/>
      <c r="Q56" s="111">
        <f t="shared" ref="Q56:V56" si="5">Q53+Q55</f>
        <v>58007.349780248594</v>
      </c>
      <c r="R56" s="111">
        <f t="shared" si="5"/>
        <v>64070.538054774173</v>
      </c>
      <c r="S56" s="111">
        <f t="shared" si="5"/>
        <v>58766.728797076976</v>
      </c>
      <c r="T56" s="111">
        <f t="shared" si="5"/>
        <v>53542.580764550978</v>
      </c>
      <c r="U56" s="111">
        <f t="shared" si="5"/>
        <v>71699.061763500416</v>
      </c>
      <c r="V56" s="111">
        <f t="shared" si="5"/>
        <v>78161.011463499832</v>
      </c>
    </row>
    <row r="57" spans="1:22" ht="15.75" customHeight="1" thickBot="1" x14ac:dyDescent="0.3">
      <c r="A57" s="79"/>
      <c r="B57" s="79"/>
      <c r="C57" s="79"/>
      <c r="D57" s="98"/>
      <c r="E57" s="99"/>
      <c r="F57" s="98"/>
      <c r="G57" s="99"/>
      <c r="H57" s="98"/>
      <c r="I57" s="99"/>
      <c r="J57" s="98"/>
      <c r="K57" s="99"/>
      <c r="M57" s="106"/>
      <c r="N57" s="107"/>
      <c r="O57" s="107"/>
      <c r="P57" s="108"/>
      <c r="Q57" s="112"/>
      <c r="R57" s="112"/>
      <c r="S57" s="112"/>
      <c r="T57" s="112"/>
      <c r="U57" s="112"/>
      <c r="V57" s="112"/>
    </row>
    <row r="58" spans="1:22" x14ac:dyDescent="0.25">
      <c r="A58" s="57" t="s">
        <v>33</v>
      </c>
      <c r="B58" s="57"/>
      <c r="C58" s="57"/>
      <c r="D58" s="100">
        <f>O8</f>
        <v>1645.056007160505</v>
      </c>
      <c r="E58" s="101"/>
      <c r="F58" s="100">
        <f>D58/D68*100</f>
        <v>2.7532678392697427</v>
      </c>
      <c r="G58" s="101"/>
      <c r="H58" s="100">
        <f>D58</f>
        <v>1645.056007160505</v>
      </c>
      <c r="I58" s="101"/>
      <c r="J58" s="100">
        <f>H58/H68*100</f>
        <v>2.5256418406438734</v>
      </c>
      <c r="K58" s="101"/>
      <c r="M58" s="90" t="s">
        <v>67</v>
      </c>
      <c r="N58" s="102"/>
      <c r="O58" s="102"/>
      <c r="P58" s="91"/>
      <c r="Q58" s="16">
        <f>Q56*(1+0.18)</f>
        <v>68448.672740693335</v>
      </c>
      <c r="R58" s="16">
        <f t="shared" ref="R58:V58" si="6">R56*(1+0.18)</f>
        <v>75603.234904633515</v>
      </c>
      <c r="S58" s="16">
        <f t="shared" si="6"/>
        <v>69344.739980550832</v>
      </c>
      <c r="T58" s="16">
        <f t="shared" si="6"/>
        <v>63180.245302170151</v>
      </c>
      <c r="U58" s="16">
        <f t="shared" si="6"/>
        <v>84604.892880930493</v>
      </c>
      <c r="V58" s="16">
        <f t="shared" si="6"/>
        <v>92229.9935269298</v>
      </c>
    </row>
    <row r="59" spans="1:22" x14ac:dyDescent="0.25">
      <c r="A59" s="38" t="s">
        <v>34</v>
      </c>
      <c r="B59" s="38"/>
      <c r="C59" s="38"/>
      <c r="D59" s="92">
        <f>O9</f>
        <v>42757</v>
      </c>
      <c r="E59" s="93"/>
      <c r="F59" s="96">
        <f>D59/D68*100</f>
        <v>71.560769050564318</v>
      </c>
      <c r="G59" s="97"/>
      <c r="H59" s="92">
        <f>D59</f>
        <v>42757</v>
      </c>
      <c r="I59" s="93"/>
      <c r="J59" s="96">
        <f>H59/H68*100</f>
        <v>65.644493385247898</v>
      </c>
      <c r="K59" s="97"/>
      <c r="M59" s="90" t="s">
        <v>66</v>
      </c>
      <c r="N59" s="102"/>
      <c r="O59" s="102"/>
      <c r="P59" s="91"/>
      <c r="Q59" s="3">
        <f>F3*Q56</f>
        <v>54932960.241895422</v>
      </c>
      <c r="R59" s="3">
        <f>R56*F3</f>
        <v>60674799.537871145</v>
      </c>
      <c r="S59" s="3">
        <f>G3*S56</f>
        <v>91558563.465845928</v>
      </c>
      <c r="T59" s="3">
        <f>T56*G3</f>
        <v>83419340.831170425</v>
      </c>
      <c r="U59" s="3">
        <f>H3*U56</f>
        <v>26600351.914258655</v>
      </c>
      <c r="V59" s="3">
        <f>V56*H3</f>
        <v>28997735.252958439</v>
      </c>
    </row>
    <row r="60" spans="1:22" x14ac:dyDescent="0.25">
      <c r="A60" s="38"/>
      <c r="B60" s="38"/>
      <c r="C60" s="38"/>
      <c r="D60" s="94"/>
      <c r="E60" s="95"/>
      <c r="F60" s="98"/>
      <c r="G60" s="99"/>
      <c r="H60" s="94"/>
      <c r="I60" s="95"/>
      <c r="J60" s="98"/>
      <c r="K60" s="99"/>
      <c r="M60" s="103" t="s">
        <v>70</v>
      </c>
      <c r="N60" s="104"/>
      <c r="O60" s="104"/>
      <c r="P60" s="105"/>
      <c r="Q60" s="109">
        <f>(Q56-Q53)*F3</f>
        <v>9155493.3736492395</v>
      </c>
      <c r="R60" s="109">
        <f>(R56-R53)*F3</f>
        <v>10112466.589645192</v>
      </c>
      <c r="S60" s="109">
        <f>(S56-S53)*G3</f>
        <v>15259760.57764099</v>
      </c>
      <c r="T60" s="109">
        <f>(T56-T53)*G3</f>
        <v>13903223.471861741</v>
      </c>
      <c r="U60" s="109">
        <f>(U56-U53)*H3</f>
        <v>4433391.985709778</v>
      </c>
      <c r="V60" s="109">
        <f>(V56-V53)*H3</f>
        <v>4832955.875493071</v>
      </c>
    </row>
    <row r="61" spans="1:22" x14ac:dyDescent="0.25">
      <c r="A61" s="89" t="s">
        <v>38</v>
      </c>
      <c r="B61" s="89"/>
      <c r="C61" s="89"/>
      <c r="D61" s="100">
        <f>U19</f>
        <v>2348.6141809977516</v>
      </c>
      <c r="E61" s="101"/>
      <c r="F61" s="100">
        <f>D61/D68*100</f>
        <v>3.9307864676020392</v>
      </c>
      <c r="G61" s="101"/>
      <c r="H61" s="100">
        <f>W19</f>
        <v>5331.9248555412414</v>
      </c>
      <c r="I61" s="101"/>
      <c r="J61" s="100">
        <f>H61/H68*100</f>
        <v>8.1860632390068488</v>
      </c>
      <c r="K61" s="101"/>
      <c r="M61" s="106"/>
      <c r="N61" s="107"/>
      <c r="O61" s="107"/>
      <c r="P61" s="108"/>
      <c r="Q61" s="110"/>
      <c r="R61" s="110"/>
      <c r="S61" s="110"/>
      <c r="T61" s="110"/>
      <c r="U61" s="110"/>
      <c r="V61" s="110"/>
    </row>
    <row r="62" spans="1:22" x14ac:dyDescent="0.25">
      <c r="A62" s="79" t="s">
        <v>54</v>
      </c>
      <c r="B62" s="79"/>
      <c r="C62" s="79"/>
      <c r="D62" s="96">
        <f>D61+O10</f>
        <v>55215.190212026602</v>
      </c>
      <c r="E62" s="97"/>
      <c r="F62" s="96">
        <f>D62/D68*100</f>
        <v>92.411569447010208</v>
      </c>
      <c r="G62" s="97"/>
      <c r="H62" s="96">
        <f>H61+O10</f>
        <v>58198.500886570095</v>
      </c>
      <c r="I62" s="97"/>
      <c r="J62" s="96">
        <f>H62/H68*100</f>
        <v>89.351710982524367</v>
      </c>
      <c r="K62" s="97"/>
    </row>
    <row r="63" spans="1:22" x14ac:dyDescent="0.25">
      <c r="A63" s="79"/>
      <c r="B63" s="79"/>
      <c r="C63" s="79"/>
      <c r="D63" s="98"/>
      <c r="E63" s="99"/>
      <c r="F63" s="98"/>
      <c r="G63" s="99"/>
      <c r="H63" s="98"/>
      <c r="I63" s="99"/>
      <c r="J63" s="98"/>
      <c r="K63" s="99"/>
      <c r="N63" t="s">
        <v>75</v>
      </c>
      <c r="O63">
        <f>(Q52*Q59)/(Q56-Q51)</f>
        <v>18733977.708905589</v>
      </c>
      <c r="P63">
        <f>(R52*R59)/(R56-R51)</f>
        <v>29426795.638054367</v>
      </c>
      <c r="Q63">
        <f t="shared" ref="Q63:T63" si="7">(S52*S59)/(S56-S51)</f>
        <v>51793440.936730154</v>
      </c>
      <c r="R63">
        <f t="shared" si="7"/>
        <v>40457717.431235626</v>
      </c>
      <c r="S63">
        <f t="shared" si="7"/>
        <v>9721536.7477014605</v>
      </c>
      <c r="T63">
        <f t="shared" si="7"/>
        <v>14063671.17410261</v>
      </c>
    </row>
    <row r="64" spans="1:22" x14ac:dyDescent="0.25">
      <c r="A64" s="57" t="s">
        <v>39</v>
      </c>
      <c r="B64" s="57"/>
      <c r="C64" s="57"/>
      <c r="D64" s="100">
        <f>U20</f>
        <v>1688.8271592178824</v>
      </c>
      <c r="E64" s="101"/>
      <c r="F64" s="100">
        <f>D64/D68*100</f>
        <v>2.8265259561501392</v>
      </c>
      <c r="G64" s="101"/>
      <c r="H64" s="100">
        <f>W20</f>
        <v>3834.0480014991249</v>
      </c>
      <c r="I64" s="101"/>
      <c r="J64" s="100">
        <f>H64/H68*100</f>
        <v>5.886384420635971</v>
      </c>
      <c r="K64" s="101"/>
    </row>
    <row r="65" spans="1:15" x14ac:dyDescent="0.25">
      <c r="A65" s="79" t="s">
        <v>55</v>
      </c>
      <c r="B65" s="79"/>
      <c r="C65" s="79"/>
      <c r="D65" s="96">
        <f>D62+D64</f>
        <v>56904.017371244481</v>
      </c>
      <c r="E65" s="97"/>
      <c r="F65" s="96">
        <f>D65/D68*100</f>
        <v>95.238095403160344</v>
      </c>
      <c r="G65" s="97"/>
      <c r="H65" s="96">
        <f>H62+H64</f>
        <v>62032.548888069221</v>
      </c>
      <c r="I65" s="97"/>
      <c r="J65" s="96">
        <f>H65/H68*100</f>
        <v>95.238095403160344</v>
      </c>
      <c r="K65" s="97"/>
    </row>
    <row r="66" spans="1:15" x14ac:dyDescent="0.25">
      <c r="A66" s="79"/>
      <c r="B66" s="79"/>
      <c r="C66" s="79"/>
      <c r="D66" s="98"/>
      <c r="E66" s="99"/>
      <c r="F66" s="98"/>
      <c r="G66" s="99"/>
      <c r="H66" s="98"/>
      <c r="I66" s="99"/>
      <c r="J66" s="98"/>
      <c r="K66" s="99"/>
    </row>
    <row r="67" spans="1:15" x14ac:dyDescent="0.25">
      <c r="A67" s="15" t="s">
        <v>56</v>
      </c>
      <c r="B67" s="15"/>
      <c r="C67" s="15"/>
      <c r="D67" s="100">
        <f>D65*(F13/F16)</f>
        <v>2845.2007650058595</v>
      </c>
      <c r="E67" s="101"/>
      <c r="F67" s="100">
        <f>D67/D68*100</f>
        <v>4.7619045968396581</v>
      </c>
      <c r="G67" s="101"/>
      <c r="H67" s="100">
        <f>H65*(F13/F16)</f>
        <v>3101.6273315139752</v>
      </c>
      <c r="I67" s="101"/>
      <c r="J67" s="100">
        <f>H67/H68*100</f>
        <v>4.7619045968396572</v>
      </c>
      <c r="K67" s="101"/>
    </row>
    <row r="68" spans="1:15" x14ac:dyDescent="0.25">
      <c r="A68" s="38" t="s">
        <v>57</v>
      </c>
      <c r="B68" s="38"/>
      <c r="C68" s="38"/>
      <c r="D68" s="96">
        <f>D65+D67</f>
        <v>59749.21813625034</v>
      </c>
      <c r="E68" s="97"/>
      <c r="F68" s="92">
        <v>100</v>
      </c>
      <c r="G68" s="93"/>
      <c r="H68" s="96">
        <f>H65+H67</f>
        <v>65134.176219583198</v>
      </c>
      <c r="I68" s="97"/>
      <c r="J68" s="92">
        <v>100</v>
      </c>
      <c r="K68" s="93"/>
    </row>
    <row r="69" spans="1:15" x14ac:dyDescent="0.25">
      <c r="A69" s="38"/>
      <c r="B69" s="38"/>
      <c r="C69" s="38"/>
      <c r="D69" s="98"/>
      <c r="E69" s="99"/>
      <c r="F69" s="94"/>
      <c r="G69" s="95"/>
      <c r="H69" s="98"/>
      <c r="I69" s="99"/>
      <c r="J69" s="94"/>
      <c r="K69" s="95"/>
    </row>
    <row r="74" spans="1:15" x14ac:dyDescent="0.25">
      <c r="A74" s="17"/>
      <c r="B74" s="36" t="s">
        <v>71</v>
      </c>
      <c r="C74" s="36"/>
      <c r="D74" s="37" t="s">
        <v>72</v>
      </c>
      <c r="E74" s="37"/>
      <c r="F74" s="37" t="s">
        <v>73</v>
      </c>
      <c r="G74" s="37"/>
      <c r="J74" t="s">
        <v>81</v>
      </c>
      <c r="K74" t="s">
        <v>82</v>
      </c>
      <c r="L74" t="s">
        <v>83</v>
      </c>
      <c r="M74" t="s">
        <v>84</v>
      </c>
      <c r="N74" t="s">
        <v>85</v>
      </c>
      <c r="O74" t="s">
        <v>86</v>
      </c>
    </row>
    <row r="75" spans="1:15" x14ac:dyDescent="0.25">
      <c r="A75" s="17" t="s">
        <v>74</v>
      </c>
      <c r="B75" s="18">
        <v>0</v>
      </c>
      <c r="C75" s="22">
        <f>F3</f>
        <v>947</v>
      </c>
      <c r="D75" s="18">
        <v>0</v>
      </c>
      <c r="E75" s="22">
        <f>G3</f>
        <v>1558</v>
      </c>
      <c r="F75" s="22">
        <v>0</v>
      </c>
      <c r="G75" s="22">
        <f>H3</f>
        <v>371</v>
      </c>
      <c r="J75">
        <v>323</v>
      </c>
      <c r="K75">
        <v>460</v>
      </c>
      <c r="L75">
        <v>882</v>
      </c>
      <c r="M75">
        <v>756</v>
      </c>
      <c r="N75">
        <v>136</v>
      </c>
      <c r="O75">
        <v>180</v>
      </c>
    </row>
    <row r="76" spans="1:15" ht="15.75" x14ac:dyDescent="0.25">
      <c r="A76" s="29" t="s">
        <v>79</v>
      </c>
      <c r="B76" s="20">
        <f t="shared" ref="B76:E77" si="8">B78+B80</f>
        <v>5003.402129445205</v>
      </c>
      <c r="C76" s="21">
        <f t="shared" si="8"/>
        <v>48339.45815020716</v>
      </c>
      <c r="D76" s="20">
        <f t="shared" si="8"/>
        <v>12757.121917444298</v>
      </c>
      <c r="E76" s="20">
        <f t="shared" si="8"/>
        <v>48972.273997564145</v>
      </c>
      <c r="F76" s="20">
        <f>F80</f>
        <v>6882.6421052214937</v>
      </c>
      <c r="G76" s="20">
        <f>G78+G80</f>
        <v>59749.218136250347</v>
      </c>
      <c r="J76">
        <v>19785</v>
      </c>
      <c r="K76">
        <v>31122</v>
      </c>
      <c r="L76">
        <v>33269</v>
      </c>
      <c r="M76">
        <v>25981</v>
      </c>
      <c r="N76">
        <v>26284</v>
      </c>
      <c r="O76">
        <v>37922</v>
      </c>
    </row>
    <row r="77" spans="1:15" ht="45" x14ac:dyDescent="0.25">
      <c r="A77" s="19" t="s">
        <v>79</v>
      </c>
      <c r="B77" s="20">
        <f t="shared" si="8"/>
        <v>10056.059024883187</v>
      </c>
      <c r="C77" s="21">
        <f t="shared" si="8"/>
        <v>53392.115045645143</v>
      </c>
      <c r="D77" s="20">
        <f t="shared" si="8"/>
        <v>8403.6652236726331</v>
      </c>
      <c r="E77" s="20">
        <f t="shared" si="8"/>
        <v>44618.817303792486</v>
      </c>
      <c r="F77" s="20">
        <f>F81</f>
        <v>12267.600188554341</v>
      </c>
      <c r="G77" s="20">
        <f>G79+G81</f>
        <v>65134.176219583198</v>
      </c>
    </row>
    <row r="78" spans="1:15" ht="60" x14ac:dyDescent="0.25">
      <c r="A78" s="17" t="s">
        <v>76</v>
      </c>
      <c r="B78" s="18">
        <v>0</v>
      </c>
      <c r="C78" s="23">
        <f>Q51</f>
        <v>43336.056020761956</v>
      </c>
      <c r="D78" s="22">
        <v>0</v>
      </c>
      <c r="E78" s="24">
        <f>S51</f>
        <v>36215.152080119849</v>
      </c>
      <c r="F78" s="22">
        <v>0</v>
      </c>
      <c r="G78" s="24">
        <f>U51</f>
        <v>52866.576031028853</v>
      </c>
    </row>
    <row r="79" spans="1:15" ht="60" x14ac:dyDescent="0.25">
      <c r="A79" s="26" t="s">
        <v>76</v>
      </c>
      <c r="B79" s="18">
        <v>0</v>
      </c>
      <c r="C79" s="23">
        <f>R51</f>
        <v>43336.056020761956</v>
      </c>
      <c r="D79" s="22">
        <v>0</v>
      </c>
      <c r="E79" s="24">
        <f>T51</f>
        <v>36215.152080119849</v>
      </c>
      <c r="F79" s="22">
        <v>0</v>
      </c>
      <c r="G79" s="24">
        <f>V51</f>
        <v>52866.576031028853</v>
      </c>
    </row>
    <row r="80" spans="1:15" ht="15.75" x14ac:dyDescent="0.25">
      <c r="A80" s="29" t="s">
        <v>77</v>
      </c>
      <c r="B80" s="24">
        <f>Q52</f>
        <v>5003.402129445205</v>
      </c>
      <c r="C80" s="22">
        <f>Q52</f>
        <v>5003.402129445205</v>
      </c>
      <c r="D80" s="24">
        <f>S52</f>
        <v>12757.121917444298</v>
      </c>
      <c r="E80" s="24">
        <f>D80</f>
        <v>12757.121917444298</v>
      </c>
      <c r="F80" s="24">
        <f>U52</f>
        <v>6882.6421052214937</v>
      </c>
      <c r="G80" s="24">
        <f>U52</f>
        <v>6882.6421052214937</v>
      </c>
    </row>
    <row r="81" spans="1:7" ht="60" x14ac:dyDescent="0.25">
      <c r="A81" s="17" t="s">
        <v>77</v>
      </c>
      <c r="B81" s="24">
        <f>R52</f>
        <v>10056.059024883187</v>
      </c>
      <c r="C81" s="24">
        <f>R52</f>
        <v>10056.059024883187</v>
      </c>
      <c r="D81" s="24">
        <f>T52</f>
        <v>8403.6652236726331</v>
      </c>
      <c r="E81" s="24">
        <f>D81</f>
        <v>8403.6652236726331</v>
      </c>
      <c r="F81" s="24">
        <f>V52</f>
        <v>12267.600188554341</v>
      </c>
      <c r="G81" s="24">
        <f>F81</f>
        <v>12267.600188554341</v>
      </c>
    </row>
    <row r="82" spans="1:7" x14ac:dyDescent="0.25">
      <c r="A82" s="17" t="s">
        <v>78</v>
      </c>
      <c r="B82" s="18">
        <v>0</v>
      </c>
      <c r="C82" s="24">
        <f>Q56</f>
        <v>58007.349780248594</v>
      </c>
      <c r="D82" s="22">
        <v>0</v>
      </c>
      <c r="E82" s="24">
        <f>S56</f>
        <v>58766.728797076976</v>
      </c>
      <c r="F82" s="22">
        <v>0</v>
      </c>
      <c r="G82" s="24">
        <f>U56</f>
        <v>71699.061763500416</v>
      </c>
    </row>
    <row r="83" spans="1:7" x14ac:dyDescent="0.25">
      <c r="A83" s="17" t="s">
        <v>78</v>
      </c>
      <c r="B83" s="18">
        <v>0</v>
      </c>
      <c r="C83" s="24">
        <f>R56</f>
        <v>64070.538054774173</v>
      </c>
      <c r="D83" s="22">
        <v>0</v>
      </c>
      <c r="E83" s="24">
        <f>T56</f>
        <v>53542.580764550978</v>
      </c>
      <c r="F83" s="22">
        <v>0</v>
      </c>
      <c r="G83" s="24">
        <f>V56</f>
        <v>78161.011463499832</v>
      </c>
    </row>
  </sheetData>
  <mergeCells count="302">
    <mergeCell ref="S60:S61"/>
    <mergeCell ref="T60:T61"/>
    <mergeCell ref="U60:U61"/>
    <mergeCell ref="V60:V61"/>
    <mergeCell ref="Q56:Q57"/>
    <mergeCell ref="R56:R57"/>
    <mergeCell ref="S56:S57"/>
    <mergeCell ref="T56:T57"/>
    <mergeCell ref="U56:U57"/>
    <mergeCell ref="V56:V57"/>
    <mergeCell ref="M58:P58"/>
    <mergeCell ref="M59:P59"/>
    <mergeCell ref="M60:P61"/>
    <mergeCell ref="Q60:Q61"/>
    <mergeCell ref="R60:R61"/>
    <mergeCell ref="M52:P52"/>
    <mergeCell ref="M53:P53"/>
    <mergeCell ref="M54:P54"/>
    <mergeCell ref="M55:P55"/>
    <mergeCell ref="M56:P57"/>
    <mergeCell ref="T49:T50"/>
    <mergeCell ref="U49:U50"/>
    <mergeCell ref="V49:V50"/>
    <mergeCell ref="Q48:R48"/>
    <mergeCell ref="S48:T48"/>
    <mergeCell ref="U48:V48"/>
    <mergeCell ref="M51:P51"/>
    <mergeCell ref="M47:P50"/>
    <mergeCell ref="Q49:Q50"/>
    <mergeCell ref="R49:R50"/>
    <mergeCell ref="Q47:V47"/>
    <mergeCell ref="D67:E67"/>
    <mergeCell ref="F67:G67"/>
    <mergeCell ref="H67:I67"/>
    <mergeCell ref="J67:K67"/>
    <mergeCell ref="A68:C69"/>
    <mergeCell ref="D68:E69"/>
    <mergeCell ref="F68:G69"/>
    <mergeCell ref="H68:I69"/>
    <mergeCell ref="J68:K69"/>
    <mergeCell ref="A65:C66"/>
    <mergeCell ref="D65:E66"/>
    <mergeCell ref="F65:G66"/>
    <mergeCell ref="H65:I66"/>
    <mergeCell ref="J65:K66"/>
    <mergeCell ref="A64:C64"/>
    <mergeCell ref="D64:E64"/>
    <mergeCell ref="F64:G64"/>
    <mergeCell ref="H64:I64"/>
    <mergeCell ref="J64:K64"/>
    <mergeCell ref="A62:C63"/>
    <mergeCell ref="D62:E63"/>
    <mergeCell ref="F62:G63"/>
    <mergeCell ref="H62:I63"/>
    <mergeCell ref="J62:K63"/>
    <mergeCell ref="A61:C61"/>
    <mergeCell ref="D61:E61"/>
    <mergeCell ref="F61:G61"/>
    <mergeCell ref="H61:I61"/>
    <mergeCell ref="J61:K61"/>
    <mergeCell ref="A59:C60"/>
    <mergeCell ref="D59:E60"/>
    <mergeCell ref="F59:G60"/>
    <mergeCell ref="H59:I60"/>
    <mergeCell ref="J59:K60"/>
    <mergeCell ref="A58:C58"/>
    <mergeCell ref="D58:E58"/>
    <mergeCell ref="F58:G58"/>
    <mergeCell ref="H58:I58"/>
    <mergeCell ref="J58:K58"/>
    <mergeCell ref="A56:C57"/>
    <mergeCell ref="D56:E57"/>
    <mergeCell ref="F56:G57"/>
    <mergeCell ref="H56:I57"/>
    <mergeCell ref="J56:K57"/>
    <mergeCell ref="A54:C55"/>
    <mergeCell ref="D54:E55"/>
    <mergeCell ref="F54:G55"/>
    <mergeCell ref="H54:I55"/>
    <mergeCell ref="J54:K55"/>
    <mergeCell ref="A52:C53"/>
    <mergeCell ref="D52:E53"/>
    <mergeCell ref="F52:G53"/>
    <mergeCell ref="H52:I53"/>
    <mergeCell ref="J52:K53"/>
    <mergeCell ref="A51:C51"/>
    <mergeCell ref="D51:E51"/>
    <mergeCell ref="F51:G51"/>
    <mergeCell ref="H51:I51"/>
    <mergeCell ref="J51:K51"/>
    <mergeCell ref="A47:K47"/>
    <mergeCell ref="A48:C50"/>
    <mergeCell ref="D48:K48"/>
    <mergeCell ref="D49:E50"/>
    <mergeCell ref="F49:G50"/>
    <mergeCell ref="H49:I50"/>
    <mergeCell ref="J49:K50"/>
    <mergeCell ref="P42:Q42"/>
    <mergeCell ref="R42:S42"/>
    <mergeCell ref="J43:K44"/>
    <mergeCell ref="H43:I44"/>
    <mergeCell ref="F43:G44"/>
    <mergeCell ref="D43:E44"/>
    <mergeCell ref="A43:C44"/>
    <mergeCell ref="S49:S50"/>
    <mergeCell ref="T42:U42"/>
    <mergeCell ref="V42:W42"/>
    <mergeCell ref="M43:O44"/>
    <mergeCell ref="P43:Q44"/>
    <mergeCell ref="R43:S44"/>
    <mergeCell ref="T43:U44"/>
    <mergeCell ref="V43:W44"/>
    <mergeCell ref="M40:O41"/>
    <mergeCell ref="P40:Q41"/>
    <mergeCell ref="R40:S41"/>
    <mergeCell ref="T40:U41"/>
    <mergeCell ref="V40:W41"/>
    <mergeCell ref="M39:O39"/>
    <mergeCell ref="P39:Q39"/>
    <mergeCell ref="R39:S39"/>
    <mergeCell ref="T39:U39"/>
    <mergeCell ref="V39:W39"/>
    <mergeCell ref="M37:O38"/>
    <mergeCell ref="P37:Q38"/>
    <mergeCell ref="R37:S38"/>
    <mergeCell ref="T37:U38"/>
    <mergeCell ref="V37:W38"/>
    <mergeCell ref="M36:O36"/>
    <mergeCell ref="P36:Q36"/>
    <mergeCell ref="R36:S36"/>
    <mergeCell ref="T36:U36"/>
    <mergeCell ref="V36:W36"/>
    <mergeCell ref="M34:O35"/>
    <mergeCell ref="P34:Q35"/>
    <mergeCell ref="R34:S35"/>
    <mergeCell ref="T34:U35"/>
    <mergeCell ref="V34:W35"/>
    <mergeCell ref="M33:O33"/>
    <mergeCell ref="P33:Q33"/>
    <mergeCell ref="R33:S33"/>
    <mergeCell ref="T33:U33"/>
    <mergeCell ref="V33:W33"/>
    <mergeCell ref="M31:O32"/>
    <mergeCell ref="P31:Q32"/>
    <mergeCell ref="R31:S32"/>
    <mergeCell ref="T31:U32"/>
    <mergeCell ref="V31:W32"/>
    <mergeCell ref="M29:O30"/>
    <mergeCell ref="P29:Q30"/>
    <mergeCell ref="R29:S30"/>
    <mergeCell ref="T29:U30"/>
    <mergeCell ref="V29:W30"/>
    <mergeCell ref="M27:O28"/>
    <mergeCell ref="P27:Q28"/>
    <mergeCell ref="R27:S28"/>
    <mergeCell ref="T27:U28"/>
    <mergeCell ref="V27:W28"/>
    <mergeCell ref="P23:W23"/>
    <mergeCell ref="P24:Q25"/>
    <mergeCell ref="R24:S25"/>
    <mergeCell ref="T24:U25"/>
    <mergeCell ref="V24:W25"/>
    <mergeCell ref="M26:O26"/>
    <mergeCell ref="P26:Q26"/>
    <mergeCell ref="R26:S26"/>
    <mergeCell ref="T26:U26"/>
    <mergeCell ref="V26:W26"/>
    <mergeCell ref="F40:G41"/>
    <mergeCell ref="H40:I41"/>
    <mergeCell ref="J40:K41"/>
    <mergeCell ref="D42:E42"/>
    <mergeCell ref="F42:G42"/>
    <mergeCell ref="H42:I42"/>
    <mergeCell ref="J42:K42"/>
    <mergeCell ref="D37:E38"/>
    <mergeCell ref="F37:G38"/>
    <mergeCell ref="H37:I38"/>
    <mergeCell ref="J37:K38"/>
    <mergeCell ref="D39:E39"/>
    <mergeCell ref="F39:G39"/>
    <mergeCell ref="H39:I39"/>
    <mergeCell ref="J39:K39"/>
    <mergeCell ref="F34:G35"/>
    <mergeCell ref="H34:I35"/>
    <mergeCell ref="J34:K35"/>
    <mergeCell ref="D36:E36"/>
    <mergeCell ref="F36:G36"/>
    <mergeCell ref="H36:I36"/>
    <mergeCell ref="J36:K36"/>
    <mergeCell ref="J31:K32"/>
    <mergeCell ref="D33:E33"/>
    <mergeCell ref="F33:G33"/>
    <mergeCell ref="H33:I33"/>
    <mergeCell ref="J33:K33"/>
    <mergeCell ref="D31:E32"/>
    <mergeCell ref="F31:G32"/>
    <mergeCell ref="H31:I32"/>
    <mergeCell ref="F26:G26"/>
    <mergeCell ref="H26:I26"/>
    <mergeCell ref="J26:K26"/>
    <mergeCell ref="D27:E28"/>
    <mergeCell ref="F27:G28"/>
    <mergeCell ref="H27:I28"/>
    <mergeCell ref="J27:K28"/>
    <mergeCell ref="D29:E30"/>
    <mergeCell ref="F29:G30"/>
    <mergeCell ref="H29:I30"/>
    <mergeCell ref="J29:K30"/>
    <mergeCell ref="A36:C36"/>
    <mergeCell ref="A37:C38"/>
    <mergeCell ref="A39:C39"/>
    <mergeCell ref="A40:C41"/>
    <mergeCell ref="A33:C33"/>
    <mergeCell ref="A27:C28"/>
    <mergeCell ref="A29:C30"/>
    <mergeCell ref="A31:C32"/>
    <mergeCell ref="D26:E26"/>
    <mergeCell ref="D34:E35"/>
    <mergeCell ref="D40:E41"/>
    <mergeCell ref="A26:C26"/>
    <mergeCell ref="A34:C35"/>
    <mergeCell ref="Q7:T7"/>
    <mergeCell ref="Q8:T8"/>
    <mergeCell ref="A23:C25"/>
    <mergeCell ref="D24:E25"/>
    <mergeCell ref="F24:G25"/>
    <mergeCell ref="H24:I25"/>
    <mergeCell ref="J24:K25"/>
    <mergeCell ref="D23:K23"/>
    <mergeCell ref="A22:K22"/>
    <mergeCell ref="A18:E18"/>
    <mergeCell ref="A19:E19"/>
    <mergeCell ref="F11:H11"/>
    <mergeCell ref="F12:H12"/>
    <mergeCell ref="F13:H13"/>
    <mergeCell ref="F14:H14"/>
    <mergeCell ref="F15:H15"/>
    <mergeCell ref="F16:H16"/>
    <mergeCell ref="B11:E11"/>
    <mergeCell ref="B12:E12"/>
    <mergeCell ref="B13:E13"/>
    <mergeCell ref="B14:E14"/>
    <mergeCell ref="B15:E15"/>
    <mergeCell ref="M22:W22"/>
    <mergeCell ref="M23:O25"/>
    <mergeCell ref="Q4:T4"/>
    <mergeCell ref="B5:E5"/>
    <mergeCell ref="B6:E6"/>
    <mergeCell ref="F1:H1"/>
    <mergeCell ref="B1:E2"/>
    <mergeCell ref="A1:A2"/>
    <mergeCell ref="B3:E3"/>
    <mergeCell ref="B4:E4"/>
    <mergeCell ref="Q6:U6"/>
    <mergeCell ref="B9:E9"/>
    <mergeCell ref="B8:E8"/>
    <mergeCell ref="B7:E7"/>
    <mergeCell ref="A17:E17"/>
    <mergeCell ref="J1:O1"/>
    <mergeCell ref="M2:O2"/>
    <mergeCell ref="J4:L4"/>
    <mergeCell ref="J5:L5"/>
    <mergeCell ref="J6:L6"/>
    <mergeCell ref="J7:L7"/>
    <mergeCell ref="J8:L8"/>
    <mergeCell ref="J9:L9"/>
    <mergeCell ref="J10:L10"/>
    <mergeCell ref="J2:L3"/>
    <mergeCell ref="J12:X12"/>
    <mergeCell ref="W15:X18"/>
    <mergeCell ref="M14:P14"/>
    <mergeCell ref="Q14:T14"/>
    <mergeCell ref="S15:T18"/>
    <mergeCell ref="U14:X14"/>
    <mergeCell ref="M13:X13"/>
    <mergeCell ref="Q1:V1"/>
    <mergeCell ref="Q2:U2"/>
    <mergeCell ref="Q3:T3"/>
    <mergeCell ref="Q19:R19"/>
    <mergeCell ref="U19:V19"/>
    <mergeCell ref="W19:X19"/>
    <mergeCell ref="B16:E16"/>
    <mergeCell ref="B10:E10"/>
    <mergeCell ref="B74:C74"/>
    <mergeCell ref="D74:E74"/>
    <mergeCell ref="F74:G74"/>
    <mergeCell ref="U20:V20"/>
    <mergeCell ref="W20:X20"/>
    <mergeCell ref="U15:V18"/>
    <mergeCell ref="Q20:R20"/>
    <mergeCell ref="S19:T19"/>
    <mergeCell ref="S20:T20"/>
    <mergeCell ref="J20:L20"/>
    <mergeCell ref="J19:L19"/>
    <mergeCell ref="J13:L18"/>
    <mergeCell ref="M19:N19"/>
    <mergeCell ref="M20:N20"/>
    <mergeCell ref="O19:P19"/>
    <mergeCell ref="O20:P20"/>
    <mergeCell ref="M15:N18"/>
    <mergeCell ref="O15:P18"/>
    <mergeCell ref="Q15:R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2018-04-03T03:34:55Z</dcterms:modified>
</cp:coreProperties>
</file>