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Workable Shit\notes\School\School given\st2334\"/>
    </mc:Choice>
  </mc:AlternateContent>
  <xr:revisionPtr revIDLastSave="0" documentId="13_ncr:1_{3EDD8460-51D0-482E-A21E-F9ABEFB2FC02}" xr6:coauthVersionLast="47" xr6:coauthVersionMax="47" xr10:uidLastSave="{00000000-0000-0000-0000-000000000000}"/>
  <bookViews>
    <workbookView xWindow="-120" yWindow="-120" windowWidth="29040" windowHeight="15840" tabRatio="559" activeTab="3" xr2:uid="{00000000-000D-0000-FFFF-FFFF00000000}"/>
  </bookViews>
  <sheets>
    <sheet name="Cheatsheet" sheetId="14" r:id="rId1"/>
    <sheet name="Chapters 1-5" sheetId="1" r:id="rId2"/>
    <sheet name="Chapters 6-7" sheetId="2" r:id="rId3"/>
    <sheet name="CI for Means (Paired Data)" sheetId="8" r:id="rId4"/>
    <sheet name="individual data" sheetId="13" r:id="rId5"/>
    <sheet name="validate expectations" sheetId="9" r:id="rId6"/>
    <sheet name="new variance" sheetId="10" r:id="rId7"/>
    <sheet name="data analyser" sheetId="11" r:id="rId8"/>
    <sheet name="Fxy Table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8" l="1"/>
  <c r="F7" i="8"/>
  <c r="O45" i="2"/>
  <c r="O44" i="2"/>
  <c r="O43" i="2"/>
  <c r="L42" i="2"/>
  <c r="L41" i="2"/>
  <c r="F37" i="2"/>
  <c r="B3" i="13"/>
  <c r="B4" i="13"/>
  <c r="B5" i="13"/>
  <c r="B6" i="13"/>
  <c r="B7" i="13"/>
  <c r="B2" i="13"/>
  <c r="F11" i="2"/>
  <c r="AC16" i="2" l="1"/>
  <c r="AC18" i="2"/>
  <c r="AC17" i="2"/>
  <c r="E7" i="1"/>
  <c r="E18" i="1"/>
  <c r="C8" i="9"/>
  <c r="E26" i="1"/>
  <c r="E15" i="1"/>
  <c r="E49" i="1"/>
  <c r="D66" i="1"/>
  <c r="D62" i="1"/>
  <c r="E62" i="1"/>
  <c r="D57" i="1"/>
  <c r="E57" i="1"/>
  <c r="D58" i="1"/>
  <c r="E58" i="1"/>
  <c r="D59" i="1"/>
  <c r="E59" i="1"/>
  <c r="D60" i="1"/>
  <c r="E60" i="1"/>
  <c r="D61" i="1"/>
  <c r="E61" i="1"/>
  <c r="D52" i="1"/>
  <c r="E52" i="1"/>
  <c r="D53" i="1"/>
  <c r="E53" i="1"/>
  <c r="D54" i="1"/>
  <c r="E54" i="1"/>
  <c r="E66" i="1" s="1"/>
  <c r="D55" i="1"/>
  <c r="E55" i="1"/>
  <c r="D56" i="1"/>
  <c r="D24" i="1"/>
  <c r="D23" i="1"/>
  <c r="D22" i="1"/>
  <c r="D12" i="1"/>
  <c r="D11" i="1"/>
  <c r="D13" i="1"/>
  <c r="D3" i="13"/>
  <c r="D4" i="13"/>
  <c r="D5" i="13"/>
  <c r="D6" i="13"/>
  <c r="D7" i="13"/>
  <c r="C3" i="13"/>
  <c r="C4" i="13"/>
  <c r="C5" i="13"/>
  <c r="C6" i="13"/>
  <c r="F8" i="13" s="1"/>
  <c r="C7" i="13"/>
  <c r="I34" i="2"/>
  <c r="I35" i="2" s="1"/>
  <c r="H26" i="1"/>
  <c r="H28" i="1" s="1"/>
  <c r="H29" i="1" s="1"/>
  <c r="H30" i="1" s="1"/>
  <c r="H11" i="1"/>
  <c r="F34" i="2"/>
  <c r="R7" i="1"/>
  <c r="I37" i="2"/>
  <c r="I36" i="2"/>
  <c r="F36" i="2"/>
  <c r="L16" i="2"/>
  <c r="L15" i="2"/>
  <c r="O15" i="2"/>
  <c r="F13" i="2"/>
  <c r="C31" i="2"/>
  <c r="K54" i="1"/>
  <c r="K53" i="1"/>
  <c r="H40" i="1"/>
  <c r="H47" i="1"/>
  <c r="E56" i="1"/>
  <c r="E19" i="1"/>
  <c r="K39" i="1"/>
  <c r="G5" i="8"/>
  <c r="G7" i="8"/>
  <c r="G8" i="8" s="1"/>
  <c r="F20" i="8"/>
  <c r="D2" i="13"/>
  <c r="C2" i="13"/>
  <c r="S3" i="12"/>
  <c r="T3" i="12" s="1"/>
  <c r="Z3" i="12"/>
  <c r="AA3" i="12"/>
  <c r="AB3" i="12"/>
  <c r="AC3" i="12"/>
  <c r="AD3" i="12"/>
  <c r="AE3" i="12"/>
  <c r="AF3" i="12"/>
  <c r="AG3" i="12"/>
  <c r="AH3" i="12"/>
  <c r="AI3" i="12"/>
  <c r="AJ3" i="12"/>
  <c r="AK3" i="12"/>
  <c r="AL3" i="12"/>
  <c r="AM3" i="12"/>
  <c r="AN3" i="12"/>
  <c r="AO3" i="12"/>
  <c r="S4" i="12"/>
  <c r="T4" i="12" s="1"/>
  <c r="Z4" i="12"/>
  <c r="AA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S5" i="12"/>
  <c r="U5" i="12" s="1"/>
  <c r="Z5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S6" i="12"/>
  <c r="T6" i="12" s="1"/>
  <c r="Z6" i="12"/>
  <c r="AA6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S7" i="12"/>
  <c r="U7" i="12" s="1"/>
  <c r="Z7" i="12"/>
  <c r="AA7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S8" i="12"/>
  <c r="T8" i="12" s="1"/>
  <c r="Z8" i="12"/>
  <c r="AA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S9" i="12"/>
  <c r="T9" i="12"/>
  <c r="U9" i="12"/>
  <c r="Z9" i="12"/>
  <c r="AA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S10" i="12"/>
  <c r="T10" i="12" s="1"/>
  <c r="Z10" i="12"/>
  <c r="AA10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S11" i="12"/>
  <c r="U11" i="12" s="1"/>
  <c r="T11" i="12"/>
  <c r="Z11" i="12"/>
  <c r="AA11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S12" i="12"/>
  <c r="T12" i="12"/>
  <c r="U12" i="12"/>
  <c r="Z12" i="12"/>
  <c r="AA12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S13" i="12"/>
  <c r="U13" i="12" s="1"/>
  <c r="T13" i="12"/>
  <c r="Z13" i="12"/>
  <c r="AA13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S14" i="12"/>
  <c r="T14" i="12" s="1"/>
  <c r="Z14" i="12"/>
  <c r="AA14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S15" i="12"/>
  <c r="U15" i="12" s="1"/>
  <c r="T15" i="12"/>
  <c r="Z15" i="12"/>
  <c r="AA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S16" i="12"/>
  <c r="T16" i="12" s="1"/>
  <c r="Z16" i="12"/>
  <c r="AA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S17" i="12"/>
  <c r="T17" i="12"/>
  <c r="U17" i="12"/>
  <c r="Z17" i="12"/>
  <c r="AA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S18" i="12"/>
  <c r="T18" i="12" s="1"/>
  <c r="Z18" i="12"/>
  <c r="AA18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C19" i="12"/>
  <c r="C21" i="12" s="1"/>
  <c r="D19" i="12"/>
  <c r="D20" i="12" s="1"/>
  <c r="E19" i="12"/>
  <c r="E21" i="12" s="1"/>
  <c r="F19" i="12"/>
  <c r="F20" i="12" s="1"/>
  <c r="G19" i="12"/>
  <c r="G20" i="12" s="1"/>
  <c r="H19" i="12"/>
  <c r="H20" i="12" s="1"/>
  <c r="I19" i="12"/>
  <c r="J19" i="12"/>
  <c r="K19" i="12"/>
  <c r="L19" i="12"/>
  <c r="M19" i="12"/>
  <c r="N19" i="12"/>
  <c r="O19" i="12"/>
  <c r="O20" i="12" s="1"/>
  <c r="P19" i="12"/>
  <c r="P20" i="12" s="1"/>
  <c r="Q19" i="12"/>
  <c r="R19" i="12"/>
  <c r="C20" i="12"/>
  <c r="I20" i="12"/>
  <c r="J20" i="12"/>
  <c r="K20" i="12"/>
  <c r="L20" i="12"/>
  <c r="M20" i="12"/>
  <c r="N20" i="12"/>
  <c r="Q20" i="12"/>
  <c r="R20" i="12"/>
  <c r="H21" i="12"/>
  <c r="I21" i="12"/>
  <c r="J21" i="12"/>
  <c r="K21" i="12"/>
  <c r="L21" i="12"/>
  <c r="M21" i="12"/>
  <c r="N21" i="12"/>
  <c r="O21" i="12"/>
  <c r="P21" i="12"/>
  <c r="Q21" i="12"/>
  <c r="R21" i="12"/>
  <c r="I13" i="2"/>
  <c r="B31" i="1"/>
  <c r="O39" i="2"/>
  <c r="C2" i="11"/>
  <c r="D2" i="11"/>
  <c r="E2" i="11"/>
  <c r="C3" i="11"/>
  <c r="D3" i="11"/>
  <c r="E3" i="11"/>
  <c r="C4" i="11"/>
  <c r="D4" i="11"/>
  <c r="E4" i="11" s="1"/>
  <c r="I3" i="11" s="1"/>
  <c r="J3" i="11" s="1"/>
  <c r="H6" i="11" s="1"/>
  <c r="I6" i="11" s="1"/>
  <c r="C5" i="11"/>
  <c r="D5" i="11"/>
  <c r="E5" i="11"/>
  <c r="C6" i="11"/>
  <c r="H3" i="11" s="1"/>
  <c r="D6" i="11"/>
  <c r="E6" i="11" s="1"/>
  <c r="C7" i="11"/>
  <c r="D7" i="11"/>
  <c r="E7" i="11"/>
  <c r="C8" i="11"/>
  <c r="D8" i="11"/>
  <c r="E8" i="11" s="1"/>
  <c r="C9" i="11"/>
  <c r="D9" i="11"/>
  <c r="E9" i="11"/>
  <c r="C10" i="11"/>
  <c r="D10" i="11"/>
  <c r="E10" i="11"/>
  <c r="C11" i="11"/>
  <c r="D11" i="11"/>
  <c r="E11" i="11"/>
  <c r="C12" i="11"/>
  <c r="D12" i="11"/>
  <c r="E12" i="11"/>
  <c r="C13" i="11"/>
  <c r="D13" i="11"/>
  <c r="E13" i="11" s="1"/>
  <c r="C14" i="11"/>
  <c r="D14" i="11"/>
  <c r="E14" i="11"/>
  <c r="F3" i="10"/>
  <c r="G3" i="10" s="1"/>
  <c r="E3" i="10"/>
  <c r="H2" i="9"/>
  <c r="F47" i="2"/>
  <c r="F48" i="2" s="1"/>
  <c r="T9" i="2"/>
  <c r="T15" i="2"/>
  <c r="T14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W34" i="2"/>
  <c r="W37" i="2" s="1"/>
  <c r="T37" i="2"/>
  <c r="C38" i="2"/>
  <c r="N22" i="1"/>
  <c r="N23" i="1" s="1"/>
  <c r="N24" i="1" s="1"/>
  <c r="N11" i="1"/>
  <c r="N10" i="1"/>
  <c r="R6" i="1"/>
  <c r="D19" i="8"/>
  <c r="D18" i="8"/>
  <c r="D17" i="8"/>
  <c r="D16" i="8"/>
  <c r="D15" i="8"/>
  <c r="D14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" i="8"/>
  <c r="F2" i="8"/>
  <c r="G8" i="13" l="1"/>
  <c r="F38" i="2"/>
  <c r="AC19" i="2"/>
  <c r="AC20" i="2"/>
  <c r="E25" i="1"/>
  <c r="E21" i="1"/>
  <c r="E10" i="1"/>
  <c r="E14" i="1"/>
  <c r="H10" i="1"/>
  <c r="I38" i="2"/>
  <c r="G9" i="8"/>
  <c r="F12" i="2"/>
  <c r="T17" i="2"/>
  <c r="K55" i="1"/>
  <c r="I2" i="9"/>
  <c r="G10" i="8"/>
  <c r="F21" i="12"/>
  <c r="G21" i="12"/>
  <c r="E20" i="12"/>
  <c r="D24" i="12" s="1"/>
  <c r="T5" i="12"/>
  <c r="D21" i="12"/>
  <c r="U4" i="12"/>
  <c r="J24" i="12"/>
  <c r="T7" i="12"/>
  <c r="U18" i="12"/>
  <c r="U10" i="12"/>
  <c r="U14" i="12"/>
  <c r="U6" i="12"/>
  <c r="U3" i="12"/>
  <c r="U16" i="12"/>
  <c r="U8" i="12"/>
  <c r="T16" i="2"/>
  <c r="F3" i="8"/>
  <c r="H8" i="13" l="1"/>
  <c r="G24" i="12"/>
  <c r="J25" i="12" s="1"/>
  <c r="D2" i="8"/>
  <c r="D25" i="12"/>
  <c r="D26" i="12" s="1"/>
  <c r="G25" i="12"/>
  <c r="G26" i="12" s="1"/>
  <c r="D13" i="8"/>
  <c r="D7" i="8"/>
  <c r="D6" i="8"/>
  <c r="D5" i="8"/>
  <c r="D8" i="8"/>
  <c r="D9" i="8"/>
  <c r="D12" i="8"/>
  <c r="D4" i="8"/>
  <c r="D11" i="8"/>
  <c r="D3" i="8"/>
  <c r="D10" i="8"/>
  <c r="F4" i="8" l="1" a="1"/>
  <c r="F4" i="8" s="1"/>
  <c r="F5" i="8" s="1"/>
  <c r="F9" i="8" s="1"/>
  <c r="D34" i="12"/>
  <c r="J26" i="12"/>
  <c r="D35" i="12"/>
  <c r="B24" i="1"/>
  <c r="U7" i="1"/>
  <c r="X7" i="1" s="1"/>
  <c r="U8" i="1"/>
  <c r="X8" i="1" s="1"/>
  <c r="U9" i="1"/>
  <c r="X9" i="1" s="1"/>
  <c r="U10" i="1"/>
  <c r="X10" i="1" s="1"/>
  <c r="U11" i="1"/>
  <c r="X11" i="1" s="1"/>
  <c r="U12" i="1"/>
  <c r="X12" i="1" s="1"/>
  <c r="U13" i="1"/>
  <c r="X13" i="1" s="1"/>
  <c r="U14" i="1"/>
  <c r="X14" i="1" s="1"/>
  <c r="U15" i="1"/>
  <c r="X15" i="1" s="1"/>
  <c r="U16" i="1"/>
  <c r="X16" i="1" s="1"/>
  <c r="U17" i="1"/>
  <c r="X17" i="1" s="1"/>
  <c r="U18" i="1"/>
  <c r="X18" i="1" s="1"/>
  <c r="U19" i="1"/>
  <c r="X19" i="1" s="1"/>
  <c r="U20" i="1"/>
  <c r="X20" i="1" s="1"/>
  <c r="U21" i="1"/>
  <c r="X21" i="1" s="1"/>
  <c r="U22" i="1"/>
  <c r="X22" i="1" s="1"/>
  <c r="U6" i="1"/>
  <c r="X6" i="1" s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6" i="1"/>
  <c r="Z9" i="1"/>
  <c r="H19" i="1"/>
  <c r="F10" i="8" l="1"/>
  <c r="Z6" i="1"/>
  <c r="Z7" i="1" s="1"/>
  <c r="Z8" i="1" s="1"/>
  <c r="K27" i="1"/>
  <c r="C12" i="2" l="1"/>
  <c r="R10" i="1"/>
  <c r="H46" i="1"/>
  <c r="R9" i="1"/>
  <c r="R8" i="1"/>
  <c r="W36" i="2" l="1"/>
  <c r="W35" i="2"/>
  <c r="N30" i="1"/>
  <c r="N31" i="1"/>
  <c r="N9" i="1"/>
  <c r="N16" i="1"/>
  <c r="N17" i="1"/>
  <c r="K33" i="1"/>
  <c r="K28" i="1"/>
  <c r="I12" i="2"/>
  <c r="O40" i="2" l="1"/>
  <c r="O41" i="2" s="1"/>
  <c r="O38" i="2"/>
  <c r="L38" i="2"/>
  <c r="L39" i="2" s="1"/>
  <c r="L40" i="2" s="1"/>
  <c r="T39" i="2"/>
  <c r="T38" i="2"/>
  <c r="T36" i="2"/>
  <c r="O17" i="2"/>
  <c r="L17" i="2"/>
  <c r="L18" i="2" s="1"/>
  <c r="L19" i="2" s="1"/>
  <c r="O16" i="2"/>
  <c r="Z14" i="2"/>
  <c r="Z13" i="2"/>
  <c r="W13" i="2"/>
  <c r="W12" i="2"/>
  <c r="C11" i="2"/>
  <c r="C9" i="2"/>
  <c r="C10" i="2" s="1"/>
  <c r="C8" i="2"/>
  <c r="F35" i="2" l="1"/>
  <c r="F39" i="2"/>
  <c r="L21" i="2"/>
  <c r="L20" i="2"/>
  <c r="O18" i="2"/>
  <c r="Z15" i="2"/>
  <c r="W15" i="2"/>
  <c r="W14" i="2"/>
  <c r="T40" i="2"/>
  <c r="T41" i="2" s="1"/>
  <c r="I39" i="2"/>
  <c r="L43" i="2"/>
  <c r="L44" i="2" s="1"/>
  <c r="I15" i="2"/>
  <c r="I14" i="2"/>
  <c r="O42" i="2"/>
  <c r="F15" i="2"/>
  <c r="F14" i="2"/>
  <c r="O19" i="2"/>
  <c r="Z16" i="2"/>
  <c r="O46" i="2" l="1"/>
  <c r="O47" i="2" s="1"/>
  <c r="W38" i="2"/>
  <c r="W39" i="2" s="1"/>
  <c r="E34" i="1"/>
  <c r="E33" i="1"/>
  <c r="B28" i="1"/>
  <c r="H36" i="1"/>
  <c r="B25" i="1"/>
  <c r="K22" i="1"/>
  <c r="E22" i="1"/>
  <c r="H20" i="1"/>
  <c r="B17" i="1"/>
  <c r="K13" i="1"/>
  <c r="B13" i="1"/>
  <c r="K11" i="1"/>
  <c r="K12" i="1" s="1"/>
  <c r="E11" i="1"/>
  <c r="E12" i="1" s="1"/>
  <c r="E13" i="1" s="1"/>
  <c r="B8" i="1"/>
  <c r="H12" i="1" l="1"/>
  <c r="H13" i="1"/>
  <c r="E23" i="1"/>
  <c r="E24" i="1" s="1"/>
  <c r="E35" i="1"/>
  <c r="E36" i="1" s="1"/>
  <c r="K20" i="1"/>
  <c r="K21" i="1" s="1"/>
  <c r="H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<sst xmlns="http://schemas.openxmlformats.org/spreadsheetml/2006/main" count="487" uniqueCount="293">
  <si>
    <t>P&amp;C</t>
  </si>
  <si>
    <t>Discrete</t>
  </si>
  <si>
    <t>Continuous</t>
  </si>
  <si>
    <t>Sampling</t>
  </si>
  <si>
    <t>Combinations</t>
  </si>
  <si>
    <t>Binomial</t>
  </si>
  <si>
    <t>Normal</t>
  </si>
  <si>
    <t>M/SD info known</t>
  </si>
  <si>
    <t>Total items n</t>
  </si>
  <si>
    <t>Total trials</t>
  </si>
  <si>
    <t>Mean</t>
  </si>
  <si>
    <t>Population mean</t>
  </si>
  <si>
    <t>Selected items r</t>
  </si>
  <si>
    <t>Probability</t>
  </si>
  <si>
    <t>SD</t>
  </si>
  <si>
    <t>Population SD</t>
  </si>
  <si>
    <t>nCr</t>
  </si>
  <si>
    <t>Sample size</t>
  </si>
  <si>
    <t>2nd Value (opt)</t>
  </si>
  <si>
    <t>Value of 1 sample</t>
  </si>
  <si>
    <t>Permutations</t>
  </si>
  <si>
    <t>pdf</t>
  </si>
  <si>
    <t>cdf ( &lt;= x )</t>
  </si>
  <si>
    <t>P( &lt;= x )</t>
  </si>
  <si>
    <t>cdf ( &gt;= x )</t>
  </si>
  <si>
    <t>nPr</t>
  </si>
  <si>
    <t>cdf (between)</t>
  </si>
  <si>
    <t>P( between )</t>
  </si>
  <si>
    <t>Note: 2nd Value MUST be lower bound</t>
  </si>
  <si>
    <t>Note: ENTER SD, NOT VARIANCE</t>
  </si>
  <si>
    <t>Factorials</t>
  </si>
  <si>
    <t>Chi-square</t>
  </si>
  <si>
    <t>Value of</t>
  </si>
  <si>
    <t>Negative Binomial</t>
  </si>
  <si>
    <t>Standard Normal</t>
  </si>
  <si>
    <t>Factorial of value</t>
  </si>
  <si>
    <t>Sample SD</t>
  </si>
  <si>
    <t>Probability ( &lt;= x )</t>
  </si>
  <si>
    <t>Miscellanous</t>
  </si>
  <si>
    <t>Probability (between)</t>
  </si>
  <si>
    <t>Required value x</t>
  </si>
  <si>
    <t>Chebyshev</t>
  </si>
  <si>
    <t>Inverse Normal</t>
  </si>
  <si>
    <t>T from normal dist</t>
  </si>
  <si>
    <t>Number of SDs</t>
  </si>
  <si>
    <t>Sample mean</t>
  </si>
  <si>
    <t>Probability (1-tail)</t>
  </si>
  <si>
    <t>Probability (2-tail)</t>
  </si>
  <si>
    <t>Probability value</t>
  </si>
  <si>
    <t>Probability outside</t>
  </si>
  <si>
    <t>Value required</t>
  </si>
  <si>
    <t>Expected mean</t>
  </si>
  <si>
    <t>Poisson</t>
  </si>
  <si>
    <t>Units of time</t>
  </si>
  <si>
    <t>Deviation count</t>
  </si>
  <si>
    <t>T distribution</t>
  </si>
  <si>
    <t>Exponential</t>
  </si>
  <si>
    <t>T inverse</t>
  </si>
  <si>
    <t>Calculator for Data Points</t>
  </si>
  <si>
    <t>Data Points</t>
  </si>
  <si>
    <t>Mean Confidence Interval for Known Variance</t>
  </si>
  <si>
    <t>Mean Confidence Interval for Unknown Variance and n &lt; 30</t>
  </si>
  <si>
    <t>Difference between Two Means Confidence Interval, Unknown but Equal Variance</t>
  </si>
  <si>
    <t>Variance Confidence Interval for Known Mean</t>
  </si>
  <si>
    <t>Variance Confidence Interval for Unknown Mean</t>
  </si>
  <si>
    <t>Ratio of Two Variance</t>
  </si>
  <si>
    <t>Sample Mean</t>
  </si>
  <si>
    <t>Population S.D</t>
  </si>
  <si>
    <t>Sample S.D</t>
  </si>
  <si>
    <t>Sample Mean 1</t>
  </si>
  <si>
    <t>Population Mean</t>
  </si>
  <si>
    <t>Sample S.D 1</t>
  </si>
  <si>
    <t>Sample Variance</t>
  </si>
  <si>
    <t>Sample Mean 2</t>
  </si>
  <si>
    <t>Sample S.D 2</t>
  </si>
  <si>
    <t>Sample Size</t>
  </si>
  <si>
    <t>Population S.D 1</t>
  </si>
  <si>
    <t>Sample Size 1</t>
  </si>
  <si>
    <t>Signifiance Level (a)</t>
  </si>
  <si>
    <t>Population S.D 2</t>
  </si>
  <si>
    <t>Sample Size 2</t>
  </si>
  <si>
    <t>Confidence Interval</t>
  </si>
  <si>
    <t>Upper Bound</t>
  </si>
  <si>
    <t>Chi-square(n-1,a/2)</t>
  </si>
  <si>
    <t>Significance Level</t>
  </si>
  <si>
    <t>Lower Bound</t>
  </si>
  <si>
    <t>Chi-square(n-1,1-a/2)</t>
  </si>
  <si>
    <t>F(n1-1, n2-1; a/2)</t>
  </si>
  <si>
    <t>F(n1-1, n2-1; 1-a/2)</t>
  </si>
  <si>
    <t>Point estimate for difference</t>
  </si>
  <si>
    <t>Difference Between 2 Means</t>
  </si>
  <si>
    <r>
      <t xml:space="preserve">This also works for Mean Confidence Interval for </t>
    </r>
    <r>
      <rPr>
        <b/>
        <sz val="12"/>
        <color theme="1"/>
        <rFont val="Calibri"/>
        <family val="2"/>
        <scheme val="minor"/>
      </rPr>
      <t>Unknown Variance when n &gt; 30 and Paired Data when n &gt; 30</t>
    </r>
    <r>
      <rPr>
        <sz val="11"/>
        <color theme="1"/>
        <rFont val="Calibri"/>
        <family val="2"/>
        <scheme val="minor"/>
      </rPr>
      <t>, just replace population S.D with sample S.D or point estimate of S.D</t>
    </r>
  </si>
  <si>
    <r>
      <t xml:space="preserve">This also works for </t>
    </r>
    <r>
      <rPr>
        <b/>
        <sz val="12"/>
        <color theme="1"/>
        <rFont val="Calibri"/>
        <family val="2"/>
        <scheme val="minor"/>
      </rPr>
      <t>Paired Data when n &lt;= 30</t>
    </r>
    <r>
      <rPr>
        <sz val="11"/>
        <color theme="1"/>
        <rFont val="Calibri"/>
        <family val="2"/>
        <scheme val="minor"/>
      </rPr>
      <t>, replace Sample S.D with point estimate of S.D</t>
    </r>
  </si>
  <si>
    <t>Z-value</t>
  </si>
  <si>
    <t>Estimated Paired Variance</t>
  </si>
  <si>
    <t xml:space="preserve">Estimated Paired S.D </t>
  </si>
  <si>
    <t>NOTE: The confidence interval cell automatically chooses t-distribution for n &lt;= 30 and normal-distribution (z) for n &gt; 30</t>
  </si>
  <si>
    <t>Hypothesis Testing with Known Variance</t>
  </si>
  <si>
    <t>Hypothesis Testing with Unknown Variance</t>
  </si>
  <si>
    <t>Hypothesis Testing for Difference Between 2 Means with Unknown but Equal Variance</t>
  </si>
  <si>
    <t>Hypothesis Testing for Variance</t>
  </si>
  <si>
    <t>Hypothesis Testing for Ratio of Variance</t>
  </si>
  <si>
    <t>Type</t>
  </si>
  <si>
    <t>Population Mean (H0)</t>
  </si>
  <si>
    <t>Population Mean 1</t>
  </si>
  <si>
    <t>Population Variance (H0)</t>
  </si>
  <si>
    <t>Population Mean 2</t>
  </si>
  <si>
    <t>Observed Z</t>
  </si>
  <si>
    <t>Observed T</t>
  </si>
  <si>
    <t>Observerd Chi-square</t>
  </si>
  <si>
    <t>Critical Z Value (Upper)</t>
  </si>
  <si>
    <t>Critical t value (Upper)</t>
  </si>
  <si>
    <t>Critical chi-square value (upper)</t>
  </si>
  <si>
    <t>Critical Z Value (Lower)</t>
  </si>
  <si>
    <t>Critical t value (Lower)</t>
  </si>
  <si>
    <t>Critical chi-square value (lower)</t>
  </si>
  <si>
    <t>Observed F Value</t>
  </si>
  <si>
    <t>Accept H0?</t>
  </si>
  <si>
    <t>Critical F Value (upper)</t>
  </si>
  <si>
    <t>Reject H0?</t>
  </si>
  <si>
    <t>Critical F Value (lower)</t>
  </si>
  <si>
    <t>Observed Z value</t>
  </si>
  <si>
    <t>Estimated Pair Variance</t>
  </si>
  <si>
    <t>Estimated Paired S.D</t>
  </si>
  <si>
    <t>Observed T value</t>
  </si>
  <si>
    <t>Can also be used for Paired Data</t>
  </si>
  <si>
    <t>Critical T Value (Upper)</t>
  </si>
  <si>
    <t>Critical T Value (Lower)</t>
  </si>
  <si>
    <t>If only difference between means are given, enter the difference in population mean 1 and 0 in population mean 2. Can also be used for unknown variance with large sample size n &gt;= 30</t>
  </si>
  <si>
    <t>Z-value/T-value</t>
  </si>
  <si>
    <t>T-value required</t>
  </si>
  <si>
    <t>Hypothesis Testing for Difference Between 2 Means with Known Variance</t>
  </si>
  <si>
    <t>Degrees of freedom</t>
  </si>
  <si>
    <t>1-tail probability</t>
  </si>
  <si>
    <t>2-tail probability</t>
  </si>
  <si>
    <t>Deviations away</t>
  </si>
  <si>
    <t>Chi-square inverse</t>
  </si>
  <si>
    <t>Alpha</t>
  </si>
  <si>
    <t>Left tail value</t>
  </si>
  <si>
    <t>Right tail value</t>
  </si>
  <si>
    <t>Pop variance</t>
  </si>
  <si>
    <t>Sample variance</t>
  </si>
  <si>
    <t>Variance testing</t>
  </si>
  <si>
    <t>Df for sample 1</t>
  </si>
  <si>
    <t>Df for sample 2</t>
  </si>
  <si>
    <t>F inverse</t>
  </si>
  <si>
    <t>Significance Level (a)</t>
  </si>
  <si>
    <t>Sum of Squares</t>
  </si>
  <si>
    <t>Note: 2nd Value inclusive</t>
  </si>
  <si>
    <t>Fail count by then (i.e. Total trials - Successes needed)</t>
  </si>
  <si>
    <t>Inverse Std Normal (z from p)</t>
  </si>
  <si>
    <t xml:space="preserve"> </t>
  </si>
  <si>
    <t>E(X)</t>
  </si>
  <si>
    <t>E(Y)</t>
  </si>
  <si>
    <t>E(X^2)</t>
  </si>
  <si>
    <t>E(Y^2)</t>
  </si>
  <si>
    <t>E(XY)</t>
  </si>
  <si>
    <t>Var(X)</t>
  </si>
  <si>
    <t>Var(Y)</t>
  </si>
  <si>
    <t>Cov(X,Y)</t>
  </si>
  <si>
    <t>corr(X,Y)</t>
  </si>
  <si>
    <t>calculates new variance of aX+bY</t>
  </si>
  <si>
    <t>a</t>
  </si>
  <si>
    <t>b</t>
  </si>
  <si>
    <t>cov(X,Y)</t>
  </si>
  <si>
    <t>Var(aX+bY)</t>
  </si>
  <si>
    <t>EQUAL WEIGHT</t>
  </si>
  <si>
    <t>Proportion</t>
  </si>
  <si>
    <t>Weighted</t>
  </si>
  <si>
    <t>Data Points Squared</t>
  </si>
  <si>
    <t>Weighted Squared</t>
  </si>
  <si>
    <t>Column 1</t>
  </si>
  <si>
    <t>Column 2</t>
  </si>
  <si>
    <t>Col1-Col2</t>
  </si>
  <si>
    <t>n</t>
  </si>
  <si>
    <t>d bar</t>
  </si>
  <si>
    <t>Sd^2</t>
  </si>
  <si>
    <t>di-dbar</t>
  </si>
  <si>
    <t>Sd</t>
  </si>
  <si>
    <t>P( &gt; x)</t>
  </si>
  <si>
    <t>P( &lt;= x)</t>
  </si>
  <si>
    <t>F Distribution</t>
  </si>
  <si>
    <t>P(S1/S2 &lt; x)</t>
  </si>
  <si>
    <t>x</t>
  </si>
  <si>
    <t>P(S1/S2 =&gt; x)</t>
  </si>
  <si>
    <t>Sample Size for Given Margin of Error</t>
  </si>
  <si>
    <t>Margin of Error</t>
  </si>
  <si>
    <t>Works for unknown population variance (n1,n2 sufficiently large &gt; 30)</t>
  </si>
  <si>
    <t>p-value</t>
  </si>
  <si>
    <t>Right tail value (USE)</t>
  </si>
  <si>
    <t>Sample Data</t>
  </si>
  <si>
    <t>Sum( (Xi-Mu)^2 ) [FROM INPUT SAMPLE]</t>
  </si>
  <si>
    <t>Sum( (Xi-Mu)^2 ) [Pre-Calculated]</t>
  </si>
  <si>
    <t>(Xi-mu)^2</t>
  </si>
  <si>
    <t>Results</t>
  </si>
  <si>
    <t>assume normally distributed</t>
  </si>
  <si>
    <t>assume normal, unknown means</t>
  </si>
  <si>
    <t>assume normal</t>
  </si>
  <si>
    <t>Requires populations normal or sufficiently large (&gt;= 30)</t>
  </si>
  <si>
    <t>Produces for x1-x2</t>
  </si>
  <si>
    <t>Difference between Two Means Confidence Interval, Known Variance (or unknown variance with large sample)</t>
  </si>
  <si>
    <t>requires populations normal</t>
  </si>
  <si>
    <t>Z-(a/2)</t>
  </si>
  <si>
    <t>assumes two-tailed</t>
  </si>
  <si>
    <t>Required sample size to bound estimate</t>
  </si>
  <si>
    <t>e</t>
  </si>
  <si>
    <t>Z- (a/2)</t>
  </si>
  <si>
    <t>required sample size</t>
  </si>
  <si>
    <t>n:</t>
  </si>
  <si>
    <t>s.d. xbar</t>
  </si>
  <si>
    <t>var_xbar</t>
  </si>
  <si>
    <t>Var</t>
  </si>
  <si>
    <t>weighted square</t>
  </si>
  <si>
    <t>squared data</t>
  </si>
  <si>
    <t>weighted data</t>
  </si>
  <si>
    <t>weight</t>
  </si>
  <si>
    <t>data points</t>
  </si>
  <si>
    <t>expected difference</t>
  </si>
  <si>
    <t>observed difference</t>
  </si>
  <si>
    <t>known variance</t>
  </si>
  <si>
    <t>required n</t>
  </si>
  <si>
    <t>dist bound</t>
  </si>
  <si>
    <t>assumes d is normally distributed</t>
  </si>
  <si>
    <t>significance</t>
  </si>
  <si>
    <t>V(Profit)</t>
  </si>
  <si>
    <t>E(Profit)</t>
  </si>
  <si>
    <t>Const</t>
  </si>
  <si>
    <t>Y</t>
  </si>
  <si>
    <t>X</t>
  </si>
  <si>
    <t>Profit Function</t>
  </si>
  <si>
    <t>COR(X,Y)</t>
  </si>
  <si>
    <t>V(Y)</t>
  </si>
  <si>
    <t>V(X)</t>
  </si>
  <si>
    <t>COV(X,Y)</t>
  </si>
  <si>
    <t>x^2*fx(x)</t>
  </si>
  <si>
    <t>x*fx(x)</t>
  </si>
  <si>
    <t>fx(x)</t>
  </si>
  <si>
    <t>y</t>
  </si>
  <si>
    <t>y^2*fy(y)</t>
  </si>
  <si>
    <t>y*fy(y)</t>
  </si>
  <si>
    <t>fy(y)</t>
  </si>
  <si>
    <t>fxy(x,y)</t>
  </si>
  <si>
    <t>f(x)</t>
  </si>
  <si>
    <t>e(x)</t>
  </si>
  <si>
    <t>x*f(x)</t>
  </si>
  <si>
    <t>x^2*f(x)</t>
  </si>
  <si>
    <t>e(x^2)</t>
  </si>
  <si>
    <r>
      <t xml:space="preserve">Note for Hypothesis Testing: For Type field, enter 0 for </t>
    </r>
    <r>
      <rPr>
        <b/>
        <sz val="18"/>
        <color theme="1"/>
        <rFont val="Calibri (Body)"/>
      </rPr>
      <t xml:space="preserve">two-tailed test, </t>
    </r>
    <r>
      <rPr>
        <sz val="18"/>
        <color theme="1"/>
        <rFont val="Calibri (Body)"/>
      </rPr>
      <t xml:space="preserve">1 for </t>
    </r>
    <r>
      <rPr>
        <b/>
        <sz val="18"/>
        <color theme="1"/>
        <rFont val="Calibri (Body)"/>
      </rPr>
      <t>&gt; one-tailed test</t>
    </r>
    <r>
      <rPr>
        <sz val="18"/>
        <color theme="1"/>
        <rFont val="Calibri (Body)"/>
      </rPr>
      <t xml:space="preserve">, 2 for </t>
    </r>
    <r>
      <rPr>
        <b/>
        <sz val="18"/>
        <color theme="1"/>
        <rFont val="Calibri (Body)"/>
      </rPr>
      <t>&lt; one-tailed test</t>
    </r>
  </si>
  <si>
    <t>Find p value</t>
  </si>
  <si>
    <t>actual Z/T value</t>
  </si>
  <si>
    <t>p from Z</t>
  </si>
  <si>
    <t>pdf/cdf</t>
  </si>
  <si>
    <t>pdf (specific value X=x)</t>
  </si>
  <si>
    <t>Frequency or mean</t>
  </si>
  <si>
    <t>cdf(&lt;x)</t>
  </si>
  <si>
    <t>cdf(x&gt;=)</t>
  </si>
  <si>
    <t>Poisson Binomial</t>
  </si>
  <si>
    <t>probability</t>
  </si>
  <si>
    <t>number (n&gt;=20)</t>
  </si>
  <si>
    <t>cdf ( &gt; x )</t>
  </si>
  <si>
    <t>Upper bound Z</t>
  </si>
  <si>
    <t>Lower bound (opt) Z</t>
  </si>
  <si>
    <t>lower bound x (opt)</t>
  </si>
  <si>
    <t>How to calculate absolute Z = |Z|</t>
  </si>
  <si>
    <t>Normal Approx Binomial</t>
  </si>
  <si>
    <t>p</t>
  </si>
  <si>
    <t>X (upper)</t>
  </si>
  <si>
    <t>X (lower)</t>
  </si>
  <si>
    <t>p upper</t>
  </si>
  <si>
    <t>p lower</t>
  </si>
  <si>
    <t>p between</t>
  </si>
  <si>
    <t>P( &gt; =x )</t>
  </si>
  <si>
    <t>Maximum Error of Estimate</t>
  </si>
  <si>
    <t>both</t>
  </si>
  <si>
    <t>var(x)</t>
  </si>
  <si>
    <t>Central Limit Theorem</t>
  </si>
  <si>
    <t>Pop Mean = Sample mean</t>
  </si>
  <si>
    <t>Pop Var</t>
  </si>
  <si>
    <t>Sample Var</t>
  </si>
  <si>
    <t>x to test</t>
  </si>
  <si>
    <t>Obv Z</t>
  </si>
  <si>
    <t>cdf ( &lt;=x)</t>
  </si>
  <si>
    <t># of successes X</t>
  </si>
  <si>
    <t>kth Successes needed</t>
  </si>
  <si>
    <t>X Total trials</t>
  </si>
  <si>
    <t>Var(aX + bY)</t>
  </si>
  <si>
    <t>Addition between Two Means Confidence Interval, Known Variance (or unknown variance with large sample)</t>
  </si>
  <si>
    <t>left</t>
  </si>
  <si>
    <t>P(A|B)</t>
  </si>
  <si>
    <t>P(B|A)</t>
  </si>
  <si>
    <t>P(A)</t>
  </si>
  <si>
    <t>P(B)</t>
  </si>
  <si>
    <t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</si>
</sst>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 (Body)"/>
    </font>
    <font>
      <b/>
      <sz val="18"/>
      <color theme="1"/>
      <name val="Calibri (Body)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4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46">
    <xf numFmtId="0" fontId="0" fillId="0" borderId="0" xfId="0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4" fillId="0" borderId="0" xfId="0" applyFont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8" fillId="0" borderId="8" xfId="0" applyFont="1" applyBorder="1"/>
    <xf numFmtId="0" fontId="0" fillId="0" borderId="9" xfId="0" applyBorder="1"/>
    <xf numFmtId="0" fontId="0" fillId="0" borderId="10" xfId="0" applyBorder="1"/>
    <xf numFmtId="0" fontId="8" fillId="0" borderId="0" xfId="0" applyFont="1"/>
    <xf numFmtId="0" fontId="1" fillId="4" borderId="6" xfId="3" applyBorder="1"/>
    <xf numFmtId="0" fontId="0" fillId="0" borderId="12" xfId="0" applyBorder="1"/>
    <xf numFmtId="0" fontId="0" fillId="0" borderId="13" xfId="0" applyBorder="1"/>
    <xf numFmtId="0" fontId="1" fillId="6" borderId="14" xfId="5" applyBorder="1"/>
    <xf numFmtId="0" fontId="1" fillId="7" borderId="14" xfId="6" applyBorder="1"/>
    <xf numFmtId="0" fontId="0" fillId="0" borderId="15" xfId="0" applyBorder="1"/>
    <xf numFmtId="0" fontId="1" fillId="6" borderId="12" xfId="5" applyBorder="1"/>
    <xf numFmtId="0" fontId="1" fillId="7" borderId="12" xfId="6" applyBorder="1"/>
    <xf numFmtId="0" fontId="0" fillId="0" borderId="16" xfId="0" applyBorder="1"/>
    <xf numFmtId="0" fontId="1" fillId="6" borderId="17" xfId="5" applyBorder="1"/>
    <xf numFmtId="0" fontId="1" fillId="9" borderId="14" xfId="8" applyBorder="1"/>
    <xf numFmtId="0" fontId="1" fillId="5" borderId="12" xfId="4" applyBorder="1"/>
    <xf numFmtId="0" fontId="1" fillId="9" borderId="12" xfId="8" applyBorder="1"/>
    <xf numFmtId="0" fontId="1" fillId="5" borderId="17" xfId="4" applyBorder="1"/>
    <xf numFmtId="0" fontId="1" fillId="4" borderId="19" xfId="3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6" borderId="12" xfId="5" applyFont="1" applyBorder="1"/>
    <xf numFmtId="0" fontId="1" fillId="8" borderId="12" xfId="7" applyBorder="1"/>
    <xf numFmtId="0" fontId="1" fillId="8" borderId="14" xfId="7" applyBorder="1"/>
    <xf numFmtId="0" fontId="0" fillId="0" borderId="24" xfId="0" applyBorder="1"/>
    <xf numFmtId="0" fontId="2" fillId="2" borderId="1" xfId="1"/>
    <xf numFmtId="0" fontId="2" fillId="2" borderId="12" xfId="1" applyBorder="1"/>
    <xf numFmtId="0" fontId="0" fillId="0" borderId="17" xfId="0" applyBorder="1"/>
    <xf numFmtId="0" fontId="2" fillId="2" borderId="25" xfId="1" applyBorder="1"/>
    <xf numFmtId="0" fontId="2" fillId="2" borderId="26" xfId="1" applyBorder="1" applyAlignment="1">
      <alignment wrapText="1"/>
    </xf>
    <xf numFmtId="0" fontId="0" fillId="0" borderId="0" xfId="0" applyAlignment="1">
      <alignment wrapText="1"/>
    </xf>
    <xf numFmtId="0" fontId="2" fillId="2" borderId="27" xfId="1" applyBorder="1"/>
    <xf numFmtId="0" fontId="2" fillId="2" borderId="27" xfId="1" applyBorder="1" applyAlignment="1">
      <alignment wrapText="1"/>
    </xf>
    <xf numFmtId="0" fontId="0" fillId="0" borderId="0" xfId="0" applyAlignment="1">
      <alignment horizontal="center" wrapText="1"/>
    </xf>
    <xf numFmtId="0" fontId="8" fillId="3" borderId="2" xfId="2" applyFont="1" applyAlignment="1">
      <alignment horizontal="center" wrapText="1"/>
    </xf>
    <xf numFmtId="0" fontId="0" fillId="0" borderId="0" xfId="0" applyBorder="1"/>
    <xf numFmtId="0" fontId="8" fillId="0" borderId="9" xfId="0" applyFont="1" applyBorder="1"/>
    <xf numFmtId="0" fontId="1" fillId="4" borderId="0" xfId="3" applyBorder="1"/>
    <xf numFmtId="0" fontId="9" fillId="16" borderId="0" xfId="0" applyFont="1" applyFill="1"/>
    <xf numFmtId="0" fontId="0" fillId="0" borderId="11" xfId="0" applyBorder="1"/>
    <xf numFmtId="0" fontId="0" fillId="0" borderId="14" xfId="0" applyBorder="1"/>
    <xf numFmtId="0" fontId="9" fillId="16" borderId="22" xfId="0" applyFont="1" applyFill="1" applyBorder="1"/>
    <xf numFmtId="0" fontId="9" fillId="16" borderId="23" xfId="0" applyFont="1" applyFill="1" applyBorder="1"/>
    <xf numFmtId="0" fontId="9" fillId="16" borderId="24" xfId="0" applyFont="1" applyFill="1" applyBorder="1"/>
    <xf numFmtId="0" fontId="0" fillId="17" borderId="0" xfId="0" applyFill="1"/>
    <xf numFmtId="0" fontId="0" fillId="18" borderId="14" xfId="0" applyFill="1" applyBorder="1"/>
    <xf numFmtId="0" fontId="0" fillId="18" borderId="12" xfId="0" applyFill="1" applyBorder="1"/>
    <xf numFmtId="0" fontId="0" fillId="13" borderId="17" xfId="0" applyFont="1" applyFill="1" applyBorder="1"/>
    <xf numFmtId="0" fontId="0" fillId="0" borderId="34" xfId="0" applyBorder="1"/>
    <xf numFmtId="0" fontId="0" fillId="13" borderId="34" xfId="0" applyFill="1" applyBorder="1"/>
    <xf numFmtId="0" fontId="0" fillId="0" borderId="15" xfId="0" applyFill="1" applyBorder="1"/>
    <xf numFmtId="0" fontId="0" fillId="0" borderId="23" xfId="0" applyFill="1" applyBorder="1"/>
    <xf numFmtId="0" fontId="3" fillId="0" borderId="22" xfId="0" applyFont="1" applyBorder="1"/>
    <xf numFmtId="0" fontId="3" fillId="0" borderId="9" xfId="0" applyFont="1" applyBorder="1"/>
    <xf numFmtId="0" fontId="3" fillId="0" borderId="14" xfId="0" applyFont="1" applyBorder="1"/>
    <xf numFmtId="0" fontId="0" fillId="19" borderId="12" xfId="0" applyFill="1" applyBorder="1"/>
    <xf numFmtId="0" fontId="1" fillId="18" borderId="6" xfId="3" applyFill="1" applyBorder="1"/>
    <xf numFmtId="0" fontId="1" fillId="18" borderId="19" xfId="3" applyFill="1" applyBorder="1"/>
    <xf numFmtId="0" fontId="1" fillId="18" borderId="0" xfId="3" applyFill="1" applyBorder="1"/>
    <xf numFmtId="0" fontId="1" fillId="4" borderId="11" xfId="3" applyBorder="1"/>
    <xf numFmtId="0" fontId="1" fillId="18" borderId="11" xfId="3" applyFill="1" applyBorder="1"/>
    <xf numFmtId="0" fontId="10" fillId="0" borderId="0" xfId="0" applyFont="1"/>
    <xf numFmtId="0" fontId="0" fillId="0" borderId="35" xfId="0" applyBorder="1" applyAlignment="1">
      <alignment vertical="center"/>
    </xf>
    <xf numFmtId="0" fontId="0" fillId="0" borderId="35" xfId="0" applyBorder="1" applyAlignment="1">
      <alignment wrapText="1"/>
    </xf>
    <xf numFmtId="0" fontId="0" fillId="20" borderId="36" xfId="0" applyFill="1" applyBorder="1" applyAlignment="1">
      <alignment horizontal="right" wrapText="1"/>
    </xf>
    <xf numFmtId="0" fontId="0" fillId="20" borderId="37" xfId="0" applyFill="1" applyBorder="1" applyAlignment="1">
      <alignment horizontal="right" wrapText="1"/>
    </xf>
    <xf numFmtId="0" fontId="0" fillId="20" borderId="38" xfId="0" applyFill="1" applyBorder="1" applyAlignment="1">
      <alignment horizontal="right" wrapText="1"/>
    </xf>
    <xf numFmtId="0" fontId="0" fillId="0" borderId="37" xfId="0" applyBorder="1" applyAlignment="1">
      <alignment wrapText="1"/>
    </xf>
    <xf numFmtId="0" fontId="0" fillId="20" borderId="41" xfId="0" applyFill="1" applyBorder="1" applyAlignment="1">
      <alignment horizontal="right" wrapText="1"/>
    </xf>
    <xf numFmtId="0" fontId="0" fillId="0" borderId="38" xfId="0" applyBorder="1" applyAlignment="1">
      <alignment wrapText="1"/>
    </xf>
    <xf numFmtId="0" fontId="0" fillId="20" borderId="42" xfId="0" applyFill="1" applyBorder="1" applyAlignment="1">
      <alignment horizontal="right" wrapText="1"/>
    </xf>
    <xf numFmtId="0" fontId="0" fillId="21" borderId="42" xfId="0" applyFill="1" applyBorder="1" applyAlignment="1">
      <alignment horizontal="right" wrapText="1"/>
    </xf>
    <xf numFmtId="0" fontId="10" fillId="0" borderId="15" xfId="0" applyFont="1" applyBorder="1"/>
    <xf numFmtId="0" fontId="10" fillId="22" borderId="14" xfId="0" applyFont="1" applyFill="1" applyBorder="1"/>
    <xf numFmtId="0" fontId="10" fillId="0" borderId="13" xfId="0" applyFont="1" applyBorder="1"/>
    <xf numFmtId="0" fontId="10" fillId="23" borderId="12" xfId="0" applyFont="1" applyFill="1" applyBorder="1"/>
    <xf numFmtId="0" fontId="10" fillId="0" borderId="16" xfId="0" applyFont="1" applyBorder="1"/>
    <xf numFmtId="0" fontId="10" fillId="23" borderId="17" xfId="0" applyFont="1" applyFill="1" applyBorder="1"/>
    <xf numFmtId="0" fontId="3" fillId="24" borderId="20" xfId="0" applyFont="1" applyFill="1" applyBorder="1"/>
    <xf numFmtId="0" fontId="3" fillId="24" borderId="19" xfId="0" applyFont="1" applyFill="1" applyBorder="1"/>
    <xf numFmtId="0" fontId="3" fillId="24" borderId="0" xfId="0" applyFont="1" applyFill="1"/>
    <xf numFmtId="0" fontId="3" fillId="24" borderId="6" xfId="0" applyFont="1" applyFill="1" applyBorder="1"/>
    <xf numFmtId="0" fontId="0" fillId="0" borderId="5" xfId="0" applyBorder="1"/>
    <xf numFmtId="0" fontId="3" fillId="24" borderId="4" xfId="0" applyFont="1" applyFill="1" applyBorder="1"/>
    <xf numFmtId="0" fontId="0" fillId="0" borderId="4" xfId="0" applyBorder="1"/>
    <xf numFmtId="0" fontId="3" fillId="24" borderId="3" xfId="0" applyFont="1" applyFill="1" applyBorder="1"/>
    <xf numFmtId="0" fontId="0" fillId="25" borderId="0" xfId="0" applyFill="1"/>
    <xf numFmtId="0" fontId="0" fillId="3" borderId="2" xfId="2" applyFont="1" applyAlignment="1">
      <alignment horizontal="center" vertical="center"/>
    </xf>
    <xf numFmtId="0" fontId="0" fillId="26" borderId="0" xfId="0" applyFill="1"/>
    <xf numFmtId="0" fontId="0" fillId="0" borderId="0" xfId="0" applyFill="1"/>
    <xf numFmtId="0" fontId="0" fillId="0" borderId="43" xfId="0" applyBorder="1" applyAlignment="1">
      <alignment wrapText="1"/>
    </xf>
    <xf numFmtId="0" fontId="0" fillId="21" borderId="44" xfId="0" applyFill="1" applyBorder="1" applyAlignment="1">
      <alignment horizontal="right" wrapText="1"/>
    </xf>
    <xf numFmtId="0" fontId="0" fillId="18" borderId="15" xfId="0" applyFill="1" applyBorder="1"/>
    <xf numFmtId="0" fontId="0" fillId="13" borderId="16" xfId="0" applyFill="1" applyBorder="1"/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27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8" fillId="0" borderId="11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8" fillId="3" borderId="30" xfId="2" applyFont="1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3" borderId="18" xfId="2" applyFont="1" applyBorder="1" applyAlignment="1">
      <alignment horizontal="center" vertical="center" wrapText="1"/>
    </xf>
    <xf numFmtId="0" fontId="0" fillId="3" borderId="0" xfId="2" applyFont="1" applyBorder="1" applyAlignment="1">
      <alignment horizontal="center" vertical="center" wrapText="1"/>
    </xf>
    <xf numFmtId="0" fontId="0" fillId="3" borderId="2" xfId="2" applyFont="1" applyAlignment="1">
      <alignment horizontal="center" vertical="center" wrapText="1"/>
    </xf>
    <xf numFmtId="0" fontId="8" fillId="3" borderId="2" xfId="2" applyFont="1" applyAlignment="1">
      <alignment horizontal="center" vertical="center" wrapText="1"/>
    </xf>
    <xf numFmtId="0" fontId="8" fillId="3" borderId="28" xfId="2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39" xfId="0" applyFont="1" applyBorder="1" applyAlignment="1">
      <alignment horizontal="center" wrapText="1"/>
    </xf>
    <xf numFmtId="0" fontId="8" fillId="0" borderId="40" xfId="0" applyFont="1" applyBorder="1" applyAlignment="1">
      <alignment horizontal="center" wrapText="1"/>
    </xf>
    <xf numFmtId="0" fontId="5" fillId="3" borderId="2" xfId="2" applyFont="1" applyAlignment="1">
      <alignment horizontal="center" vertical="center"/>
    </xf>
    <xf numFmtId="0" fontId="0" fillId="3" borderId="2" xfId="2" applyFont="1" applyAlignment="1">
      <alignment horizontal="center" vertical="center"/>
    </xf>
    <xf numFmtId="0" fontId="0" fillId="0" borderId="0" xfId="0" applyAlignment="1">
      <alignment horizontal="center"/>
    </xf>
    <xf numFmtId="165" fontId="11" fillId="12" borderId="0" xfId="0" applyNumberFormat="1" applyFont="1" applyFill="1"/>
    <xf numFmtId="0" fontId="4" fillId="0" borderId="0" xfId="0" applyFont="1" applyAlignment="1"/>
    <xf numFmtId="0" fontId="4" fillId="14" borderId="0" xfId="0" applyFont="1" applyFill="1" applyAlignment="1"/>
    <xf numFmtId="2" fontId="0" fillId="14" borderId="0" xfId="0" applyNumberFormat="1" applyFill="1"/>
    <xf numFmtId="0" fontId="0" fillId="28" borderId="0" xfId="0" applyFill="1"/>
    <xf numFmtId="0" fontId="12" fillId="0" borderId="0" xfId="0" applyFont="1"/>
  </cellXfs>
  <cellStyles count="9">
    <cellStyle name="40% - Accent1" xfId="3" builtinId="31"/>
    <cellStyle name="40% - Accent4" xfId="5" builtinId="43"/>
    <cellStyle name="60% - Accent2" xfId="4" builtinId="36"/>
    <cellStyle name="60% - Accent4" xfId="6" builtinId="44"/>
    <cellStyle name="60% - Accent5" xfId="7" builtinId="48"/>
    <cellStyle name="60% - Accent6" xfId="8" builtinId="52"/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599903</xdr:colOff>
      <xdr:row>3</xdr:row>
      <xdr:rowOff>0</xdr:rowOff>
    </xdr:from>
    <xdr:to>
      <xdr:col>8</xdr:col>
      <xdr:colOff>277070</xdr:colOff>
      <xdr:row>32</xdr:row>
      <xdr:rowOff>67713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3C68C0-247A-A560-BA2E-F5CCCCB90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903" y="571500"/>
          <a:ext cx="4553967" cy="5592213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</xdr:row>
      <xdr:rowOff>95250</xdr:rowOff>
    </xdr:from>
    <xdr:to>
      <xdr:col>18</xdr:col>
      <xdr:colOff>562723</xdr:colOff>
      <xdr:row>21</xdr:row>
      <xdr:rowOff>181439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515F23-4764-FA1C-F0E8-C645399EA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857250"/>
          <a:ext cx="5363323" cy="3324689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23</xdr:row>
      <xdr:rowOff>161925</xdr:rowOff>
    </xdr:from>
    <xdr:to>
      <xdr:col>18</xdr:col>
      <xdr:colOff>334093</xdr:colOff>
      <xdr:row>34</xdr:row>
      <xdr:rowOff>86007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ED6788-F85E-F266-C3BB-499ABA5FC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2675" y="4543425"/>
          <a:ext cx="5144218" cy="2019582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35</xdr:row>
      <xdr:rowOff>47625</xdr:rowOff>
    </xdr:from>
    <xdr:to>
      <xdr:col>10</xdr:col>
      <xdr:colOff>524682</xdr:colOff>
      <xdr:row>47</xdr:row>
      <xdr:rowOff>162260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1C4B73-C8FA-0C25-02F6-9232F7F54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" y="6715125"/>
          <a:ext cx="5782482" cy="2400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8658</xdr:colOff>
      <xdr:row>40</xdr:row>
      <xdr:rowOff>9524</xdr:rowOff>
    </xdr:from>
    <xdr:to>
      <xdr:col>5</xdr:col>
      <xdr:colOff>0</xdr:colOff>
      <xdr:row>48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FBDE1B-4A7D-EE5E-8165-061EA7891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3708" y="7753349"/>
          <a:ext cx="4125192" cy="1524001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314326</xdr:colOff>
      <xdr:row>45</xdr:row>
      <xdr:rowOff>38101</xdr:rowOff>
    </xdr:from>
    <xdr:to>
      <xdr:col>12</xdr:col>
      <xdr:colOff>438150</xdr:colOff>
      <xdr:row>48</xdr:row>
      <xdr:rowOff>17225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6C1AFF-D0D4-7CB3-4E11-6385183AC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25051" y="8734426"/>
          <a:ext cx="3171824" cy="5506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363877</xdr:colOff>
      <xdr:row>18</xdr:row>
      <xdr:rowOff>64214</xdr:rowOff>
    </xdr:from>
    <xdr:to>
      <xdr:col>3</xdr:col>
      <xdr:colOff>635725</xdr:colOff>
      <xdr:row>26</xdr:row>
      <xdr:rowOff>246152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9D1713-27BC-5C9F-EBF0-BDC472E93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7950" y="6078877"/>
          <a:ext cx="2883196" cy="1787275"/>
        </a:xfrm>
        <a:prstGeom prst="rect">
          <a:avLst/>
        </a:prstGeom>
      </xdr:spPr>
    </xdr:pic>
    <xdr:clientData/>
  </xdr:twoCellAnchor>
  <xdr:twoCellAnchor editAs="oneCell">
    <xdr:from>
      <xdr:col>3</xdr:col>
      <xdr:colOff>299664</xdr:colOff>
      <xdr:row>2</xdr:row>
      <xdr:rowOff>374579</xdr:rowOff>
    </xdr:from>
    <xdr:to>
      <xdr:col>6</xdr:col>
      <xdr:colOff>171502</xdr:colOff>
      <xdr:row>6</xdr:row>
      <xdr:rowOff>380857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BA9164-C14A-4EE0-E6F5-0567BD9CA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35085" y="1316377"/>
          <a:ext cx="4035013" cy="2200238"/>
        </a:xfrm>
        <a:prstGeom prst="rect">
          <a:avLst/>
        </a:prstGeom>
      </xdr:spPr>
    </xdr:pic>
    <xdr:clientData/>
  </xdr:twoCellAnchor>
  <xdr:twoCellAnchor editAs="oneCell">
    <xdr:from>
      <xdr:col>12</xdr:col>
      <xdr:colOff>674241</xdr:colOff>
      <xdr:row>2</xdr:row>
      <xdr:rowOff>466297</xdr:rowOff>
    </xdr:from>
    <xdr:to>
      <xdr:col>15</xdr:col>
      <xdr:colOff>184254</xdr:colOff>
      <xdr:row>5</xdr:row>
      <xdr:rowOff>168331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0BEC8E0-5C7F-4F1B-D872-3BE735981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99859" y="1408095"/>
          <a:ext cx="3962148" cy="1703354"/>
        </a:xfrm>
        <a:prstGeom prst="rect">
          <a:avLst/>
        </a:prstGeom>
      </xdr:spPr>
    </xdr:pic>
    <xdr:clientData/>
  </xdr:twoCellAnchor>
  <xdr:twoCellAnchor editAs="oneCell">
    <xdr:from>
      <xdr:col>9</xdr:col>
      <xdr:colOff>663542</xdr:colOff>
      <xdr:row>1</xdr:row>
      <xdr:rowOff>631432</xdr:rowOff>
    </xdr:from>
    <xdr:to>
      <xdr:col>12</xdr:col>
      <xdr:colOff>6608</xdr:colOff>
      <xdr:row>3</xdr:row>
      <xdr:rowOff>462107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6D5E49-DB7E-CDE6-FD84-D4F80D34E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90199" y="834775"/>
          <a:ext cx="3442027" cy="1307585"/>
        </a:xfrm>
        <a:prstGeom prst="rect">
          <a:avLst/>
        </a:prstGeom>
      </xdr:spPr>
    </xdr:pic>
    <xdr:clientData/>
  </xdr:twoCellAnchor>
  <xdr:twoCellAnchor editAs="oneCell">
    <xdr:from>
      <xdr:col>8</xdr:col>
      <xdr:colOff>1027415</xdr:colOff>
      <xdr:row>3</xdr:row>
      <xdr:rowOff>366370</xdr:rowOff>
    </xdr:from>
    <xdr:to>
      <xdr:col>10</xdr:col>
      <xdr:colOff>1736408</xdr:colOff>
      <xdr:row>4</xdr:row>
      <xdr:rowOff>460197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62838FE-3CB9-975F-A734-246932E90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84185" y="2046623"/>
          <a:ext cx="2870847" cy="832282"/>
        </a:xfrm>
        <a:prstGeom prst="rect">
          <a:avLst/>
        </a:prstGeom>
      </xdr:spPr>
    </xdr:pic>
    <xdr:clientData/>
  </xdr:twoCellAnchor>
  <xdr:twoCellAnchor editAs="oneCell">
    <xdr:from>
      <xdr:col>10</xdr:col>
      <xdr:colOff>1391292</xdr:colOff>
      <xdr:row>3</xdr:row>
      <xdr:rowOff>660978</xdr:rowOff>
    </xdr:from>
    <xdr:to>
      <xdr:col>12</xdr:col>
      <xdr:colOff>580238</xdr:colOff>
      <xdr:row>5</xdr:row>
      <xdr:rowOff>186550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53600AD-1598-2F86-8987-7AB230C5E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09916" y="2341231"/>
          <a:ext cx="2495940" cy="7884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3</xdr:row>
      <xdr:rowOff>28575</xdr:rowOff>
    </xdr:from>
    <xdr:to>
      <xdr:col>17</xdr:col>
      <xdr:colOff>334093</xdr:colOff>
      <xdr:row>13</xdr:row>
      <xdr:rowOff>143157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01F4AC-4476-0711-4259-B81379974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600075"/>
          <a:ext cx="5144218" cy="201958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381000</xdr:colOff>
      <xdr:row>0</xdr:row>
      <xdr:rowOff>0</xdr:rowOff>
    </xdr:from>
    <xdr:to>
      <xdr:col>18</xdr:col>
      <xdr:colOff>124470</xdr:colOff>
      <xdr:row>16</xdr:row>
      <xdr:rowOff>95689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323F8D-F358-96C5-9A50-81CE8CB83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8425" y="0"/>
          <a:ext cx="4620270" cy="3143689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17</xdr:row>
      <xdr:rowOff>104775</xdr:rowOff>
    </xdr:from>
    <xdr:to>
      <xdr:col>14</xdr:col>
      <xdr:colOff>228908</xdr:colOff>
      <xdr:row>21</xdr:row>
      <xdr:rowOff>28671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EB86D9-17FA-1214-9515-1C811019D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24625" y="3343275"/>
          <a:ext cx="2210108" cy="68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EEE6-3CD7-42AF-83F7-10D63B09CD51}">
  <dimension ref="B3:W10"/>
  <sheetViews>
    <sheetView topLeftCell="A13" workbookViewId="0">
      <selection activeCell="Y25" sqref="Y25"/>
    </sheetView>
  </sheetViews>
  <sheetFormatPr defaultRowHeight="15"/>
  <cols>
    <col min="23" max="23" width="14.42578125" bestFit="1" customWidth="1"/>
  </cols>
  <sheetData>
    <row r="3" spans="2:23">
      <c r="B3" t="s">
        <v>263</v>
      </c>
    </row>
    <row r="6" spans="2:23">
      <c r="W6" t="s">
        <v>292</v>
      </c>
    </row>
    <row r="7" spans="2:23">
      <c r="W7" t="s">
        <v>288</v>
      </c>
    </row>
    <row r="8" spans="2:23">
      <c r="W8" t="s">
        <v>289</v>
      </c>
    </row>
    <row r="9" spans="2:23">
      <c r="W9" t="s">
        <v>290</v>
      </c>
    </row>
    <row r="10" spans="2:23">
      <c r="W10" t="s">
        <v>291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66"/>
  <sheetViews>
    <sheetView zoomScaleNormal="100" workbookViewId="0">
      <selection activeCell="H10" sqref="H10"/>
    </sheetView>
  </sheetViews>
  <sheetFormatPr defaultColWidth="16.85546875" defaultRowHeight="15"/>
  <cols>
    <col min="2" max="2" width="12.85546875" customWidth="1"/>
    <col min="3" max="3" width="4.85546875" customWidth="1"/>
    <col min="4" max="4" width="50" bestFit="1" customWidth="1"/>
    <col min="5" max="5" width="12" bestFit="1" customWidth="1"/>
    <col min="6" max="6" width="4.85546875" customWidth="1"/>
    <col min="7" max="7" width="29.85546875" bestFit="1" customWidth="1"/>
    <col min="8" max="8" width="12.85546875" customWidth="1"/>
    <col min="9" max="9" width="4.85546875" customWidth="1"/>
    <col min="10" max="10" width="23.140625" bestFit="1" customWidth="1"/>
    <col min="11" max="11" width="12.85546875" customWidth="1"/>
    <col min="12" max="12" width="4.85546875" customWidth="1"/>
    <col min="13" max="13" width="21" customWidth="1"/>
    <col min="14" max="14" width="12.85546875" customWidth="1"/>
    <col min="15" max="15" width="4.85546875" customWidth="1"/>
    <col min="16" max="16" width="12.85546875" customWidth="1"/>
    <col min="18" max="18" width="12.85546875" customWidth="1"/>
  </cols>
  <sheetData>
    <row r="2" spans="1:26" ht="15.75" thickBot="1"/>
    <row r="3" spans="1:26" ht="18.75">
      <c r="A3" s="1" t="s">
        <v>0</v>
      </c>
      <c r="D3" s="1" t="s">
        <v>1</v>
      </c>
      <c r="G3" s="1" t="s">
        <v>2</v>
      </c>
      <c r="J3" s="1" t="s">
        <v>3</v>
      </c>
      <c r="M3" s="1" t="s">
        <v>142</v>
      </c>
      <c r="P3" s="111" t="s">
        <v>58</v>
      </c>
      <c r="Q3" s="112"/>
      <c r="R3" s="113"/>
      <c r="T3" s="111" t="s">
        <v>58</v>
      </c>
      <c r="U3" s="112"/>
      <c r="V3" s="112"/>
      <c r="W3" s="112"/>
      <c r="X3" s="112"/>
      <c r="Y3" s="112"/>
      <c r="Z3" s="113"/>
    </row>
    <row r="4" spans="1:26">
      <c r="P4" s="9"/>
      <c r="Q4" t="s">
        <v>166</v>
      </c>
      <c r="R4" s="10"/>
      <c r="T4" s="9"/>
      <c r="U4" s="48"/>
      <c r="V4" s="48"/>
      <c r="W4" s="48"/>
      <c r="X4" s="48"/>
      <c r="Z4" s="10"/>
    </row>
    <row r="5" spans="1:26" ht="15.75">
      <c r="A5" s="2" t="s">
        <v>4</v>
      </c>
      <c r="D5" s="2" t="s">
        <v>5</v>
      </c>
      <c r="G5" s="2" t="s">
        <v>6</v>
      </c>
      <c r="J5" s="2" t="s">
        <v>7</v>
      </c>
      <c r="M5" s="2" t="s">
        <v>31</v>
      </c>
      <c r="N5" s="8"/>
      <c r="P5" s="11" t="s">
        <v>59</v>
      </c>
      <c r="Q5" s="12"/>
      <c r="R5" s="13"/>
      <c r="T5" s="11" t="s">
        <v>59</v>
      </c>
      <c r="U5" s="49" t="s">
        <v>169</v>
      </c>
      <c r="V5" s="49" t="s">
        <v>167</v>
      </c>
      <c r="W5" s="49" t="s">
        <v>168</v>
      </c>
      <c r="X5" s="49" t="s">
        <v>170</v>
      </c>
      <c r="Y5" s="12"/>
      <c r="Z5" s="13"/>
    </row>
    <row r="6" spans="1:26" ht="15.75">
      <c r="A6" t="s">
        <v>8</v>
      </c>
      <c r="B6" s="3">
        <v>4</v>
      </c>
      <c r="D6" t="s">
        <v>9</v>
      </c>
      <c r="E6" s="3">
        <v>6</v>
      </c>
      <c r="G6" t="s">
        <v>10</v>
      </c>
      <c r="H6" s="3">
        <v>60</v>
      </c>
      <c r="J6" t="s">
        <v>11</v>
      </c>
      <c r="K6" s="3">
        <v>0.8</v>
      </c>
      <c r="M6" t="s">
        <v>140</v>
      </c>
      <c r="N6" s="3">
        <v>4</v>
      </c>
      <c r="P6" s="15">
        <v>7950</v>
      </c>
      <c r="Q6" s="14" t="s">
        <v>66</v>
      </c>
      <c r="R6" s="10">
        <f>AVERAGE(P6:P22)</f>
        <v>7940</v>
      </c>
      <c r="T6" s="69">
        <v>39</v>
      </c>
      <c r="U6" s="50">
        <f>POWER(T6,2)</f>
        <v>1521</v>
      </c>
      <c r="V6" s="71">
        <v>0.2</v>
      </c>
      <c r="W6" s="50">
        <f>(T6*V6)</f>
        <v>7.8000000000000007</v>
      </c>
      <c r="X6" s="50">
        <f>(U6*V6)</f>
        <v>304.2</v>
      </c>
      <c r="Y6" s="14" t="s">
        <v>66</v>
      </c>
      <c r="Z6" s="10">
        <f>SUM(W6:W22)</f>
        <v>111.8</v>
      </c>
    </row>
    <row r="7" spans="1:26" ht="15.75">
      <c r="A7" t="s">
        <v>12</v>
      </c>
      <c r="B7" s="3">
        <v>2</v>
      </c>
      <c r="D7" t="s">
        <v>13</v>
      </c>
      <c r="E7" s="3">
        <f>4/6</f>
        <v>0.66666666666666663</v>
      </c>
      <c r="G7" t="s">
        <v>14</v>
      </c>
      <c r="H7" s="3">
        <v>10</v>
      </c>
      <c r="J7" t="s">
        <v>15</v>
      </c>
      <c r="K7" s="3">
        <v>0.1</v>
      </c>
      <c r="M7" t="s">
        <v>141</v>
      </c>
      <c r="N7" s="3">
        <v>6.0444444E-2</v>
      </c>
      <c r="P7" s="15">
        <v>7890</v>
      </c>
      <c r="Q7" s="14" t="s">
        <v>72</v>
      </c>
      <c r="R7" s="10">
        <f>_xlfn.VAR.S(P6:P22)</f>
        <v>10920</v>
      </c>
      <c r="T7" s="69">
        <v>65</v>
      </c>
      <c r="U7" s="50">
        <f t="shared" ref="U7:U22" si="0">POWER(T7,2)</f>
        <v>4225</v>
      </c>
      <c r="V7" s="71">
        <v>0.1</v>
      </c>
      <c r="W7" s="50">
        <f t="shared" ref="W7:W22" si="1">(T7*V7)</f>
        <v>6.5</v>
      </c>
      <c r="X7" s="50">
        <f t="shared" ref="X7:X22" si="2">(U7*V7)</f>
        <v>422.5</v>
      </c>
      <c r="Y7" s="14" t="s">
        <v>72</v>
      </c>
      <c r="Z7" s="10">
        <f>SUM(X6:X22)-POWER(Z6,2)</f>
        <v>3144.9600000000009</v>
      </c>
    </row>
    <row r="8" spans="1:26" ht="15.75">
      <c r="A8" t="s">
        <v>16</v>
      </c>
      <c r="B8" s="4">
        <f>COMBIN(B6,B7)</f>
        <v>6</v>
      </c>
      <c r="D8" t="s">
        <v>282</v>
      </c>
      <c r="E8" s="3">
        <v>2</v>
      </c>
      <c r="G8" t="s">
        <v>183</v>
      </c>
      <c r="H8" s="3">
        <v>75</v>
      </c>
      <c r="J8" t="s">
        <v>17</v>
      </c>
      <c r="K8" s="3">
        <v>100</v>
      </c>
      <c r="M8" t="s">
        <v>132</v>
      </c>
      <c r="N8" s="3">
        <v>6</v>
      </c>
      <c r="P8" s="15">
        <v>7900</v>
      </c>
      <c r="Q8" s="14" t="s">
        <v>68</v>
      </c>
      <c r="R8" s="10">
        <f>SQRT(R7)</f>
        <v>104.49880382090505</v>
      </c>
      <c r="T8" s="69">
        <v>105</v>
      </c>
      <c r="U8" s="50">
        <f t="shared" si="0"/>
        <v>11025</v>
      </c>
      <c r="V8" s="71">
        <v>0.15</v>
      </c>
      <c r="W8" s="50">
        <f t="shared" si="1"/>
        <v>15.75</v>
      </c>
      <c r="X8" s="50">
        <f t="shared" si="2"/>
        <v>1653.75</v>
      </c>
      <c r="Y8" s="14" t="s">
        <v>68</v>
      </c>
      <c r="Z8" s="10">
        <f>SQRT(Z7)</f>
        <v>56.07994293863004</v>
      </c>
    </row>
    <row r="9" spans="1:26" ht="15.75">
      <c r="D9" s="101" t="s">
        <v>18</v>
      </c>
      <c r="E9" s="101">
        <v>6</v>
      </c>
      <c r="G9" t="s">
        <v>262</v>
      </c>
      <c r="H9" s="3">
        <v>70</v>
      </c>
      <c r="J9" t="s">
        <v>19</v>
      </c>
      <c r="K9" s="3">
        <v>0.82</v>
      </c>
      <c r="M9" t="s">
        <v>40</v>
      </c>
      <c r="N9" s="4">
        <f>N8*N7/N6</f>
        <v>9.0666666000000007E-2</v>
      </c>
      <c r="P9" s="15">
        <v>8140</v>
      </c>
      <c r="Q9" s="14" t="s">
        <v>75</v>
      </c>
      <c r="R9" s="10">
        <f>COUNT(P6:P22)</f>
        <v>6</v>
      </c>
      <c r="T9" s="69">
        <v>105</v>
      </c>
      <c r="U9" s="50">
        <f t="shared" si="0"/>
        <v>11025</v>
      </c>
      <c r="V9" s="71">
        <v>0.25</v>
      </c>
      <c r="W9" s="50">
        <f t="shared" si="1"/>
        <v>26.25</v>
      </c>
      <c r="X9" s="50">
        <f t="shared" si="2"/>
        <v>2756.25</v>
      </c>
      <c r="Y9" s="14" t="s">
        <v>75</v>
      </c>
      <c r="Z9" s="10">
        <f>COUNT(T6:T22)</f>
        <v>6</v>
      </c>
    </row>
    <row r="10" spans="1:26" ht="15.75">
      <c r="A10" s="2" t="s">
        <v>20</v>
      </c>
      <c r="D10" t="s">
        <v>252</v>
      </c>
      <c r="E10" s="4">
        <f xml:space="preserve"> _xlfn.BINOM.DIST(E8,E6,E7,FALSE)</f>
        <v>8.2304526748971221E-2</v>
      </c>
      <c r="G10" t="s">
        <v>21</v>
      </c>
      <c r="H10" s="4">
        <f>_xlfn.NORM.DIST(H8,H6,H7,FALSE)</f>
        <v>1.2951759566589173E-2</v>
      </c>
      <c r="J10" t="s">
        <v>18</v>
      </c>
      <c r="K10" s="3"/>
      <c r="M10" t="s">
        <v>179</v>
      </c>
      <c r="N10" s="4">
        <f>1-_xlfn.CHISQ.DIST(N8*N7/N6,N8,TRUE)</f>
        <v>0.99998499097552906</v>
      </c>
      <c r="P10" s="15">
        <v>7920</v>
      </c>
      <c r="Q10" s="14" t="s">
        <v>147</v>
      </c>
      <c r="R10" s="10">
        <f>SUMSQ(P6:P22)</f>
        <v>378316200</v>
      </c>
      <c r="T10" s="69">
        <v>145</v>
      </c>
      <c r="U10" s="50">
        <f t="shared" si="0"/>
        <v>21025</v>
      </c>
      <c r="V10" s="71">
        <v>0.1</v>
      </c>
      <c r="W10" s="50">
        <f t="shared" si="1"/>
        <v>14.5</v>
      </c>
      <c r="X10" s="50">
        <f t="shared" si="2"/>
        <v>2102.5</v>
      </c>
      <c r="Y10" s="14"/>
      <c r="Z10" s="10"/>
    </row>
    <row r="11" spans="1:26">
      <c r="A11" t="s">
        <v>8</v>
      </c>
      <c r="B11" s="3">
        <v>4</v>
      </c>
      <c r="D11" t="str">
        <f>"cdf ( &lt; "&amp;E8&amp;")"</f>
        <v>cdf ( &lt; 2)</v>
      </c>
      <c r="E11" s="5">
        <f xml:space="preserve"> _xlfn.BINOM.DIST(E8,E6,E7,TRUE)</f>
        <v>0.10013717421124831</v>
      </c>
      <c r="G11" t="s">
        <v>22</v>
      </c>
      <c r="H11" s="5">
        <f>_xlfn.NORM.DIST(H8,H6,H7,TRUE)</f>
        <v>0.93319279873114191</v>
      </c>
      <c r="J11" t="s">
        <v>23</v>
      </c>
      <c r="K11" s="5">
        <f>_xlfn.NORM.DIST(K9, K6, K7/SQRT(K8), TRUE)</f>
        <v>0.97724986805182024</v>
      </c>
      <c r="M11" t="s">
        <v>180</v>
      </c>
      <c r="N11" s="4">
        <f>_xlfn.CHISQ.DIST(N8*N7/N6,N8,TRUE)</f>
        <v>1.5009024470885785E-5</v>
      </c>
      <c r="P11" s="15">
        <v>7840</v>
      </c>
      <c r="R11" s="10"/>
      <c r="T11" s="69">
        <v>205</v>
      </c>
      <c r="U11" s="50">
        <f t="shared" si="0"/>
        <v>42025</v>
      </c>
      <c r="V11" s="71">
        <v>0.2</v>
      </c>
      <c r="W11" s="50">
        <f t="shared" si="1"/>
        <v>41</v>
      </c>
      <c r="X11" s="50">
        <f t="shared" si="2"/>
        <v>8405</v>
      </c>
      <c r="Z11" s="10"/>
    </row>
    <row r="12" spans="1:26">
      <c r="A12" t="s">
        <v>12</v>
      </c>
      <c r="B12" s="3">
        <v>2</v>
      </c>
      <c r="D12" t="str">
        <f>"cdf ( &lt; "&amp;E8-1&amp;")"</f>
        <v>cdf ( &lt; 1)</v>
      </c>
      <c r="E12" s="5">
        <f>E11-E10</f>
        <v>1.7832647462277085E-2</v>
      </c>
      <c r="G12" t="s">
        <v>24</v>
      </c>
      <c r="H12" s="5">
        <f>1-H11</f>
        <v>6.6807201268858085E-2</v>
      </c>
      <c r="J12" t="s">
        <v>271</v>
      </c>
      <c r="K12" s="5">
        <f>1-K11</f>
        <v>2.2750131948179764E-2</v>
      </c>
      <c r="P12" s="15"/>
      <c r="R12" s="10"/>
      <c r="T12" s="69"/>
      <c r="U12" s="50">
        <f t="shared" si="0"/>
        <v>0</v>
      </c>
      <c r="V12" s="71"/>
      <c r="W12" s="50">
        <f t="shared" si="1"/>
        <v>0</v>
      </c>
      <c r="X12" s="50">
        <f t="shared" si="2"/>
        <v>0</v>
      </c>
      <c r="Z12" s="10"/>
    </row>
    <row r="13" spans="1:26">
      <c r="A13" t="s">
        <v>25</v>
      </c>
      <c r="B13" s="4">
        <f>PERMUT(B11,B12)</f>
        <v>12</v>
      </c>
      <c r="D13" s="102" t="str">
        <f>"cdf P(X&gt;="&amp;E8&amp;") ==  1-P(X&lt;"&amp;E8-1&amp;")"</f>
        <v>cdf P(X&gt;=2) ==  1-P(X&lt;1)</v>
      </c>
      <c r="E13" s="5">
        <f>1-E12</f>
        <v>0.98216735253772292</v>
      </c>
      <c r="G13" t="s">
        <v>26</v>
      </c>
      <c r="H13" s="6">
        <f>IF(ISBLANK(H9),0,ABS(H11 - _xlfn.NORM.DIST(H9,H6,H7,TRUE)))</f>
        <v>9.1848052662598878E-2</v>
      </c>
      <c r="J13" t="s">
        <v>27</v>
      </c>
      <c r="K13" s="6">
        <f>IF(ISBLANK(K10),0,ABS(K11 - _xlfn.NORM.DIST(K10,K6,K7/SQRT(K8),TRUE)))</f>
        <v>0</v>
      </c>
      <c r="M13" s="2" t="s">
        <v>136</v>
      </c>
      <c r="N13" s="8"/>
      <c r="P13" s="15"/>
      <c r="R13" s="10"/>
      <c r="T13" s="69"/>
      <c r="U13" s="50">
        <f t="shared" si="0"/>
        <v>0</v>
      </c>
      <c r="V13" s="71"/>
      <c r="W13" s="50">
        <f t="shared" si="1"/>
        <v>0</v>
      </c>
      <c r="X13" s="50">
        <f t="shared" si="2"/>
        <v>0</v>
      </c>
      <c r="Z13" s="10"/>
    </row>
    <row r="14" spans="1:26">
      <c r="D14" s="141" t="s">
        <v>152</v>
      </c>
      <c r="E14" s="142">
        <f>E6*E7</f>
        <v>4</v>
      </c>
      <c r="G14" s="7" t="s">
        <v>29</v>
      </c>
      <c r="M14" t="s">
        <v>132</v>
      </c>
      <c r="N14" s="3">
        <v>24</v>
      </c>
      <c r="P14" s="15"/>
      <c r="R14" s="10"/>
      <c r="T14" s="69"/>
      <c r="U14" s="50">
        <f t="shared" si="0"/>
        <v>0</v>
      </c>
      <c r="V14" s="71"/>
      <c r="W14" s="50">
        <f t="shared" si="1"/>
        <v>0</v>
      </c>
      <c r="X14" s="50">
        <f t="shared" si="2"/>
        <v>0</v>
      </c>
      <c r="Z14" s="10"/>
    </row>
    <row r="15" spans="1:26">
      <c r="A15" s="2" t="s">
        <v>30</v>
      </c>
      <c r="D15" s="141" t="s">
        <v>157</v>
      </c>
      <c r="E15" s="142">
        <f>E6*E7*(1-E7)</f>
        <v>1.3333333333333335</v>
      </c>
      <c r="J15" s="2" t="s">
        <v>43</v>
      </c>
      <c r="M15" t="s">
        <v>137</v>
      </c>
      <c r="N15" s="3">
        <v>0.05</v>
      </c>
      <c r="P15" s="15"/>
      <c r="R15" s="10"/>
      <c r="T15" s="69"/>
      <c r="U15" s="50">
        <f t="shared" si="0"/>
        <v>0</v>
      </c>
      <c r="V15" s="71"/>
      <c r="W15" s="50">
        <f t="shared" si="1"/>
        <v>0</v>
      </c>
      <c r="X15" s="50">
        <f t="shared" si="2"/>
        <v>0</v>
      </c>
      <c r="Z15" s="10"/>
    </row>
    <row r="16" spans="1:26">
      <c r="A16" t="s">
        <v>32</v>
      </c>
      <c r="B16" s="3">
        <v>6</v>
      </c>
      <c r="D16" s="2" t="s">
        <v>33</v>
      </c>
      <c r="G16" s="2" t="s">
        <v>34</v>
      </c>
      <c r="J16" t="s">
        <v>45</v>
      </c>
      <c r="K16" s="3">
        <v>175</v>
      </c>
      <c r="M16" t="s">
        <v>138</v>
      </c>
      <c r="N16" s="5">
        <f>_xlfn.CHISQ.INV(N15,N14)</f>
        <v>13.848425027170213</v>
      </c>
      <c r="P16" s="15"/>
      <c r="R16" s="10"/>
      <c r="T16" s="69"/>
      <c r="U16" s="50">
        <f t="shared" si="0"/>
        <v>0</v>
      </c>
      <c r="V16" s="71"/>
      <c r="W16" s="50">
        <f t="shared" si="1"/>
        <v>0</v>
      </c>
      <c r="X16" s="50">
        <f t="shared" si="2"/>
        <v>0</v>
      </c>
      <c r="Z16" s="10"/>
    </row>
    <row r="17" spans="1:26">
      <c r="A17" t="s">
        <v>35</v>
      </c>
      <c r="B17" s="4">
        <f>FACT(B16)</f>
        <v>720</v>
      </c>
      <c r="D17" t="s">
        <v>283</v>
      </c>
      <c r="E17" s="3">
        <v>2</v>
      </c>
      <c r="G17" t="s">
        <v>260</v>
      </c>
      <c r="H17" s="3">
        <v>-2</v>
      </c>
      <c r="J17" t="s">
        <v>36</v>
      </c>
      <c r="K17" s="3">
        <v>30</v>
      </c>
      <c r="M17" t="s">
        <v>189</v>
      </c>
      <c r="N17" s="5">
        <f>_xlfn.CHISQ.INV.RT(N15,N14)</f>
        <v>36.415028501807313</v>
      </c>
      <c r="P17" s="15"/>
      <c r="R17" s="10"/>
      <c r="T17" s="69"/>
      <c r="U17" s="50">
        <f t="shared" si="0"/>
        <v>0</v>
      </c>
      <c r="V17" s="71"/>
      <c r="W17" s="50">
        <f t="shared" si="1"/>
        <v>0</v>
      </c>
      <c r="X17" s="50">
        <f t="shared" si="2"/>
        <v>0</v>
      </c>
      <c r="Z17" s="10"/>
    </row>
    <row r="18" spans="1:26">
      <c r="D18" t="s">
        <v>13</v>
      </c>
      <c r="E18" s="140">
        <f>1/6</f>
        <v>0.16666666666666666</v>
      </c>
      <c r="G18" t="s">
        <v>261</v>
      </c>
      <c r="H18" s="3"/>
      <c r="J18" t="s">
        <v>17</v>
      </c>
      <c r="K18" s="3">
        <v>50</v>
      </c>
      <c r="P18" s="15"/>
      <c r="R18" s="10"/>
      <c r="T18" s="69"/>
      <c r="U18" s="50">
        <f t="shared" si="0"/>
        <v>0</v>
      </c>
      <c r="V18" s="71"/>
      <c r="W18" s="50">
        <f t="shared" si="1"/>
        <v>0</v>
      </c>
      <c r="X18" s="50">
        <f t="shared" si="2"/>
        <v>0</v>
      </c>
      <c r="Z18" s="10"/>
    </row>
    <row r="19" spans="1:26">
      <c r="D19" s="144" t="s">
        <v>149</v>
      </c>
      <c r="E19" s="144">
        <f>E20-E17</f>
        <v>3</v>
      </c>
      <c r="G19" t="s">
        <v>37</v>
      </c>
      <c r="H19" s="5">
        <f>_xlfn.NORM.S.DIST(H17,TRUE)</f>
        <v>2.2750131948179191E-2</v>
      </c>
      <c r="J19" t="s">
        <v>51</v>
      </c>
      <c r="K19" s="3">
        <v>180</v>
      </c>
      <c r="M19" s="2" t="s">
        <v>181</v>
      </c>
      <c r="P19" s="15"/>
      <c r="R19" s="10"/>
      <c r="T19" s="69"/>
      <c r="U19" s="50">
        <f t="shared" si="0"/>
        <v>0</v>
      </c>
      <c r="V19" s="71"/>
      <c r="W19" s="50">
        <f t="shared" si="1"/>
        <v>0</v>
      </c>
      <c r="X19" s="50">
        <f t="shared" si="2"/>
        <v>0</v>
      </c>
      <c r="Z19" s="10"/>
    </row>
    <row r="20" spans="1:26">
      <c r="A20" s="1" t="s">
        <v>38</v>
      </c>
      <c r="D20" t="s">
        <v>284</v>
      </c>
      <c r="E20" s="3">
        <v>5</v>
      </c>
      <c r="G20" t="s">
        <v>39</v>
      </c>
      <c r="H20" s="6">
        <f>IF(ISBLANK(H18),0,ABS(H19 - _xlfn.NORM.S.DIST(H18,TRUE)))</f>
        <v>0</v>
      </c>
      <c r="J20" t="s">
        <v>22</v>
      </c>
      <c r="K20" s="5">
        <f>_xlfn.T.DIST(((K16-K19)/(K17/SQRT(K18))),K18-1,TRUE)</f>
        <v>0.12214216576725798</v>
      </c>
      <c r="M20" t="s">
        <v>143</v>
      </c>
      <c r="N20" s="3">
        <v>4</v>
      </c>
      <c r="P20" s="15"/>
      <c r="R20" s="10"/>
      <c r="T20" s="69"/>
      <c r="U20" s="50">
        <f t="shared" si="0"/>
        <v>0</v>
      </c>
      <c r="V20" s="71"/>
      <c r="W20" s="50">
        <f t="shared" si="1"/>
        <v>0</v>
      </c>
      <c r="X20" s="50">
        <f t="shared" si="2"/>
        <v>0</v>
      </c>
      <c r="Z20" s="10"/>
    </row>
    <row r="21" spans="1:26">
      <c r="D21" t="s">
        <v>252</v>
      </c>
      <c r="E21" s="4">
        <f xml:space="preserve"> _xlfn.NEGBINOM.DIST(E19,E17,E18,FALSE)</f>
        <v>6.430041152263373E-2</v>
      </c>
      <c r="J21" t="s">
        <v>24</v>
      </c>
      <c r="K21" s="5">
        <f>1-K20</f>
        <v>0.877857834232742</v>
      </c>
      <c r="M21" t="s">
        <v>144</v>
      </c>
      <c r="N21" s="3">
        <v>5</v>
      </c>
      <c r="P21" s="15"/>
      <c r="R21" s="10"/>
      <c r="T21" s="69"/>
      <c r="U21" s="50">
        <f t="shared" si="0"/>
        <v>0</v>
      </c>
      <c r="V21" s="71"/>
      <c r="W21" s="50">
        <f t="shared" si="1"/>
        <v>0</v>
      </c>
      <c r="X21" s="50">
        <f t="shared" si="2"/>
        <v>0</v>
      </c>
      <c r="Z21" s="10"/>
    </row>
    <row r="22" spans="1:26" ht="15.75" thickBot="1">
      <c r="A22" s="2" t="s">
        <v>41</v>
      </c>
      <c r="D22" t="str">
        <f>"cdf (X &lt; "&amp;E20&amp;")"</f>
        <v>cdf (X &lt; 5)</v>
      </c>
      <c r="E22" s="5">
        <f xml:space="preserve"> _xlfn.NEGBINOM.DIST(E19,E17,E18,TRUE)</f>
        <v>0.19624485596707819</v>
      </c>
      <c r="G22" s="2" t="s">
        <v>275</v>
      </c>
      <c r="J22" t="s">
        <v>54</v>
      </c>
      <c r="K22" s="4">
        <f>((K16-K19)/(K17/SQRT(K18)))</f>
        <v>-1.1785113019775793</v>
      </c>
      <c r="M22" t="s">
        <v>183</v>
      </c>
      <c r="N22" s="57">
        <f>15750/10920</f>
        <v>1.4423076923076923</v>
      </c>
      <c r="P22" s="29"/>
      <c r="Q22" s="30"/>
      <c r="R22" s="31"/>
      <c r="T22" s="70"/>
      <c r="U22" s="72">
        <f t="shared" si="0"/>
        <v>0</v>
      </c>
      <c r="V22" s="73"/>
      <c r="W22" s="72">
        <f t="shared" si="1"/>
        <v>0</v>
      </c>
      <c r="X22" s="72">
        <f t="shared" si="2"/>
        <v>0</v>
      </c>
      <c r="Y22" s="30"/>
      <c r="Z22" s="31"/>
    </row>
    <row r="23" spans="1:26">
      <c r="A23" t="s">
        <v>44</v>
      </c>
      <c r="B23" s="3">
        <v>0.2</v>
      </c>
      <c r="D23" t="str">
        <f>"cdf (X &lt; "&amp;E20-1&amp;")"</f>
        <v>cdf (X &lt; 4)</v>
      </c>
      <c r="E23" s="5">
        <f>E22-E21</f>
        <v>0.13194444444444448</v>
      </c>
      <c r="G23" t="s">
        <v>276</v>
      </c>
      <c r="H23" s="3">
        <v>7950</v>
      </c>
      <c r="M23" t="s">
        <v>182</v>
      </c>
      <c r="N23" s="4">
        <f>_xlfn.F.DIST(N22,N20,N21,TRUE)</f>
        <v>0.65640520908980371</v>
      </c>
    </row>
    <row r="24" spans="1:26">
      <c r="A24" t="s">
        <v>46</v>
      </c>
      <c r="B24" s="5">
        <f>1/(2*(B23^2))</f>
        <v>12.499999999999998</v>
      </c>
      <c r="D24" s="102" t="str">
        <f>"cdf P(X &gt;="&amp;E20&amp;") ==  1-P(X&lt;"&amp;E20-1&amp;")"</f>
        <v>cdf P(X &gt;=5) ==  1-P(X&lt;4)</v>
      </c>
      <c r="E24" s="143">
        <f>1-E23</f>
        <v>0.86805555555555558</v>
      </c>
      <c r="G24" t="s">
        <v>277</v>
      </c>
      <c r="H24" s="3">
        <v>100</v>
      </c>
      <c r="J24" s="2" t="s">
        <v>55</v>
      </c>
      <c r="K24" s="8"/>
      <c r="M24" t="s">
        <v>184</v>
      </c>
      <c r="N24" s="4">
        <f>1-N23</f>
        <v>0.34359479091019629</v>
      </c>
    </row>
    <row r="25" spans="1:26">
      <c r="A25" t="s">
        <v>47</v>
      </c>
      <c r="B25" s="5">
        <f>1/(B23^2)</f>
        <v>24.999999999999996</v>
      </c>
      <c r="D25" s="102" t="s">
        <v>157</v>
      </c>
      <c r="E25" s="5">
        <f>(1-E18)*E17/E18^2</f>
        <v>60.000000000000007</v>
      </c>
      <c r="G25" t="s">
        <v>174</v>
      </c>
      <c r="H25" s="3">
        <v>25</v>
      </c>
      <c r="J25" t="s">
        <v>132</v>
      </c>
      <c r="K25" s="3">
        <v>27</v>
      </c>
    </row>
    <row r="26" spans="1:26">
      <c r="D26" s="141" t="s">
        <v>152</v>
      </c>
      <c r="E26" s="142">
        <f>E17/E18</f>
        <v>12</v>
      </c>
      <c r="G26" t="s">
        <v>278</v>
      </c>
      <c r="H26" s="6">
        <f>H24/H25</f>
        <v>4</v>
      </c>
      <c r="J26" t="s">
        <v>135</v>
      </c>
      <c r="K26" s="3">
        <v>-0.86850000000000005</v>
      </c>
      <c r="M26" s="2" t="s">
        <v>145</v>
      </c>
      <c r="N26" s="8"/>
    </row>
    <row r="27" spans="1:26">
      <c r="A27" t="s">
        <v>49</v>
      </c>
      <c r="B27" s="3">
        <v>0.04</v>
      </c>
      <c r="D27" s="141"/>
      <c r="E27" s="141"/>
      <c r="G27" t="s">
        <v>279</v>
      </c>
      <c r="H27" s="3">
        <v>7960</v>
      </c>
      <c r="J27" t="s">
        <v>133</v>
      </c>
      <c r="K27" s="5">
        <f>_xlfn.T.DIST(-ABS(K26),K25,TRUE)</f>
        <v>0.19638765482837822</v>
      </c>
      <c r="M27" t="s">
        <v>143</v>
      </c>
      <c r="N27" s="3">
        <v>7</v>
      </c>
    </row>
    <row r="28" spans="1:26">
      <c r="A28" t="s">
        <v>44</v>
      </c>
      <c r="B28" s="5">
        <f>SQRT(1/B27)</f>
        <v>5</v>
      </c>
      <c r="D28" s="2" t="s">
        <v>52</v>
      </c>
      <c r="G28" t="s">
        <v>280</v>
      </c>
      <c r="H28" s="5">
        <f>(H27-H23)/SQRT(H26)</f>
        <v>5</v>
      </c>
      <c r="J28" t="s">
        <v>134</v>
      </c>
      <c r="K28" s="5" t="e">
        <f>_xlfn.T.DIST.2T(K26,K25)</f>
        <v>#NUM!</v>
      </c>
      <c r="M28" t="s">
        <v>144</v>
      </c>
      <c r="N28" s="3">
        <v>11</v>
      </c>
    </row>
    <row r="29" spans="1:26">
      <c r="A29" t="s">
        <v>219</v>
      </c>
      <c r="B29" s="3">
        <v>2</v>
      </c>
      <c r="D29" t="s">
        <v>253</v>
      </c>
      <c r="E29" s="3">
        <v>5</v>
      </c>
      <c r="G29" t="s">
        <v>281</v>
      </c>
      <c r="H29" s="5">
        <f>_xlfn.NORM.S.DIST(H28,TRUE)</f>
        <v>0.99999971334842808</v>
      </c>
      <c r="M29" t="s">
        <v>137</v>
      </c>
      <c r="N29" s="3">
        <v>2.5000000000000001E-2</v>
      </c>
    </row>
    <row r="30" spans="1:26">
      <c r="A30" t="s">
        <v>221</v>
      </c>
      <c r="B30" s="3">
        <v>10</v>
      </c>
      <c r="D30" t="s">
        <v>53</v>
      </c>
      <c r="E30" s="3">
        <v>1</v>
      </c>
      <c r="G30" t="s">
        <v>24</v>
      </c>
      <c r="H30" s="5">
        <f>1-H29</f>
        <v>2.8665157192353519E-7</v>
      </c>
      <c r="J30" s="2" t="s">
        <v>57</v>
      </c>
      <c r="M30" t="s">
        <v>138</v>
      </c>
      <c r="N30" s="5">
        <f>_xlfn.F.INV(N29,N27,N28)</f>
        <v>0.21233812514661485</v>
      </c>
    </row>
    <row r="31" spans="1:26">
      <c r="A31" t="s">
        <v>220</v>
      </c>
      <c r="B31" s="5">
        <f>B29/(B30^2*B27)</f>
        <v>0.5</v>
      </c>
      <c r="D31" t="s">
        <v>183</v>
      </c>
      <c r="E31" s="3">
        <v>20</v>
      </c>
      <c r="J31" t="s">
        <v>132</v>
      </c>
      <c r="K31" s="3">
        <v>11</v>
      </c>
      <c r="M31" t="s">
        <v>139</v>
      </c>
      <c r="N31" s="5">
        <f>_xlfn.F.INV.RT(N29,N27,N28)</f>
        <v>3.7586379183800718</v>
      </c>
    </row>
    <row r="32" spans="1:26">
      <c r="D32" s="101" t="s">
        <v>18</v>
      </c>
      <c r="E32" s="101"/>
      <c r="G32" s="2" t="s">
        <v>42</v>
      </c>
      <c r="J32" t="s">
        <v>13</v>
      </c>
      <c r="K32" s="3"/>
    </row>
    <row r="33" spans="4:11">
      <c r="D33" t="s">
        <v>252</v>
      </c>
      <c r="E33" s="4">
        <f>_xlfn.POISSON.DIST(E31,E29*E30,FALSE)</f>
        <v>2.6412107749256427E-7</v>
      </c>
      <c r="G33" t="s">
        <v>10</v>
      </c>
      <c r="H33" s="3">
        <v>0</v>
      </c>
      <c r="J33" t="s">
        <v>54</v>
      </c>
      <c r="K33" s="4" t="e">
        <f>_xlfn.T.INV(K32,K31)</f>
        <v>#NUM!</v>
      </c>
    </row>
    <row r="34" spans="4:11">
      <c r="D34" t="s">
        <v>22</v>
      </c>
      <c r="E34" s="5">
        <f>_xlfn.POISSON.DIST(E31,E29*E30,TRUE)</f>
        <v>0.9999999189074954</v>
      </c>
      <c r="G34" t="s">
        <v>14</v>
      </c>
      <c r="H34" s="3">
        <v>1</v>
      </c>
    </row>
    <row r="35" spans="4:11">
      <c r="D35" s="102" t="s">
        <v>254</v>
      </c>
      <c r="E35" s="5">
        <f>E34-E33</f>
        <v>0.99999965478641795</v>
      </c>
      <c r="G35" t="s">
        <v>48</v>
      </c>
      <c r="H35" s="3">
        <v>0.95</v>
      </c>
    </row>
    <row r="36" spans="4:11">
      <c r="D36" s="102" t="s">
        <v>255</v>
      </c>
      <c r="E36" s="102">
        <f>1-E35</f>
        <v>3.4521358205363839E-7</v>
      </c>
      <c r="G36" t="s">
        <v>50</v>
      </c>
      <c r="H36" s="5">
        <f>_xlfn.NORM.INV(H35,H33,H34)</f>
        <v>1.6448536269514715</v>
      </c>
      <c r="J36" s="2" t="s">
        <v>248</v>
      </c>
    </row>
    <row r="37" spans="4:11">
      <c r="D37" s="114" t="s">
        <v>28</v>
      </c>
      <c r="E37" s="114"/>
      <c r="J37" t="s">
        <v>249</v>
      </c>
      <c r="K37">
        <v>1.18</v>
      </c>
    </row>
    <row r="38" spans="4:11">
      <c r="D38" s="114" t="s">
        <v>148</v>
      </c>
      <c r="E38" s="114"/>
      <c r="G38" s="2" t="s">
        <v>150</v>
      </c>
      <c r="H38" t="s">
        <v>151</v>
      </c>
      <c r="J38" t="s">
        <v>251</v>
      </c>
      <c r="K38" t="s">
        <v>21</v>
      </c>
    </row>
    <row r="39" spans="4:11">
      <c r="G39" t="s">
        <v>48</v>
      </c>
      <c r="H39" s="3">
        <v>0.98</v>
      </c>
      <c r="J39" t="s">
        <v>250</v>
      </c>
      <c r="K39">
        <f>_xlfn.NORM.S.DIST(K37, IF(K38="cdf",TRUE, FALSE))</f>
        <v>0.19886311938727591</v>
      </c>
    </row>
    <row r="40" spans="4:11">
      <c r="D40" s="2" t="s">
        <v>256</v>
      </c>
      <c r="G40" t="s">
        <v>54</v>
      </c>
      <c r="H40" s="4">
        <f>_xlfn.NORM.S.INV(H39)</f>
        <v>2.0537489106318221</v>
      </c>
    </row>
    <row r="42" spans="4:11">
      <c r="G42" s="2" t="s">
        <v>56</v>
      </c>
    </row>
    <row r="43" spans="4:11">
      <c r="G43" t="s">
        <v>10</v>
      </c>
      <c r="H43" s="3">
        <v>2</v>
      </c>
    </row>
    <row r="44" spans="4:11">
      <c r="G44" t="s">
        <v>183</v>
      </c>
      <c r="H44" s="3">
        <v>30000</v>
      </c>
    </row>
    <row r="45" spans="4:11">
      <c r="G45" t="s">
        <v>18</v>
      </c>
      <c r="H45" s="3"/>
      <c r="J45" s="2" t="s">
        <v>264</v>
      </c>
    </row>
    <row r="46" spans="4:11">
      <c r="G46" t="s">
        <v>21</v>
      </c>
      <c r="H46" s="4">
        <f>_xlfn.EXPON.DIST(H44,1/H43,FALSE)</f>
        <v>0</v>
      </c>
    </row>
    <row r="47" spans="4:11">
      <c r="G47" t="s">
        <v>22</v>
      </c>
      <c r="H47" s="5">
        <f>_xlfn.EXPON.DIST(H44,1/H43,TRUE)</f>
        <v>1</v>
      </c>
    </row>
    <row r="48" spans="4:11">
      <c r="G48" t="s">
        <v>259</v>
      </c>
      <c r="H48" s="5">
        <f>1-H47</f>
        <v>0</v>
      </c>
    </row>
    <row r="49" spans="4:11">
      <c r="D49" t="s">
        <v>257</v>
      </c>
      <c r="E49" s="57">
        <f>0.05/100</f>
        <v>5.0000000000000001E-4</v>
      </c>
      <c r="J49" t="s">
        <v>174</v>
      </c>
      <c r="K49" s="3">
        <v>100</v>
      </c>
    </row>
    <row r="50" spans="4:11">
      <c r="D50" t="s">
        <v>258</v>
      </c>
      <c r="E50" s="57">
        <v>10000</v>
      </c>
      <c r="J50" t="s">
        <v>265</v>
      </c>
      <c r="K50" s="3">
        <v>0.9</v>
      </c>
    </row>
    <row r="51" spans="4:11">
      <c r="F51" t="s">
        <v>183</v>
      </c>
      <c r="J51" t="s">
        <v>266</v>
      </c>
      <c r="K51" s="3">
        <v>100.5</v>
      </c>
    </row>
    <row r="52" spans="4:11">
      <c r="D52" t="str">
        <f t="shared" ref="D52:D55" si="3">"pdf (X="&amp;F52&amp;")"</f>
        <v>pdf (X=0)</v>
      </c>
      <c r="E52" s="5">
        <f t="shared" ref="E52:E55" si="4">(EXP($E$49*$E$50*-1)*POWER($E$49*$E$50,F52))/FACT(F52)</f>
        <v>6.737946999085467E-3</v>
      </c>
      <c r="F52">
        <v>0</v>
      </c>
      <c r="J52" t="s">
        <v>267</v>
      </c>
      <c r="K52" s="3">
        <v>79.5</v>
      </c>
    </row>
    <row r="53" spans="4:11">
      <c r="D53" t="str">
        <f t="shared" si="3"/>
        <v>pdf (X=1)</v>
      </c>
      <c r="E53" s="5">
        <f t="shared" si="4"/>
        <v>3.3689734995427337E-2</v>
      </c>
      <c r="F53">
        <v>1</v>
      </c>
      <c r="J53" t="s">
        <v>268</v>
      </c>
      <c r="K53">
        <f>_xlfn.NORM.DIST(K51,K$49*K$50,SQRT(K$49*K$50*(1-K$50)),TRUE)</f>
        <v>0.99976737092096446</v>
      </c>
    </row>
    <row r="54" spans="4:11">
      <c r="D54" t="str">
        <f t="shared" si="3"/>
        <v>pdf (X=2)</v>
      </c>
      <c r="E54" s="5">
        <f t="shared" si="4"/>
        <v>8.4224337488568335E-2</v>
      </c>
      <c r="F54">
        <v>2</v>
      </c>
      <c r="J54" t="s">
        <v>269</v>
      </c>
      <c r="K54">
        <f>_xlfn.NORM.DIST(K52,K$49*K$50,SQRT(K$49*K$50*(1-K$50)),TRUE)</f>
        <v>2.3262907903552461E-4</v>
      </c>
    </row>
    <row r="55" spans="4:11">
      <c r="D55" t="str">
        <f t="shared" si="3"/>
        <v>pdf (X=3)</v>
      </c>
      <c r="E55" s="5">
        <f t="shared" si="4"/>
        <v>0.14037389581428056</v>
      </c>
      <c r="F55">
        <v>3</v>
      </c>
      <c r="J55" t="s">
        <v>270</v>
      </c>
      <c r="K55">
        <f>K53-K54</f>
        <v>0.99953474184192892</v>
      </c>
    </row>
    <row r="56" spans="4:11">
      <c r="D56" t="str">
        <f>"pdf (X="&amp;F56&amp;")"</f>
        <v>pdf (X=4)</v>
      </c>
      <c r="E56" s="5">
        <f t="shared" ref="E53:E60" si="5">(EXP($E$49*$E$50*-1)*POWER($E$49*$E$50,F56))/FACT(F56)</f>
        <v>0.17546736976785071</v>
      </c>
      <c r="F56">
        <v>4</v>
      </c>
    </row>
    <row r="57" spans="4:11">
      <c r="D57" t="str">
        <f t="shared" ref="D57:D60" si="6">"pdf (X="&amp;F57&amp;")"</f>
        <v>pdf (X=5)</v>
      </c>
      <c r="E57" s="5">
        <f t="shared" si="5"/>
        <v>0.17546736976785071</v>
      </c>
      <c r="F57">
        <v>5</v>
      </c>
    </row>
    <row r="58" spans="4:11">
      <c r="D58" t="str">
        <f t="shared" si="6"/>
        <v>pdf (X=6)</v>
      </c>
      <c r="E58" s="5">
        <f t="shared" si="5"/>
        <v>0.14622280813987559</v>
      </c>
      <c r="F58">
        <v>6</v>
      </c>
    </row>
    <row r="59" spans="4:11">
      <c r="D59" t="str">
        <f t="shared" si="6"/>
        <v>pdf (X=7)</v>
      </c>
      <c r="E59" s="5">
        <f t="shared" si="5"/>
        <v>0.104444862957054</v>
      </c>
      <c r="F59">
        <v>7</v>
      </c>
    </row>
    <row r="60" spans="4:11">
      <c r="D60" t="str">
        <f t="shared" si="6"/>
        <v>pdf (X=8)</v>
      </c>
      <c r="E60" s="5">
        <f t="shared" si="5"/>
        <v>6.5278039348158748E-2</v>
      </c>
      <c r="F60">
        <v>8</v>
      </c>
    </row>
    <row r="61" spans="4:11">
      <c r="D61" t="str">
        <f>"pdf (X="&amp;F61&amp;")"</f>
        <v>pdf (X=9)</v>
      </c>
      <c r="E61" s="5">
        <f t="shared" ref="E61:E62" si="7">(EXP($E$49*$E$50*-1)*POWER($E$49*$E$50,F61))/FACT(F61)</f>
        <v>3.6265577415643749E-2</v>
      </c>
      <c r="F61">
        <v>9</v>
      </c>
    </row>
    <row r="62" spans="4:11">
      <c r="D62" t="str">
        <f t="shared" ref="D62" si="8">"pdf (X="&amp;F62&amp;")"</f>
        <v>pdf (X=10)</v>
      </c>
      <c r="E62" s="5">
        <f t="shared" si="7"/>
        <v>1.8132788707821871E-2</v>
      </c>
      <c r="F62">
        <v>10</v>
      </c>
    </row>
    <row r="66" spans="4:5">
      <c r="D66" t="str">
        <f>"P(X&gt;="&amp;F54&amp;")"</f>
        <v>P(X&gt;=2)</v>
      </c>
      <c r="E66">
        <f>1-SUM(E52:E63)</f>
        <v>1.3695268598382881E-2</v>
      </c>
    </row>
  </sheetData>
  <mergeCells count="4">
    <mergeCell ref="T3:Z3"/>
    <mergeCell ref="D38:E38"/>
    <mergeCell ref="D37:E37"/>
    <mergeCell ref="P3:R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9"/>
  <sheetViews>
    <sheetView topLeftCell="A14" zoomScale="89" zoomScaleNormal="89" workbookViewId="0">
      <selection activeCell="I8" sqref="I8"/>
    </sheetView>
  </sheetViews>
  <sheetFormatPr defaultColWidth="11.85546875" defaultRowHeight="15"/>
  <cols>
    <col min="1" max="1" width="12.28515625" bestFit="1" customWidth="1"/>
    <col min="2" max="2" width="25.7109375" bestFit="1" customWidth="1"/>
    <col min="3" max="3" width="13.42578125" bestFit="1" customWidth="1"/>
    <col min="5" max="5" width="31.7109375" customWidth="1"/>
    <col min="6" max="6" width="18.85546875" customWidth="1"/>
    <col min="8" max="8" width="22" customWidth="1"/>
    <col min="9" max="9" width="20.5703125" customWidth="1"/>
    <col min="11" max="11" width="30.5703125" customWidth="1"/>
    <col min="12" max="12" width="19.140625" customWidth="1"/>
    <col min="14" max="14" width="28.140625" customWidth="1"/>
    <col min="15" max="15" width="26.85546875" customWidth="1"/>
    <col min="17" max="18" width="20.140625" customWidth="1"/>
    <col min="19" max="19" width="41.85546875" customWidth="1"/>
    <col min="22" max="22" width="30.85546875" customWidth="1"/>
    <col min="25" max="25" width="30.85546875" customWidth="1"/>
    <col min="28" max="28" width="29.5703125" customWidth="1"/>
    <col min="29" max="29" width="15.5703125" customWidth="1"/>
  </cols>
  <sheetData>
    <row r="1" spans="1:29" ht="15.75" thickBot="1">
      <c r="E1" s="137" t="s">
        <v>247</v>
      </c>
      <c r="F1" s="138"/>
      <c r="G1" s="138"/>
      <c r="H1" s="138"/>
      <c r="I1" s="138"/>
      <c r="J1" s="138"/>
      <c r="K1" s="138"/>
      <c r="L1" s="138"/>
      <c r="M1" s="138"/>
    </row>
    <row r="2" spans="1:29" ht="58.35" customHeight="1">
      <c r="A2" s="111" t="s">
        <v>58</v>
      </c>
      <c r="B2" s="112"/>
      <c r="C2" s="113"/>
      <c r="E2" s="138"/>
      <c r="F2" s="138"/>
      <c r="G2" s="138"/>
      <c r="H2" s="138"/>
      <c r="I2" s="138"/>
      <c r="J2" s="138"/>
      <c r="K2" s="138"/>
      <c r="L2" s="138"/>
      <c r="M2" s="138"/>
    </row>
    <row r="3" spans="1:29" ht="58.35" customHeight="1">
      <c r="A3" s="107"/>
      <c r="B3" s="108"/>
      <c r="C3" s="109"/>
      <c r="E3" s="100"/>
      <c r="F3" s="100"/>
      <c r="G3" s="100"/>
      <c r="H3" s="100"/>
      <c r="I3" s="100"/>
      <c r="J3" s="100"/>
      <c r="K3" s="100"/>
      <c r="L3" s="100"/>
      <c r="M3" s="100"/>
    </row>
    <row r="4" spans="1:29" ht="58.35" customHeight="1">
      <c r="A4" s="107"/>
      <c r="B4" s="108"/>
      <c r="C4" s="109"/>
      <c r="E4" s="100"/>
      <c r="F4" s="100"/>
      <c r="G4" s="100"/>
      <c r="H4" s="100"/>
      <c r="I4" s="100"/>
      <c r="J4" s="100"/>
      <c r="K4" s="100"/>
      <c r="L4" s="100"/>
      <c r="M4" s="100"/>
    </row>
    <row r="5" spans="1:29" ht="41.25" customHeight="1">
      <c r="A5" s="107"/>
      <c r="B5" s="108"/>
      <c r="C5" s="109"/>
      <c r="E5" s="100"/>
      <c r="F5" s="100"/>
      <c r="G5" s="100"/>
      <c r="H5" s="100"/>
      <c r="I5" s="100"/>
      <c r="J5" s="100"/>
      <c r="K5" s="100"/>
      <c r="L5" s="100"/>
      <c r="M5" s="100"/>
    </row>
    <row r="6" spans="1:29">
      <c r="A6" s="9"/>
      <c r="C6" s="10"/>
    </row>
    <row r="7" spans="1:29" ht="51" customHeight="1" thickBot="1">
      <c r="A7" s="11" t="s">
        <v>59</v>
      </c>
      <c r="B7" s="12"/>
      <c r="C7" s="13"/>
      <c r="E7" s="117" t="s">
        <v>60</v>
      </c>
      <c r="F7" s="117"/>
      <c r="H7" s="117" t="s">
        <v>61</v>
      </c>
      <c r="I7" s="117"/>
      <c r="K7" s="117" t="s">
        <v>62</v>
      </c>
      <c r="L7" s="117"/>
      <c r="N7" s="117" t="s">
        <v>200</v>
      </c>
      <c r="O7" s="117"/>
      <c r="Q7" s="115" t="s">
        <v>63</v>
      </c>
      <c r="R7" s="115"/>
      <c r="S7" s="115"/>
      <c r="T7" s="115"/>
      <c r="V7" s="117" t="s">
        <v>64</v>
      </c>
      <c r="W7" s="117"/>
      <c r="X7" s="14"/>
      <c r="Y7" s="115" t="s">
        <v>65</v>
      </c>
      <c r="Z7" s="115"/>
      <c r="AB7" s="117"/>
      <c r="AC7" s="117"/>
    </row>
    <row r="8" spans="1:29" ht="16.5" thickBot="1">
      <c r="A8" s="15">
        <v>20</v>
      </c>
      <c r="B8" s="14" t="s">
        <v>66</v>
      </c>
      <c r="C8" s="10">
        <f>AVERAGE(A8:A24)</f>
        <v>22</v>
      </c>
      <c r="D8" s="16"/>
      <c r="E8" s="17" t="s">
        <v>67</v>
      </c>
      <c r="F8" s="77">
        <v>40</v>
      </c>
      <c r="H8" s="17" t="s">
        <v>68</v>
      </c>
      <c r="I8" s="18">
        <v>2.7646000000000002</v>
      </c>
      <c r="K8" s="17" t="s">
        <v>69</v>
      </c>
      <c r="L8" s="18">
        <v>23.625</v>
      </c>
      <c r="N8" s="17" t="s">
        <v>69</v>
      </c>
      <c r="O8" s="18">
        <v>36</v>
      </c>
      <c r="Q8" s="65" t="s">
        <v>190</v>
      </c>
      <c r="R8" s="67" t="s">
        <v>193</v>
      </c>
      <c r="S8" s="66" t="s">
        <v>194</v>
      </c>
      <c r="T8" s="53"/>
      <c r="V8" s="17" t="s">
        <v>68</v>
      </c>
      <c r="W8" s="18">
        <v>1.39</v>
      </c>
      <c r="Y8" s="17" t="s">
        <v>71</v>
      </c>
      <c r="Z8" s="19">
        <v>8.8768999999999991</v>
      </c>
      <c r="AB8" s="117" t="s">
        <v>286</v>
      </c>
      <c r="AC8" s="117"/>
    </row>
    <row r="9" spans="1:29" ht="16.5" thickBot="1">
      <c r="A9" s="15">
        <v>19</v>
      </c>
      <c r="B9" s="14" t="s">
        <v>72</v>
      </c>
      <c r="C9" s="10">
        <f>_xlfn.VAR.S(A8:A24)</f>
        <v>6.5</v>
      </c>
      <c r="D9" s="16"/>
      <c r="E9" s="20" t="s">
        <v>66</v>
      </c>
      <c r="F9" s="78">
        <v>200</v>
      </c>
      <c r="H9" s="20" t="s">
        <v>66</v>
      </c>
      <c r="I9" s="21">
        <v>1.75</v>
      </c>
      <c r="K9" s="20" t="s">
        <v>73</v>
      </c>
      <c r="L9" s="21">
        <v>21.875</v>
      </c>
      <c r="N9" s="20" t="s">
        <v>73</v>
      </c>
      <c r="O9" s="21">
        <v>42</v>
      </c>
      <c r="Q9" s="33"/>
      <c r="R9" s="16">
        <f>IF(Q9, POWER(Q9-T11,2), 0)</f>
        <v>0</v>
      </c>
      <c r="S9" s="48" t="s">
        <v>191</v>
      </c>
      <c r="T9" s="68">
        <f>IF(Q9,SUM(R9:R26),)</f>
        <v>0</v>
      </c>
      <c r="V9" s="20" t="s">
        <v>66</v>
      </c>
      <c r="W9" s="21">
        <v>21</v>
      </c>
      <c r="Y9" s="20" t="s">
        <v>74</v>
      </c>
      <c r="Z9" s="22">
        <v>30.221</v>
      </c>
      <c r="AB9" s="17" t="s">
        <v>69</v>
      </c>
      <c r="AC9" s="18">
        <v>170</v>
      </c>
    </row>
    <row r="10" spans="1:29" ht="16.5" thickBot="1">
      <c r="A10" s="15">
        <v>24</v>
      </c>
      <c r="B10" s="14" t="s">
        <v>68</v>
      </c>
      <c r="C10" s="10">
        <f>SQRT(C9)</f>
        <v>2.5495097567963922</v>
      </c>
      <c r="D10" s="16"/>
      <c r="E10" s="20" t="s">
        <v>75</v>
      </c>
      <c r="F10" s="78">
        <v>100</v>
      </c>
      <c r="H10" s="20" t="s">
        <v>75</v>
      </c>
      <c r="I10" s="21">
        <v>8</v>
      </c>
      <c r="K10" s="20" t="s">
        <v>71</v>
      </c>
      <c r="L10" s="21">
        <v>5.0408999999999997</v>
      </c>
      <c r="N10" s="20" t="s">
        <v>76</v>
      </c>
      <c r="O10" s="21">
        <v>6</v>
      </c>
      <c r="Q10" s="33"/>
      <c r="R10" s="16">
        <f>IF(Q10, POWER(Q10-T11,2), 0)</f>
        <v>0</v>
      </c>
      <c r="S10" s="48" t="s">
        <v>192</v>
      </c>
      <c r="T10" s="59"/>
      <c r="V10" s="20" t="s">
        <v>75</v>
      </c>
      <c r="W10" s="21">
        <v>9</v>
      </c>
      <c r="Y10" s="20" t="s">
        <v>77</v>
      </c>
      <c r="Z10" s="22">
        <v>5</v>
      </c>
      <c r="AB10" s="20" t="s">
        <v>73</v>
      </c>
      <c r="AC10" s="21">
        <v>160</v>
      </c>
    </row>
    <row r="11" spans="1:29" ht="16.5" thickBot="1">
      <c r="A11" s="15">
        <v>22</v>
      </c>
      <c r="B11" s="14" t="s">
        <v>75</v>
      </c>
      <c r="C11" s="10">
        <f>COUNT(A8:A24)</f>
        <v>5</v>
      </c>
      <c r="D11" s="16"/>
      <c r="E11" s="23" t="s">
        <v>78</v>
      </c>
      <c r="F11" s="79">
        <f>1-0.95</f>
        <v>5.0000000000000044E-2</v>
      </c>
      <c r="H11" s="23" t="s">
        <v>146</v>
      </c>
      <c r="I11" s="24">
        <v>0.05</v>
      </c>
      <c r="K11" s="20" t="s">
        <v>74</v>
      </c>
      <c r="L11" s="21">
        <v>4.1555</v>
      </c>
      <c r="N11" s="20" t="s">
        <v>79</v>
      </c>
      <c r="O11" s="21">
        <v>8</v>
      </c>
      <c r="Q11" s="33"/>
      <c r="R11" s="16">
        <f>IF(Q11, POWER(Q11-T11,2), 0)</f>
        <v>0</v>
      </c>
      <c r="S11" s="48" t="s">
        <v>70</v>
      </c>
      <c r="T11" s="59">
        <v>2.8</v>
      </c>
      <c r="V11" s="23" t="s">
        <v>146</v>
      </c>
      <c r="W11" s="24">
        <v>0.05</v>
      </c>
      <c r="Y11" s="20" t="s">
        <v>80</v>
      </c>
      <c r="Z11" s="22">
        <v>7</v>
      </c>
      <c r="AB11" s="20" t="s">
        <v>76</v>
      </c>
      <c r="AC11" s="21">
        <v>20</v>
      </c>
    </row>
    <row r="12" spans="1:29" ht="15.75">
      <c r="A12" s="15">
        <v>25</v>
      </c>
      <c r="B12" s="14" t="s">
        <v>147</v>
      </c>
      <c r="C12" s="10">
        <f>SUMSQ(A8:A24)</f>
        <v>2446</v>
      </c>
      <c r="D12" s="16"/>
      <c r="E12" s="20" t="s">
        <v>202</v>
      </c>
      <c r="F12" s="25">
        <f>ABS(_xlfn.NORM.S.INV(F11/2))</f>
        <v>1.9599639845400536</v>
      </c>
      <c r="H12" s="20" t="s">
        <v>130</v>
      </c>
      <c r="I12" s="25">
        <f>ABS(_xlfn.T.INV(I11/2,I10-1))</f>
        <v>2.3646242515927849</v>
      </c>
      <c r="K12" s="20" t="s">
        <v>77</v>
      </c>
      <c r="L12" s="21">
        <v>8</v>
      </c>
      <c r="N12" s="20" t="s">
        <v>77</v>
      </c>
      <c r="O12" s="21">
        <v>50</v>
      </c>
      <c r="Q12" s="33"/>
      <c r="R12" s="16">
        <f>IF(Q12, POWER(Q12-T11,2), 0)</f>
        <v>0</v>
      </c>
      <c r="S12" s="48" t="s">
        <v>75</v>
      </c>
      <c r="T12" s="59">
        <v>10</v>
      </c>
      <c r="V12" s="17" t="s">
        <v>83</v>
      </c>
      <c r="W12" s="25">
        <f>_xlfn.CHISQ.INV(W11/2, W10-1)</f>
        <v>2.1797307472526501</v>
      </c>
      <c r="Y12" s="20" t="s">
        <v>84</v>
      </c>
      <c r="Z12" s="22">
        <v>0.05</v>
      </c>
      <c r="AB12" s="20" t="s">
        <v>79</v>
      </c>
      <c r="AC12" s="21">
        <v>15</v>
      </c>
    </row>
    <row r="13" spans="1:29">
      <c r="A13" s="15"/>
      <c r="C13" s="10"/>
      <c r="D13" s="16"/>
      <c r="E13" s="17" t="s">
        <v>81</v>
      </c>
      <c r="F13" s="25">
        <f>_xlfn.CONFIDENCE.NORM(F11,F8,F10)</f>
        <v>7.8398559381602144</v>
      </c>
      <c r="H13" s="17" t="s">
        <v>81</v>
      </c>
      <c r="I13" s="25">
        <f>_xlfn.CONFIDENCE.T(I11,I8,I10)</f>
        <v>2.3112634399375005</v>
      </c>
      <c r="K13" s="20" t="s">
        <v>80</v>
      </c>
      <c r="L13" s="21">
        <v>8</v>
      </c>
      <c r="N13" s="20" t="s">
        <v>80</v>
      </c>
      <c r="O13" s="21">
        <v>75</v>
      </c>
      <c r="Q13" s="33"/>
      <c r="R13" s="16">
        <f>IF(Q13, POWER(Q13-T11,2), 0)</f>
        <v>0</v>
      </c>
      <c r="S13" s="48" t="s">
        <v>146</v>
      </c>
      <c r="T13" s="59">
        <v>0.01</v>
      </c>
      <c r="V13" s="20" t="s">
        <v>86</v>
      </c>
      <c r="W13" s="27">
        <f>_xlfn.CHISQ.INV.RT(W11/2, W10-1)</f>
        <v>17.53454613948465</v>
      </c>
      <c r="Y13" s="17" t="s">
        <v>87</v>
      </c>
      <c r="Z13" s="25">
        <f>_xlfn.F.INV.RT(Z12/2, Z10-1, Z11-1)</f>
        <v>6.2271611643576446</v>
      </c>
      <c r="AB13" s="20" t="s">
        <v>77</v>
      </c>
      <c r="AC13" s="21">
        <v>30</v>
      </c>
    </row>
    <row r="14" spans="1:29">
      <c r="A14" s="15"/>
      <c r="C14" s="10"/>
      <c r="D14" s="16"/>
      <c r="E14" s="20" t="s">
        <v>82</v>
      </c>
      <c r="F14" s="26">
        <f>F9+F13</f>
        <v>207.83985593816021</v>
      </c>
      <c r="H14" s="20" t="s">
        <v>82</v>
      </c>
      <c r="I14" s="26">
        <f>I9+I13</f>
        <v>4.0612634399375001</v>
      </c>
      <c r="K14" s="23" t="s">
        <v>146</v>
      </c>
      <c r="L14" s="24">
        <v>0.05</v>
      </c>
      <c r="N14" s="23" t="s">
        <v>146</v>
      </c>
      <c r="O14" s="24">
        <v>0.04</v>
      </c>
      <c r="Q14" s="33"/>
      <c r="R14" s="48">
        <f>IF(Q14, POWER(Q14-T11,2), 0)</f>
        <v>0</v>
      </c>
      <c r="S14" s="33" t="s">
        <v>83</v>
      </c>
      <c r="T14" s="27">
        <f>_xlfn.CHISQ.INV(T13/2, T12-1)</f>
        <v>1.7349329049966602</v>
      </c>
      <c r="V14" s="20" t="s">
        <v>82</v>
      </c>
      <c r="W14" s="26">
        <f>((W10-1)*W8^2)/W12</f>
        <v>7.0911510605068404</v>
      </c>
      <c r="Y14" s="20" t="s">
        <v>88</v>
      </c>
      <c r="Z14" s="27">
        <f>_xlfn.F.INV(Z12/2, Z10-1, Z11-1)</f>
        <v>0.10872743037293352</v>
      </c>
      <c r="AB14" s="20" t="s">
        <v>80</v>
      </c>
      <c r="AC14" s="21">
        <v>30</v>
      </c>
    </row>
    <row r="15" spans="1:29">
      <c r="A15" s="15"/>
      <c r="C15" s="10"/>
      <c r="E15" s="23" t="s">
        <v>85</v>
      </c>
      <c r="F15" s="28">
        <f>F9-F13</f>
        <v>192.16014406183979</v>
      </c>
      <c r="H15" s="23" t="s">
        <v>85</v>
      </c>
      <c r="I15" s="28">
        <f>I9-I13</f>
        <v>-0.5612634399375005</v>
      </c>
      <c r="K15" s="20" t="s">
        <v>89</v>
      </c>
      <c r="L15" s="27">
        <f>MAX(L8,L9)-MIN(L8,L9)</f>
        <v>1.75</v>
      </c>
      <c r="N15" s="20" t="s">
        <v>90</v>
      </c>
      <c r="O15" s="27">
        <f>ABS(O8-O9)</f>
        <v>6</v>
      </c>
      <c r="Q15" s="33"/>
      <c r="R15" s="48">
        <f>IF(Q15, POWER(Q15-T11,2), 0)</f>
        <v>0</v>
      </c>
      <c r="S15" s="33" t="s">
        <v>86</v>
      </c>
      <c r="T15" s="27">
        <f>_xlfn.CHISQ.INV.RT(T13/2, T12-1)</f>
        <v>23.589350781257387</v>
      </c>
      <c r="V15" s="23" t="s">
        <v>85</v>
      </c>
      <c r="W15" s="28">
        <f>((W10-1)*W8^2)/W13</f>
        <v>0.8815055649027641</v>
      </c>
      <c r="Y15" s="20" t="s">
        <v>82</v>
      </c>
      <c r="Z15" s="26">
        <f>(Z8^2/Z9^2)*(1/Z14)</f>
        <v>0.79353460239212648</v>
      </c>
      <c r="AB15" s="23" t="s">
        <v>146</v>
      </c>
      <c r="AC15" s="24">
        <v>0.04</v>
      </c>
    </row>
    <row r="16" spans="1:29" ht="16.350000000000001" customHeight="1">
      <c r="A16" s="15"/>
      <c r="C16" s="10"/>
      <c r="K16" s="20" t="s">
        <v>129</v>
      </c>
      <c r="L16" s="27">
        <f>IF(MAX(L12,L13)&lt;=30,ABS(_xlfn.T.INV(L14/2,L12+L13-2)),ABS(_xlfn.NORM.S.INV(L14/2)))</f>
        <v>2.1447866879178044</v>
      </c>
      <c r="N16" s="20" t="s">
        <v>93</v>
      </c>
      <c r="O16" s="27">
        <f>ABS(_xlfn.NORM.INV(O14/2, 0, 1))</f>
        <v>2.0537489106318225</v>
      </c>
      <c r="Q16" s="33"/>
      <c r="R16" s="16">
        <f>IF(Q16, POWER(Q16-T11,2), 0)</f>
        <v>0</v>
      </c>
      <c r="S16" s="48" t="s">
        <v>82</v>
      </c>
      <c r="T16" s="16">
        <f>IF(T10, T10/T15, T9/T15)</f>
        <v>0</v>
      </c>
      <c r="Y16" s="23" t="s">
        <v>85</v>
      </c>
      <c r="Z16" s="28">
        <f>(Z8^2/Z9^2)*(1/Z13)</f>
        <v>1.3855266621962146E-2</v>
      </c>
      <c r="AB16" s="20" t="s">
        <v>90</v>
      </c>
      <c r="AC16" s="27">
        <f>ABS(AC9+AC10)</f>
        <v>330</v>
      </c>
    </row>
    <row r="17" spans="1:29">
      <c r="A17" s="15"/>
      <c r="C17" s="10"/>
      <c r="E17" s="124" t="s">
        <v>91</v>
      </c>
      <c r="F17" s="124"/>
      <c r="H17" s="126" t="s">
        <v>92</v>
      </c>
      <c r="I17" s="126"/>
      <c r="K17" s="20" t="s">
        <v>94</v>
      </c>
      <c r="L17" s="27">
        <f>((L12-1)*L10^2 + (L13-1)*L11^2)/(L12+L13-2)</f>
        <v>21.339426530000001</v>
      </c>
      <c r="N17" s="20" t="s">
        <v>81</v>
      </c>
      <c r="O17" s="27">
        <f>ABS(_xlfn.NORM.INV(O14/2, 0, 1)) * SQRT(O10^2/O12+O11^2/O13)</f>
        <v>2.5760703442122197</v>
      </c>
      <c r="Q17" s="33"/>
      <c r="R17" s="16">
        <f>IF(Q17, POWER(Q17-T11,2), 0)</f>
        <v>0</v>
      </c>
      <c r="S17" s="48" t="s">
        <v>85</v>
      </c>
      <c r="T17" s="16">
        <f>IF(T10, T10/T14, T9/T14)</f>
        <v>0</v>
      </c>
      <c r="AB17" s="20" t="s">
        <v>93</v>
      </c>
      <c r="AC17" s="27">
        <f>ABS(_xlfn.NORM.INV(AC15/2, 0, 1))</f>
        <v>2.0537489106318225</v>
      </c>
    </row>
    <row r="18" spans="1:29">
      <c r="A18" s="15"/>
      <c r="C18" s="10"/>
      <c r="E18" s="125"/>
      <c r="F18" s="125"/>
      <c r="H18" s="126"/>
      <c r="I18" s="126"/>
      <c r="K18" s="20" t="s">
        <v>95</v>
      </c>
      <c r="L18" s="27">
        <f>SQRT(L17)</f>
        <v>4.6194617143126102</v>
      </c>
      <c r="N18" s="20" t="s">
        <v>82</v>
      </c>
      <c r="O18" s="26">
        <f>O15+O17</f>
        <v>8.5760703442122193</v>
      </c>
      <c r="Q18" s="33"/>
      <c r="R18" s="16">
        <f>IF(Q18, POWER(Q18-T11,2), 0)</f>
        <v>0</v>
      </c>
      <c r="S18" s="48"/>
      <c r="T18" s="16"/>
      <c r="Y18" s="74" t="s">
        <v>195</v>
      </c>
      <c r="AB18" s="20" t="s">
        <v>81</v>
      </c>
      <c r="AC18" s="27">
        <f>ABS(_xlfn.NORM.INV(AC15/2, 0, 1)) * SQRT(AC11^2/AC13+AC12^2/AC14)</f>
        <v>9.3740383817059225</v>
      </c>
    </row>
    <row r="19" spans="1:29" ht="17.850000000000001" customHeight="1">
      <c r="A19" s="15"/>
      <c r="C19" s="10"/>
      <c r="E19" s="125"/>
      <c r="F19" s="125"/>
      <c r="H19" s="126"/>
      <c r="I19" s="126"/>
      <c r="K19" s="20" t="s">
        <v>81</v>
      </c>
      <c r="L19" s="27">
        <f>IF(MAX(L12,L13)&lt;=30, _xlfn.T.INV.2T(L14, L13+L12-2) * L18 * SQRT(1/L12 + 1/L13), ABS(_xlfn.NORM.INV(L14/2, 0, 1)) * L18 * SQRT(1/L12 + 1/L13))</f>
        <v>4.9538799951018229</v>
      </c>
      <c r="N19" s="23" t="s">
        <v>85</v>
      </c>
      <c r="O19" s="28">
        <f>O15-O17</f>
        <v>3.4239296557877803</v>
      </c>
      <c r="Q19" s="33"/>
      <c r="R19" s="16">
        <f>IF(Q19, POWER(Q19-T11,2), 0)</f>
        <v>0</v>
      </c>
      <c r="S19" s="48"/>
      <c r="T19" s="16"/>
      <c r="AB19" s="20" t="s">
        <v>82</v>
      </c>
      <c r="AC19" s="26">
        <f>AC16+AC18</f>
        <v>339.37403838170593</v>
      </c>
    </row>
    <row r="20" spans="1:29">
      <c r="A20" s="15"/>
      <c r="C20" s="10"/>
      <c r="E20" s="125"/>
      <c r="F20" s="125"/>
      <c r="H20" s="126"/>
      <c r="I20" s="126"/>
      <c r="K20" s="20" t="s">
        <v>82</v>
      </c>
      <c r="L20" s="26">
        <f>L8-L9+L19</f>
        <v>6.7038799951018229</v>
      </c>
      <c r="Q20" s="33"/>
      <c r="R20" s="16">
        <f>IF(Q20, POWER(Q20-T11,2), 0)</f>
        <v>0</v>
      </c>
      <c r="S20" s="48"/>
      <c r="T20" s="16"/>
      <c r="AB20" s="23" t="s">
        <v>85</v>
      </c>
      <c r="AC20" s="28">
        <f>AC16-AC18</f>
        <v>320.62596161829407</v>
      </c>
    </row>
    <row r="21" spans="1:29" ht="15.75" thickBot="1">
      <c r="A21" s="15"/>
      <c r="C21" s="10"/>
      <c r="E21" s="125"/>
      <c r="F21" s="125"/>
      <c r="K21" s="23" t="s">
        <v>85</v>
      </c>
      <c r="L21" s="28">
        <f>L8-L9-L19</f>
        <v>-3.2038799951018229</v>
      </c>
      <c r="N21" s="8" t="s">
        <v>187</v>
      </c>
      <c r="Q21" s="33"/>
      <c r="R21" s="16">
        <f>IF(Q21, POWER(Q21-T11,2), 0)</f>
        <v>0</v>
      </c>
      <c r="S21" s="48"/>
      <c r="T21" s="16"/>
      <c r="AB21" s="23"/>
      <c r="AC21" s="28"/>
    </row>
    <row r="22" spans="1:29" ht="15.75" thickBot="1">
      <c r="A22" s="15"/>
      <c r="C22" s="10"/>
      <c r="E22" s="74" t="s">
        <v>203</v>
      </c>
      <c r="N22" s="75" t="s">
        <v>198</v>
      </c>
      <c r="Q22" s="33"/>
      <c r="R22" s="16">
        <f>IF(Q22, POWER(Q22-T11,2), 0)</f>
        <v>0</v>
      </c>
      <c r="S22" s="48"/>
      <c r="T22" s="16"/>
    </row>
    <row r="23" spans="1:29" ht="15.75" thickBot="1">
      <c r="A23" s="15"/>
      <c r="C23" s="10"/>
      <c r="K23" s="127" t="s">
        <v>96</v>
      </c>
      <c r="L23" s="127"/>
      <c r="N23" s="76" t="s">
        <v>199</v>
      </c>
      <c r="Q23" s="33"/>
      <c r="R23" s="16">
        <f>IF(Q23, POWER(Q23-T11,2), 0)</f>
        <v>0</v>
      </c>
      <c r="S23" s="48"/>
      <c r="T23" s="16"/>
    </row>
    <row r="24" spans="1:29" ht="15.75" thickBot="1">
      <c r="A24" s="29"/>
      <c r="B24" s="30"/>
      <c r="C24" s="31"/>
      <c r="K24" s="127"/>
      <c r="L24" s="127"/>
      <c r="Q24" s="33"/>
      <c r="R24" s="16">
        <f>IF(Q24, POWER(Q24-T11,2), 0)</f>
        <v>0</v>
      </c>
      <c r="S24" s="48"/>
      <c r="T24" s="16"/>
    </row>
    <row r="25" spans="1:29">
      <c r="K25" s="127"/>
      <c r="L25" s="127"/>
      <c r="Q25" s="33"/>
      <c r="R25" s="16">
        <f>IF(Q25, POWER(Q25-T11,2), 0)</f>
        <v>0</v>
      </c>
      <c r="S25" s="48"/>
      <c r="T25" s="16"/>
    </row>
    <row r="26" spans="1:29">
      <c r="K26" s="127"/>
      <c r="L26" s="127"/>
      <c r="Q26" s="37"/>
      <c r="R26" s="40">
        <f>IF(Q26, POWER(Q26-T11,2), 0)</f>
        <v>0</v>
      </c>
      <c r="S26" s="52"/>
      <c r="T26" s="40"/>
    </row>
    <row r="27" spans="1:29" ht="34.35" customHeight="1">
      <c r="B27" s="32" t="s">
        <v>272</v>
      </c>
      <c r="C27" s="17"/>
      <c r="E27" s="117" t="s">
        <v>97</v>
      </c>
      <c r="F27" s="118"/>
      <c r="H27" s="14" t="s">
        <v>98</v>
      </c>
      <c r="K27" s="117" t="s">
        <v>131</v>
      </c>
      <c r="L27" s="117"/>
      <c r="N27" s="115" t="s">
        <v>99</v>
      </c>
      <c r="O27" s="115"/>
      <c r="V27" s="117" t="s">
        <v>101</v>
      </c>
      <c r="W27" s="117"/>
    </row>
    <row r="28" spans="1:29" ht="15.6" customHeight="1">
      <c r="B28" s="33" t="s">
        <v>15</v>
      </c>
      <c r="C28" s="105">
        <v>3.5</v>
      </c>
      <c r="E28" s="17" t="s">
        <v>102</v>
      </c>
      <c r="F28" s="18" t="s">
        <v>287</v>
      </c>
      <c r="H28" s="17" t="s">
        <v>102</v>
      </c>
      <c r="I28" s="18" t="s">
        <v>273</v>
      </c>
      <c r="K28" s="17" t="s">
        <v>102</v>
      </c>
      <c r="L28" s="18" t="s">
        <v>273</v>
      </c>
      <c r="N28" s="17" t="s">
        <v>102</v>
      </c>
      <c r="O28" s="18" t="s">
        <v>273</v>
      </c>
      <c r="V28" s="32" t="s">
        <v>102</v>
      </c>
      <c r="W28" s="18">
        <v>1</v>
      </c>
    </row>
    <row r="29" spans="1:29">
      <c r="B29" s="33" t="s">
        <v>174</v>
      </c>
      <c r="C29" s="105">
        <v>50</v>
      </c>
      <c r="E29" s="20" t="s">
        <v>103</v>
      </c>
      <c r="F29" s="21">
        <v>23.625</v>
      </c>
      <c r="H29" s="20" t="s">
        <v>103</v>
      </c>
      <c r="I29" s="21">
        <v>21.875</v>
      </c>
      <c r="K29" s="20" t="s">
        <v>104</v>
      </c>
      <c r="L29" s="21">
        <v>25</v>
      </c>
      <c r="N29" s="20" t="s">
        <v>104</v>
      </c>
      <c r="O29" s="18">
        <v>0</v>
      </c>
      <c r="V29" s="33" t="s">
        <v>71</v>
      </c>
      <c r="W29" s="21">
        <v>6.1</v>
      </c>
    </row>
    <row r="30" spans="1:29" ht="15.75">
      <c r="B30" s="33" t="s">
        <v>257</v>
      </c>
      <c r="C30" s="105">
        <v>0.99</v>
      </c>
      <c r="E30" s="20" t="s">
        <v>67</v>
      </c>
      <c r="F30" s="21">
        <v>5.0408999999999997</v>
      </c>
      <c r="H30" s="20" t="s">
        <v>68</v>
      </c>
      <c r="I30" s="21">
        <v>5.0408999999999997</v>
      </c>
      <c r="K30" s="20" t="s">
        <v>106</v>
      </c>
      <c r="L30" s="21">
        <v>24</v>
      </c>
      <c r="N30" s="20" t="s">
        <v>106</v>
      </c>
      <c r="O30" s="21">
        <v>0</v>
      </c>
      <c r="S30" s="134" t="s">
        <v>100</v>
      </c>
      <c r="T30" s="134"/>
      <c r="V30" s="33" t="s">
        <v>74</v>
      </c>
      <c r="W30" s="21">
        <v>5.3</v>
      </c>
    </row>
    <row r="31" spans="1:29">
      <c r="B31" s="37" t="s">
        <v>272</v>
      </c>
      <c r="C31" s="106">
        <f>ABS(_xlfn.NORM.S.INV((1-C30)/2))*C28/SQRT(C29)</f>
        <v>1.2749704574029144</v>
      </c>
      <c r="E31" s="20" t="s">
        <v>66</v>
      </c>
      <c r="F31" s="34">
        <v>21.875</v>
      </c>
      <c r="H31" s="20" t="s">
        <v>66</v>
      </c>
      <c r="I31" s="21">
        <v>23.625</v>
      </c>
      <c r="K31" s="20" t="s">
        <v>76</v>
      </c>
      <c r="L31" s="21">
        <v>1</v>
      </c>
      <c r="N31" s="20" t="s">
        <v>71</v>
      </c>
      <c r="O31" s="21">
        <v>180.01900000000001</v>
      </c>
      <c r="S31" s="17" t="s">
        <v>102</v>
      </c>
      <c r="T31" s="18">
        <v>0</v>
      </c>
      <c r="V31" s="33" t="s">
        <v>77</v>
      </c>
      <c r="W31" s="21">
        <v>11</v>
      </c>
    </row>
    <row r="32" spans="1:29">
      <c r="E32" s="20" t="s">
        <v>75</v>
      </c>
      <c r="F32" s="21">
        <v>8</v>
      </c>
      <c r="H32" s="20" t="s">
        <v>75</v>
      </c>
      <c r="I32" s="21">
        <v>8</v>
      </c>
      <c r="K32" s="20" t="s">
        <v>79</v>
      </c>
      <c r="L32" s="21">
        <v>1</v>
      </c>
      <c r="N32" s="20" t="s">
        <v>74</v>
      </c>
      <c r="O32" s="21">
        <v>231.953</v>
      </c>
      <c r="S32" s="20" t="s">
        <v>105</v>
      </c>
      <c r="T32" s="21">
        <v>0.03</v>
      </c>
      <c r="V32" s="33" t="s">
        <v>80</v>
      </c>
      <c r="W32" s="21">
        <v>14</v>
      </c>
    </row>
    <row r="33" spans="2:23">
      <c r="E33" s="20" t="s">
        <v>78</v>
      </c>
      <c r="F33" s="21">
        <v>0.05</v>
      </c>
      <c r="H33" s="20" t="s">
        <v>146</v>
      </c>
      <c r="I33" s="21">
        <v>0.05</v>
      </c>
      <c r="K33" s="20" t="s">
        <v>69</v>
      </c>
      <c r="L33" s="21">
        <v>23.625</v>
      </c>
      <c r="N33" s="20" t="s">
        <v>69</v>
      </c>
      <c r="O33" s="18">
        <v>2800</v>
      </c>
      <c r="S33" s="20" t="s">
        <v>68</v>
      </c>
      <c r="T33" s="21">
        <v>0.24585000000000001</v>
      </c>
      <c r="V33" s="37" t="s">
        <v>146</v>
      </c>
      <c r="W33" s="24">
        <v>0.05</v>
      </c>
    </row>
    <row r="34" spans="2:23">
      <c r="B34" s="116" t="s">
        <v>185</v>
      </c>
      <c r="C34" s="116"/>
      <c r="E34" s="20" t="s">
        <v>107</v>
      </c>
      <c r="F34" s="35">
        <f>ABS(F31-F29)/(F30/SQRT(F32))</f>
        <v>0.98191740925347326</v>
      </c>
      <c r="H34" s="17" t="s">
        <v>108</v>
      </c>
      <c r="I34" s="36">
        <f>ABS((I31-I29))/(I30/SQRT(I32))</f>
        <v>0.98191740925347326</v>
      </c>
      <c r="K34" s="20" t="s">
        <v>73</v>
      </c>
      <c r="L34" s="21">
        <v>21.875</v>
      </c>
      <c r="N34" s="20" t="s">
        <v>73</v>
      </c>
      <c r="O34" s="21">
        <v>3000</v>
      </c>
      <c r="S34" s="20" t="s">
        <v>75</v>
      </c>
      <c r="T34" s="21">
        <v>10</v>
      </c>
      <c r="V34" s="33" t="s">
        <v>116</v>
      </c>
      <c r="W34" s="35">
        <f>W29^2/W30^2</f>
        <v>1.3246707013171946</v>
      </c>
    </row>
    <row r="35" spans="2:23">
      <c r="B35" s="32" t="s">
        <v>67</v>
      </c>
      <c r="C35" s="58">
        <v>3.5</v>
      </c>
      <c r="E35" s="20" t="s">
        <v>188</v>
      </c>
      <c r="F35" s="35">
        <f>IF(F28="both",2*_xlfn.NORM.S.DIST(F34,TRUE),_xlfn.NORM.S.DIST(F34,TRUE))</f>
        <v>0.83692973084361544</v>
      </c>
      <c r="H35" s="20" t="s">
        <v>188</v>
      </c>
      <c r="I35" s="35">
        <f>IF(I28="both",2*_xlfn.T.DIST(-ABS(I34),I32-1,TRUE),_xlfn.T.DIST(-ABS(I34),I32-1,TRUE))</f>
        <v>0.35885213586972092</v>
      </c>
      <c r="K35" s="20" t="s">
        <v>77</v>
      </c>
      <c r="L35" s="21">
        <v>36</v>
      </c>
      <c r="N35" s="20" t="s">
        <v>77</v>
      </c>
      <c r="O35" s="21">
        <v>14</v>
      </c>
      <c r="S35" s="23" t="s">
        <v>146</v>
      </c>
      <c r="T35" s="24">
        <v>0.05</v>
      </c>
      <c r="V35" s="33" t="s">
        <v>118</v>
      </c>
      <c r="W35" s="35">
        <f>IF(W28=0, _xlfn.F.INV.RT(W33/2, W31-1, W32-1), IF(W28=1, _xlfn.F.INV.RT(W33, W31-1,W32-1), "NA"))</f>
        <v>2.671024228555126</v>
      </c>
    </row>
    <row r="36" spans="2:23">
      <c r="B36" s="33" t="s">
        <v>186</v>
      </c>
      <c r="C36" s="59">
        <v>0.5</v>
      </c>
      <c r="E36" s="20" t="s">
        <v>110</v>
      </c>
      <c r="F36" s="35" t="str">
        <f>IF(F28="both", -_xlfn.NORM.INV(F33/2, 0, 1), IF(F28="right", -_xlfn.NORM.INV(F33, 0, 1), "NA"))</f>
        <v>NA</v>
      </c>
      <c r="H36" s="20" t="s">
        <v>111</v>
      </c>
      <c r="I36" s="35">
        <f>IF(I28="both",_xlfn.T.INV.2T(I33,I32-1),IF(I28="right",-_xlfn.T.INV(I33,I32-1),"NA"))</f>
        <v>2.3646242515927849</v>
      </c>
      <c r="K36" s="20" t="s">
        <v>80</v>
      </c>
      <c r="L36" s="21">
        <v>36</v>
      </c>
      <c r="N36" s="20" t="s">
        <v>80</v>
      </c>
      <c r="O36" s="21">
        <v>14</v>
      </c>
      <c r="S36" s="20" t="s">
        <v>109</v>
      </c>
      <c r="T36" s="35">
        <f>((T34-1)*T33^2)/T32</f>
        <v>18.132666750000002</v>
      </c>
      <c r="V36" s="33" t="s">
        <v>120</v>
      </c>
      <c r="W36" s="35" t="str">
        <f>IF(W28=0, _xlfn.F.INV(W33/2, W31-1, W32-1), IF(W28=2, _xlfn.F.INV(W33, W31-1,W32-1), "NA"))</f>
        <v>NA</v>
      </c>
    </row>
    <row r="37" spans="2:23">
      <c r="B37" s="33" t="s">
        <v>146</v>
      </c>
      <c r="C37" s="59">
        <v>0.01</v>
      </c>
      <c r="E37" s="20" t="s">
        <v>113</v>
      </c>
      <c r="F37" s="35">
        <f>IF(F28="both", _xlfn.NORM.INV(F33/2, 0, 1), IF(F28="left", _xlfn.NORM.INV(F33, 0, 1), "NA"))</f>
        <v>-1.6448536269514726</v>
      </c>
      <c r="H37" s="20" t="s">
        <v>114</v>
      </c>
      <c r="I37" s="35">
        <f>IF(I28="both",-_xlfn.T.INV.2T(I33,I32-1),IF(I28="left",_xlfn.T.INV(I33,I32-1),"NA"))</f>
        <v>-2.3646242515927849</v>
      </c>
      <c r="K37" s="23" t="s">
        <v>84</v>
      </c>
      <c r="L37" s="24">
        <v>0.05</v>
      </c>
      <c r="N37" s="23" t="s">
        <v>84</v>
      </c>
      <c r="O37" s="24">
        <v>0.01</v>
      </c>
      <c r="S37" s="20" t="s">
        <v>188</v>
      </c>
      <c r="T37" s="35">
        <f>IF(T31=0,2*(1-_xlfn.CHISQ.DIST((T34-1)*T33^2/T32,T34-1,TRUE)),(1-_xlfn.CHISQ.DIST((T34-1)*T33^2/T32,T34-1,TRUE)))</f>
        <v>6.7330394136745131E-2</v>
      </c>
      <c r="V37" s="64" t="s">
        <v>188</v>
      </c>
      <c r="W37">
        <f>IF(W28=0,2*_xlfn.F.DIST(W34,W31-1,W32-1,TRUE),IF(W28=1,1-_xlfn.F.DIST(W34,W31-1,W32-1,TRUE),_xlfn.F.DIST(W34,W31-1,W32-1,TRUE)))</f>
        <v>0.31182852731217792</v>
      </c>
    </row>
    <row r="38" spans="2:23">
      <c r="B38" s="37" t="s">
        <v>174</v>
      </c>
      <c r="C38" s="60">
        <f>(ABS(_xlfn.NORM.S.INV(C37/2))*C35/C36)^2</f>
        <v>325.10993345003931</v>
      </c>
      <c r="E38" s="20" t="s">
        <v>117</v>
      </c>
      <c r="F38" s="38" t="b">
        <f>IF(F28="both",AND(F34&gt;F37,F34&lt;F36),IF(F28="right",F34&lt;F36,F34&gt;F37))</f>
        <v>1</v>
      </c>
      <c r="H38" s="20" t="s">
        <v>117</v>
      </c>
      <c r="I38" s="38" t="b">
        <f>IF(I28="both",AND(I34&gt;I37,I34&lt;I36),IF(I28="right",I34&lt;I36,I34&gt;I37))</f>
        <v>1</v>
      </c>
      <c r="K38" s="20" t="s">
        <v>90</v>
      </c>
      <c r="L38" s="35">
        <f>L29-L30</f>
        <v>1</v>
      </c>
      <c r="N38" s="20" t="s">
        <v>217</v>
      </c>
      <c r="O38" s="35">
        <f>O29-O30</f>
        <v>0</v>
      </c>
      <c r="S38" s="20" t="s">
        <v>112</v>
      </c>
      <c r="T38" s="35">
        <f>IF(T31=0,_xlfn.CHISQ.INV.RT(T35/2,T34-1), IF(T31=1, _xlfn.CHISQ.INV.RT(T35, T34-1), "NA"))</f>
        <v>19.022767798641635</v>
      </c>
      <c r="V38" s="33" t="s">
        <v>117</v>
      </c>
      <c r="W38" s="39" t="b">
        <f>IF(W28=0,AND(W34&lt;W35,W34&gt;W36),IF(W28=1,W34&lt;W35,W34&gt;W36))</f>
        <v>1</v>
      </c>
    </row>
    <row r="39" spans="2:23">
      <c r="E39" s="23" t="s">
        <v>119</v>
      </c>
      <c r="F39" s="38" t="b">
        <f>NOT(F38)</f>
        <v>0</v>
      </c>
      <c r="H39" s="23" t="s">
        <v>119</v>
      </c>
      <c r="I39" s="40" t="b">
        <f>NOT(I38)</f>
        <v>0</v>
      </c>
      <c r="K39" s="20" t="s">
        <v>121</v>
      </c>
      <c r="L39" s="35">
        <f>((L33-L34) - L38)/SQRT(L31^2/L35+L32^2/L36)</f>
        <v>3.1819805153394638</v>
      </c>
      <c r="N39" s="20" t="s">
        <v>218</v>
      </c>
      <c r="O39" s="35">
        <f>O33-O34</f>
        <v>-200</v>
      </c>
      <c r="S39" s="20" t="s">
        <v>115</v>
      </c>
      <c r="T39" s="35">
        <f>IF(T31=0,_xlfn.CHISQ.INV(T35/2,T34-1), IF(T31=2, _xlfn.CHISQ.INV(T35, T34-1), "NA"))</f>
        <v>2.7003894999803584</v>
      </c>
      <c r="V39" s="37" t="s">
        <v>119</v>
      </c>
      <c r="W39" s="40" t="b">
        <f>NOT(W38)</f>
        <v>0</v>
      </c>
    </row>
    <row r="40" spans="2:23">
      <c r="K40" s="61" t="s">
        <v>188</v>
      </c>
      <c r="L40" s="62">
        <f>IF(L28="both",2*_xlfn.NORM.S.DIST(L39,TRUE),IF(L28="right",1-_xlfn.NORM.S.DIST(L39,TRUE),_xlfn.NORM.S.DIST(L39,TRUE)))</f>
        <v>1.9985372834133188</v>
      </c>
      <c r="N40" s="20" t="s">
        <v>122</v>
      </c>
      <c r="O40" s="35">
        <f>((O35-1)*O31^2 + (O36-1)*O32^2)/(O35+O36-2)</f>
        <v>43104.517284999994</v>
      </c>
      <c r="S40" s="20" t="s">
        <v>117</v>
      </c>
      <c r="T40" s="39" t="b">
        <f>IF(T31=0,AND(T36&gt;T39,T36&lt;T38),IF(T31=1,T36&lt;T39,T36&gt;T38))</f>
        <v>1</v>
      </c>
    </row>
    <row r="41" spans="2:23">
      <c r="K41" s="20" t="s">
        <v>110</v>
      </c>
      <c r="L41" s="35">
        <f>IF(L28="both", -_xlfn.NORM.INV(L37/2, 0, 1), IF(L28="right", -_xlfn.NORM.INV(L37, 0, 1), "NA"))</f>
        <v>1.9599639845400538</v>
      </c>
      <c r="N41" s="20" t="s">
        <v>123</v>
      </c>
      <c r="O41" s="35">
        <f>SQRT(O40)</f>
        <v>207.61627413331547</v>
      </c>
      <c r="S41" s="23" t="s">
        <v>119</v>
      </c>
      <c r="T41" s="40" t="b">
        <f>NOT(T40)</f>
        <v>0</v>
      </c>
      <c r="V41" t="s">
        <v>196</v>
      </c>
    </row>
    <row r="42" spans="2:23" ht="15.75" thickBot="1">
      <c r="K42" s="20" t="s">
        <v>113</v>
      </c>
      <c r="L42" s="35">
        <f>IF(L28="both", _xlfn.NORM.INV(L37/2, 0, 1), IF(L28="left", _xlfn.NORM.INV(L37, 0, 1), "NA"))</f>
        <v>-1.9599639845400538</v>
      </c>
      <c r="N42" s="20" t="s">
        <v>124</v>
      </c>
      <c r="O42" s="35">
        <f>((O33-O34)-O38)/(O41*SQRT(1/O35+1/O36))</f>
        <v>-2.5486935666379309</v>
      </c>
    </row>
    <row r="43" spans="2:23" ht="16.5" thickBot="1">
      <c r="E43" s="135" t="s">
        <v>204</v>
      </c>
      <c r="F43" s="136"/>
      <c r="H43" s="128" t="s">
        <v>125</v>
      </c>
      <c r="I43" s="129"/>
      <c r="K43" s="20" t="s">
        <v>117</v>
      </c>
      <c r="L43" s="41" t="b">
        <f>IF(L28=0,AND(L39&gt;L42,L39&lt;L41),IF(L28=1,L39&lt;L41,L39&gt;L42))</f>
        <v>1</v>
      </c>
      <c r="N43" s="20" t="s">
        <v>126</v>
      </c>
      <c r="O43" s="35">
        <f>IF(O28="both",_xlfn.T.INV.2T(O37,O35+O36-2),IF(O28="right",-_xlfn.T.INV(O37,O35+O36-2),"NA"))</f>
        <v>2.7787145333296839</v>
      </c>
      <c r="S43" s="74" t="s">
        <v>197</v>
      </c>
    </row>
    <row r="44" spans="2:23" ht="14.85" customHeight="1" thickBot="1">
      <c r="E44" s="80" t="s">
        <v>67</v>
      </c>
      <c r="F44" s="81">
        <v>0.3</v>
      </c>
      <c r="H44" s="130"/>
      <c r="I44" s="131"/>
      <c r="K44" s="23" t="s">
        <v>119</v>
      </c>
      <c r="L44" s="42" t="b">
        <f>NOT(L43)</f>
        <v>0</v>
      </c>
      <c r="N44" s="20" t="s">
        <v>127</v>
      </c>
      <c r="O44" s="35">
        <f>IF(O28="both",-_xlfn.T.INV.2T(O37,O35+O36-2),IF(O28="left",_xlfn.T.INV(O37,O35+O36-2),"NA"))</f>
        <v>-2.7787145333296839</v>
      </c>
    </row>
    <row r="45" spans="2:23" ht="14.85" customHeight="1" thickBot="1">
      <c r="E45" s="80" t="s">
        <v>205</v>
      </c>
      <c r="F45" s="81">
        <v>0.05</v>
      </c>
      <c r="H45" s="132"/>
      <c r="I45" s="133"/>
      <c r="L45" s="43"/>
      <c r="N45" s="63" t="s">
        <v>188</v>
      </c>
      <c r="O45">
        <f>IF(O28="both",2*_xlfn.T.DIST(-ABS(O42),O35+O36-2,TRUE), IF(O28="right",1-_xlfn.T.DIST(-ABS(O42),O35+O36-2,TRUE),_xlfn.T.DIST(-ABS(O42),O35+O36-2,TRUE)))</f>
        <v>1.7061302455460541E-2</v>
      </c>
    </row>
    <row r="46" spans="2:23" ht="16.350000000000001" customHeight="1" thickBot="1">
      <c r="E46" s="82" t="s">
        <v>78</v>
      </c>
      <c r="F46" s="83">
        <v>0.05</v>
      </c>
      <c r="K46" s="119" t="s">
        <v>128</v>
      </c>
      <c r="L46" s="120"/>
      <c r="N46" s="20" t="s">
        <v>117</v>
      </c>
      <c r="O46" s="44" t="b">
        <f>IF(O30=0,AND(O42&gt;O44,O42&lt;O43),IF(O30=1,O42&lt;O43,O42&gt;O44))</f>
        <v>1</v>
      </c>
    </row>
    <row r="47" spans="2:23" ht="15.75" thickBot="1">
      <c r="E47" s="82" t="s">
        <v>206</v>
      </c>
      <c r="F47" s="84">
        <f>ABS(NORMSINV(F46/2))</f>
        <v>1.9599639845400538</v>
      </c>
      <c r="K47" s="121"/>
      <c r="L47" s="120"/>
      <c r="N47" s="23" t="s">
        <v>119</v>
      </c>
      <c r="O47" s="45" t="b">
        <f>NOT(O46)</f>
        <v>0</v>
      </c>
    </row>
    <row r="48" spans="2:23" ht="15.6" customHeight="1" thickBot="1">
      <c r="E48" s="103" t="s">
        <v>207</v>
      </c>
      <c r="F48" s="104">
        <f>(F47*F44/F45)^2</f>
        <v>138.29251754498841</v>
      </c>
      <c r="K48" s="121"/>
      <c r="L48" s="120"/>
    </row>
    <row r="49" spans="11:14">
      <c r="K49" s="122"/>
      <c r="L49" s="123"/>
      <c r="N49" s="74" t="s">
        <v>201</v>
      </c>
    </row>
    <row r="50" spans="11:14" ht="15.75">
      <c r="K50" s="47"/>
      <c r="L50" s="47"/>
    </row>
    <row r="51" spans="11:14" ht="15.75">
      <c r="K51" s="47"/>
      <c r="L51" s="47"/>
    </row>
    <row r="54" spans="11:14">
      <c r="K54" s="46"/>
      <c r="L54" s="46"/>
    </row>
    <row r="55" spans="11:14">
      <c r="K55" s="46"/>
      <c r="L55" s="46"/>
    </row>
    <row r="56" spans="11:14" ht="15.6" customHeight="1">
      <c r="K56" s="46"/>
      <c r="L56" s="46"/>
    </row>
    <row r="57" spans="11:14">
      <c r="K57" s="46"/>
      <c r="L57" s="46"/>
    </row>
    <row r="58" spans="11:14">
      <c r="K58" s="46"/>
      <c r="L58" s="46"/>
    </row>
    <row r="59" spans="11:14">
      <c r="K59" s="46"/>
      <c r="L59" s="46"/>
    </row>
  </sheetData>
  <mergeCells count="23">
    <mergeCell ref="AB8:AC8"/>
    <mergeCell ref="E43:F43"/>
    <mergeCell ref="E1:M2"/>
    <mergeCell ref="A2:C2"/>
    <mergeCell ref="E7:F7"/>
    <mergeCell ref="H7:I7"/>
    <mergeCell ref="K7:L7"/>
    <mergeCell ref="Q7:T7"/>
    <mergeCell ref="B34:C34"/>
    <mergeCell ref="AB7:AC7"/>
    <mergeCell ref="E27:F27"/>
    <mergeCell ref="K46:L49"/>
    <mergeCell ref="E17:F21"/>
    <mergeCell ref="H17:I20"/>
    <mergeCell ref="K23:L26"/>
    <mergeCell ref="K27:L27"/>
    <mergeCell ref="H43:I45"/>
    <mergeCell ref="V27:W27"/>
    <mergeCell ref="V7:W7"/>
    <mergeCell ref="Y7:Z7"/>
    <mergeCell ref="N7:O7"/>
    <mergeCell ref="N27:O27"/>
    <mergeCell ref="S30:T30"/>
  </mergeCells>
  <dataValidations count="1">
    <dataValidation type="list" allowBlank="1" showInputMessage="1" showErrorMessage="1" sqref="F28 I28 L28 O28" xr:uid="{7BE2256B-B7D9-441F-B54C-216B7B0EB6E6}">
      <formula1>"both,left,right"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FD4A-8678-4A8F-BF7C-09200D70F9C8}">
  <dimension ref="A1:G20"/>
  <sheetViews>
    <sheetView tabSelected="1" workbookViewId="0">
      <selection activeCell="F8" sqref="F8"/>
    </sheetView>
  </sheetViews>
  <sheetFormatPr defaultRowHeight="15"/>
  <cols>
    <col min="3" max="4" width="14.42578125" customWidth="1"/>
    <col min="5" max="5" width="14.28515625" customWidth="1"/>
    <col min="6" max="6" width="12.42578125" customWidth="1"/>
  </cols>
  <sheetData>
    <row r="1" spans="1:7">
      <c r="A1" s="51" t="s">
        <v>171</v>
      </c>
      <c r="B1" s="51" t="s">
        <v>172</v>
      </c>
      <c r="C1" s="51" t="s">
        <v>173</v>
      </c>
      <c r="D1" s="51" t="s">
        <v>177</v>
      </c>
    </row>
    <row r="2" spans="1:7" ht="18.75">
      <c r="A2" s="32">
        <v>30</v>
      </c>
      <c r="B2" s="145">
        <v>26</v>
      </c>
      <c r="C2" s="12">
        <f>IF(A2,(A2-B2),0)</f>
        <v>4</v>
      </c>
      <c r="D2" s="53">
        <f>IF(A2,(C2-F3),0)</f>
        <v>2.25</v>
      </c>
      <c r="E2" s="54" t="s">
        <v>174</v>
      </c>
      <c r="F2" s="53">
        <f>COUNT(A2:A19)</f>
        <v>8</v>
      </c>
      <c r="G2">
        <v>8</v>
      </c>
    </row>
    <row r="3" spans="1:7">
      <c r="A3" s="33">
        <v>17</v>
      </c>
      <c r="B3" s="48">
        <v>18</v>
      </c>
      <c r="C3" s="48">
        <f t="shared" ref="C3:C19" si="0">IF(A3,(A3-B3),0)</f>
        <v>-1</v>
      </c>
      <c r="D3" s="16">
        <f>IF(A3,(C3-F3),0)</f>
        <v>-2.75</v>
      </c>
      <c r="E3" s="55" t="s">
        <v>175</v>
      </c>
      <c r="F3" s="16">
        <f>(1/F2)*SUM(C2:C19)</f>
        <v>1.75</v>
      </c>
      <c r="G3">
        <v>-1.6</v>
      </c>
    </row>
    <row r="4" spans="1:7">
      <c r="A4" s="33">
        <v>18</v>
      </c>
      <c r="B4" s="48">
        <v>15</v>
      </c>
      <c r="C4" s="48">
        <f t="shared" si="0"/>
        <v>3</v>
      </c>
      <c r="D4" s="16">
        <f>IF(A4,(C4-F3),0)</f>
        <v>1.25</v>
      </c>
      <c r="E4" s="55" t="s">
        <v>176</v>
      </c>
      <c r="F4" s="16" cm="1">
        <f t="array" ref="F4">SUM((D2:D19)^2)*1/(F2-1)</f>
        <v>7.6428571428571432</v>
      </c>
      <c r="G4">
        <v>40.71</v>
      </c>
    </row>
    <row r="5" spans="1:7">
      <c r="A5" s="33">
        <v>21</v>
      </c>
      <c r="B5" s="48">
        <v>20</v>
      </c>
      <c r="C5" s="48">
        <f t="shared" si="0"/>
        <v>1</v>
      </c>
      <c r="D5" s="16">
        <f>IF(A5,(C5-F3),0)</f>
        <v>-0.75</v>
      </c>
      <c r="E5" s="56" t="s">
        <v>178</v>
      </c>
      <c r="F5" s="40">
        <f>SQRT(F4)</f>
        <v>2.7645717829090897</v>
      </c>
      <c r="G5">
        <f>SQRT(44)</f>
        <v>6.6332495807107996</v>
      </c>
    </row>
    <row r="6" spans="1:7">
      <c r="A6" s="33">
        <v>22</v>
      </c>
      <c r="B6" s="48">
        <v>21</v>
      </c>
      <c r="C6" s="48">
        <f t="shared" si="0"/>
        <v>1</v>
      </c>
      <c r="D6" s="16">
        <f>IF(A6,(C6-F3),0)</f>
        <v>-0.75</v>
      </c>
      <c r="E6" s="55" t="s">
        <v>223</v>
      </c>
      <c r="F6" s="16">
        <v>0.05</v>
      </c>
      <c r="G6">
        <v>0.02</v>
      </c>
    </row>
    <row r="7" spans="1:7">
      <c r="A7" s="33">
        <v>30</v>
      </c>
      <c r="B7" s="48">
        <v>25</v>
      </c>
      <c r="C7" s="48">
        <f t="shared" si="0"/>
        <v>5</v>
      </c>
      <c r="D7" s="16">
        <f>IF(A7,(C7-F3),0)</f>
        <v>3.25</v>
      </c>
      <c r="E7" s="85" t="s">
        <v>130</v>
      </c>
      <c r="F7" s="86">
        <f>F3/(F5/SQRT(F2))</f>
        <v>1.7904210333425807</v>
      </c>
      <c r="G7" s="86">
        <f>ABS(_xlfn.T.INV(G6/2,G2-1))</f>
        <v>2.997951566868529</v>
      </c>
    </row>
    <row r="8" spans="1:7">
      <c r="A8" s="33">
        <v>24</v>
      </c>
      <c r="B8" s="48">
        <v>27</v>
      </c>
      <c r="C8" s="48">
        <f t="shared" si="0"/>
        <v>-3</v>
      </c>
      <c r="D8" s="16">
        <f>IF(A8,(C8-F3),0)</f>
        <v>-4.75</v>
      </c>
      <c r="E8" s="87" t="s">
        <v>81</v>
      </c>
      <c r="F8" s="86">
        <f>_xlfn.CONFIDENCE.T(F6,F5,F2)</f>
        <v>2.311239849859152</v>
      </c>
      <c r="G8" s="86">
        <f>IF(G2&lt;30,G7*SQRT(G4/G2),_xlfn.CONFIDENCE.T(G6,G5,G2))</f>
        <v>6.7628564651489373</v>
      </c>
    </row>
    <row r="9" spans="1:7">
      <c r="A9" s="33">
        <v>27</v>
      </c>
      <c r="B9" s="48">
        <v>23</v>
      </c>
      <c r="C9" s="48">
        <f t="shared" si="0"/>
        <v>4</v>
      </c>
      <c r="D9" s="16">
        <f>IF(A9,(C9-F3),0)</f>
        <v>2.25</v>
      </c>
      <c r="E9" s="85" t="s">
        <v>82</v>
      </c>
      <c r="F9" s="88">
        <f>F3+F8</f>
        <v>4.0612398498591524</v>
      </c>
      <c r="G9" s="88">
        <f>G3+G8</f>
        <v>5.1628564651489377</v>
      </c>
    </row>
    <row r="10" spans="1:7">
      <c r="A10" s="33"/>
      <c r="B10" s="48"/>
      <c r="C10" s="48">
        <f t="shared" si="0"/>
        <v>0</v>
      </c>
      <c r="D10" s="16">
        <f>IF(A10,(C10-F3),0)</f>
        <v>0</v>
      </c>
      <c r="E10" s="89" t="s">
        <v>85</v>
      </c>
      <c r="F10" s="90">
        <f>F3-F8</f>
        <v>-0.56123984985915198</v>
      </c>
      <c r="G10" s="90">
        <f>G3-G8</f>
        <v>-8.362856465148937</v>
      </c>
    </row>
    <row r="11" spans="1:7">
      <c r="A11" s="33"/>
      <c r="B11" s="48"/>
      <c r="C11" s="48">
        <f t="shared" si="0"/>
        <v>0</v>
      </c>
      <c r="D11" s="16">
        <f>IF(A11,(C11-F3),0)</f>
        <v>0</v>
      </c>
    </row>
    <row r="12" spans="1:7">
      <c r="A12" s="33"/>
      <c r="B12" s="48"/>
      <c r="C12" s="48">
        <f t="shared" si="0"/>
        <v>0</v>
      </c>
      <c r="D12" s="16">
        <f>IF(A12,(C12-F3),0)</f>
        <v>0</v>
      </c>
    </row>
    <row r="13" spans="1:7">
      <c r="A13" s="33"/>
      <c r="B13" s="48"/>
      <c r="C13" s="48">
        <f t="shared" si="0"/>
        <v>0</v>
      </c>
      <c r="D13" s="16">
        <f>IF(A13,(C13-F3),0)</f>
        <v>0</v>
      </c>
    </row>
    <row r="14" spans="1:7">
      <c r="A14" s="33"/>
      <c r="B14" s="48"/>
      <c r="C14" s="48">
        <f t="shared" si="0"/>
        <v>0</v>
      </c>
      <c r="D14" s="16">
        <f>IF(A14,(C14-F3),0)</f>
        <v>0</v>
      </c>
    </row>
    <row r="15" spans="1:7">
      <c r="A15" s="33"/>
      <c r="B15" s="48"/>
      <c r="C15" s="48">
        <f t="shared" si="0"/>
        <v>0</v>
      </c>
      <c r="D15" s="16">
        <f>IF(A15,(C15-F3),0)</f>
        <v>0</v>
      </c>
    </row>
    <row r="16" spans="1:7">
      <c r="A16" s="33"/>
      <c r="B16" s="48"/>
      <c r="C16" s="48">
        <f t="shared" si="0"/>
        <v>0</v>
      </c>
      <c r="D16" s="16">
        <f>IF(A16,(C16-F3),0)</f>
        <v>0</v>
      </c>
    </row>
    <row r="17" spans="1:6">
      <c r="A17" s="33"/>
      <c r="B17" s="48"/>
      <c r="C17" s="48">
        <f t="shared" si="0"/>
        <v>0</v>
      </c>
      <c r="D17" s="16">
        <f>IF(A17,(C17-F3),0)</f>
        <v>0</v>
      </c>
    </row>
    <row r="18" spans="1:6">
      <c r="A18" s="33"/>
      <c r="B18" s="48"/>
      <c r="C18" s="48">
        <f t="shared" si="0"/>
        <v>0</v>
      </c>
      <c r="D18" s="16">
        <f>IF(A18,(C18-F3),0)</f>
        <v>0</v>
      </c>
    </row>
    <row r="19" spans="1:6">
      <c r="A19" s="37"/>
      <c r="B19" s="52"/>
      <c r="C19" s="52">
        <f t="shared" si="0"/>
        <v>0</v>
      </c>
      <c r="D19" s="40">
        <f>IF(A19,(C19-F3),0)</f>
        <v>0</v>
      </c>
    </row>
    <row r="20" spans="1:6">
      <c r="A20" t="s">
        <v>222</v>
      </c>
      <c r="F20">
        <f>ABS(_xlfn.T.INV(0.05,10-1))</f>
        <v>1.8331129326562374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1E2E-31FA-42A4-89E0-B3D963DFBB7F}">
  <dimension ref="A1:H8"/>
  <sheetViews>
    <sheetView workbookViewId="0">
      <selection activeCell="A2" sqref="A2"/>
    </sheetView>
  </sheetViews>
  <sheetFormatPr defaultRowHeight="15"/>
  <sheetData>
    <row r="1" spans="1:8">
      <c r="A1" s="110" t="s">
        <v>183</v>
      </c>
      <c r="B1" s="110" t="s">
        <v>242</v>
      </c>
      <c r="C1" s="110" t="s">
        <v>244</v>
      </c>
      <c r="D1" s="110" t="s">
        <v>245</v>
      </c>
    </row>
    <row r="2" spans="1:8">
      <c r="A2">
        <v>1</v>
      </c>
      <c r="B2">
        <f>1/6</f>
        <v>0.16666666666666666</v>
      </c>
      <c r="C2">
        <f>A2*B2</f>
        <v>0.16666666666666666</v>
      </c>
      <c r="D2">
        <f>A2^2*B2</f>
        <v>0.16666666666666666</v>
      </c>
    </row>
    <row r="3" spans="1:8">
      <c r="A3">
        <v>2</v>
      </c>
      <c r="B3">
        <f t="shared" ref="B3:B7" si="0">1/6</f>
        <v>0.16666666666666666</v>
      </c>
      <c r="C3">
        <f t="shared" ref="C3:C11" si="1">A3*B3</f>
        <v>0.33333333333333331</v>
      </c>
      <c r="D3">
        <f t="shared" ref="D3:D11" si="2">A3^2*B3</f>
        <v>0.66666666666666663</v>
      </c>
    </row>
    <row r="4" spans="1:8">
      <c r="A4">
        <v>3</v>
      </c>
      <c r="B4">
        <f t="shared" si="0"/>
        <v>0.16666666666666666</v>
      </c>
      <c r="C4">
        <f t="shared" si="1"/>
        <v>0.5</v>
      </c>
      <c r="D4">
        <f t="shared" si="2"/>
        <v>1.5</v>
      </c>
    </row>
    <row r="5" spans="1:8">
      <c r="A5">
        <v>4</v>
      </c>
      <c r="B5">
        <f t="shared" si="0"/>
        <v>0.16666666666666666</v>
      </c>
      <c r="C5">
        <f t="shared" si="1"/>
        <v>0.66666666666666663</v>
      </c>
      <c r="D5">
        <f t="shared" si="2"/>
        <v>2.6666666666666665</v>
      </c>
    </row>
    <row r="6" spans="1:8">
      <c r="A6">
        <v>5</v>
      </c>
      <c r="B6">
        <f t="shared" si="0"/>
        <v>0.16666666666666666</v>
      </c>
      <c r="C6">
        <f t="shared" si="1"/>
        <v>0.83333333333333326</v>
      </c>
      <c r="D6">
        <f t="shared" si="2"/>
        <v>4.1666666666666661</v>
      </c>
    </row>
    <row r="7" spans="1:8">
      <c r="A7">
        <v>6</v>
      </c>
      <c r="B7">
        <f t="shared" si="0"/>
        <v>0.16666666666666666</v>
      </c>
      <c r="C7">
        <f t="shared" si="1"/>
        <v>1</v>
      </c>
      <c r="D7">
        <f t="shared" si="2"/>
        <v>6</v>
      </c>
      <c r="F7" t="s">
        <v>243</v>
      </c>
      <c r="G7" t="s">
        <v>246</v>
      </c>
      <c r="H7" t="s">
        <v>274</v>
      </c>
    </row>
    <row r="8" spans="1:8">
      <c r="F8">
        <f>SUM(C2:C11)</f>
        <v>3.5</v>
      </c>
      <c r="G8">
        <f>SUM(D2:D11)</f>
        <v>15.166666666666666</v>
      </c>
      <c r="H8">
        <f>G8-POWER(F8,2)</f>
        <v>2.9166666666666661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EA9D-F3BE-4851-8416-69308682A9ED}">
  <dimension ref="A1:I8"/>
  <sheetViews>
    <sheetView workbookViewId="0">
      <selection activeCell="C9" sqref="C9"/>
    </sheetView>
  </sheetViews>
  <sheetFormatPr defaultRowHeight="15"/>
  <cols>
    <col min="1" max="1" width="11.5703125" bestFit="1" customWidth="1"/>
    <col min="3" max="3" width="11.5703125" bestFit="1" customWidth="1"/>
    <col min="6" max="6" width="8.7109375" customWidth="1"/>
  </cols>
  <sheetData>
    <row r="1" spans="1:9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</row>
    <row r="2" spans="1:9">
      <c r="A2">
        <v>1</v>
      </c>
      <c r="B2">
        <v>2</v>
      </c>
      <c r="C2">
        <v>0.5</v>
      </c>
      <c r="D2">
        <v>0.5</v>
      </c>
      <c r="E2">
        <v>0.6</v>
      </c>
      <c r="F2">
        <v>3</v>
      </c>
      <c r="G2">
        <v>4</v>
      </c>
      <c r="H2">
        <f>E2-C2*D2</f>
        <v>0.35</v>
      </c>
      <c r="I2">
        <f>H2/(SQRT(F2*G2))</f>
        <v>0.10103629710818451</v>
      </c>
    </row>
    <row r="6" spans="1:9">
      <c r="D6" s="57" t="s">
        <v>162</v>
      </c>
      <c r="E6" s="57" t="s">
        <v>163</v>
      </c>
      <c r="F6" s="57" t="s">
        <v>157</v>
      </c>
      <c r="G6" s="57" t="s">
        <v>158</v>
      </c>
    </row>
    <row r="7" spans="1:9">
      <c r="C7" t="s">
        <v>285</v>
      </c>
      <c r="D7" s="57">
        <v>2</v>
      </c>
      <c r="E7" s="57">
        <v>-1</v>
      </c>
      <c r="F7" s="57">
        <v>3</v>
      </c>
      <c r="G7" s="57">
        <v>4</v>
      </c>
    </row>
    <row r="8" spans="1:9">
      <c r="C8" s="5">
        <f>POWER(D7,2)*F7+POWER(E7,2)*G7</f>
        <v>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2C92-6FA1-4214-BB51-5D6F74F81315}">
  <dimension ref="A1:G3"/>
  <sheetViews>
    <sheetView workbookViewId="0">
      <selection activeCell="G3" sqref="G3"/>
    </sheetView>
  </sheetViews>
  <sheetFormatPr defaultRowHeight="15"/>
  <cols>
    <col min="7" max="7" width="10" bestFit="1" customWidth="1"/>
  </cols>
  <sheetData>
    <row r="1" spans="1:7">
      <c r="A1" t="s">
        <v>161</v>
      </c>
    </row>
    <row r="2" spans="1:7">
      <c r="A2" t="s">
        <v>157</v>
      </c>
      <c r="B2" t="s">
        <v>158</v>
      </c>
      <c r="C2" t="s">
        <v>162</v>
      </c>
      <c r="D2" t="s">
        <v>163</v>
      </c>
      <c r="E2" t="s">
        <v>160</v>
      </c>
      <c r="F2" t="s">
        <v>164</v>
      </c>
      <c r="G2" t="s">
        <v>165</v>
      </c>
    </row>
    <row r="3" spans="1:7">
      <c r="A3">
        <v>9</v>
      </c>
      <c r="B3">
        <v>4</v>
      </c>
      <c r="C3">
        <v>4</v>
      </c>
      <c r="D3">
        <v>-9</v>
      </c>
      <c r="E3">
        <f>-1/6</f>
        <v>-0.16666666666666666</v>
      </c>
      <c r="F3">
        <f>E3*SQRT(A3*B3)</f>
        <v>-1</v>
      </c>
      <c r="G3">
        <f>C3^2*A3+D3^2*B3+2*C3*D3*F3</f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758E-41FA-49B7-9D72-608D5FAB686D}">
  <dimension ref="A1:J14"/>
  <sheetViews>
    <sheetView zoomScale="145" zoomScaleNormal="145" workbookViewId="0">
      <selection activeCell="L21" sqref="L21"/>
    </sheetView>
  </sheetViews>
  <sheetFormatPr defaultRowHeight="15"/>
  <cols>
    <col min="2" max="3" width="9" customWidth="1"/>
    <col min="10" max="10" width="11.85546875" bestFit="1" customWidth="1"/>
  </cols>
  <sheetData>
    <row r="1" spans="1:10">
      <c r="A1" t="s">
        <v>216</v>
      </c>
      <c r="B1" t="s">
        <v>215</v>
      </c>
      <c r="C1" t="s">
        <v>214</v>
      </c>
      <c r="D1" t="s">
        <v>213</v>
      </c>
      <c r="E1" t="s">
        <v>212</v>
      </c>
    </row>
    <row r="2" spans="1:10">
      <c r="A2">
        <v>39</v>
      </c>
      <c r="B2">
        <v>0.1</v>
      </c>
      <c r="C2">
        <f t="shared" ref="C2:C14" si="0">A2*B2</f>
        <v>3.9000000000000004</v>
      </c>
      <c r="D2">
        <f t="shared" ref="D2:D14" si="1">A2^2</f>
        <v>1521</v>
      </c>
      <c r="E2">
        <f t="shared" ref="E2:E14" si="2">D2*B2</f>
        <v>152.1</v>
      </c>
      <c r="H2" s="32" t="s">
        <v>152</v>
      </c>
      <c r="I2" s="12" t="s">
        <v>154</v>
      </c>
      <c r="J2" s="53" t="s">
        <v>211</v>
      </c>
    </row>
    <row r="3" spans="1:10">
      <c r="A3">
        <v>65</v>
      </c>
      <c r="B3">
        <v>0.1</v>
      </c>
      <c r="C3">
        <f t="shared" si="0"/>
        <v>6.5</v>
      </c>
      <c r="D3">
        <f t="shared" si="1"/>
        <v>4225</v>
      </c>
      <c r="E3">
        <f t="shared" si="2"/>
        <v>422.5</v>
      </c>
      <c r="H3" s="33">
        <f>SUM(C2:C100)/SUM(B2:B100)</f>
        <v>116.40000000000002</v>
      </c>
      <c r="I3">
        <f>SUM(E2:E100)/SUM($B2:$B100)</f>
        <v>15494.600000000002</v>
      </c>
      <c r="J3" s="16">
        <f>I3-H3^2</f>
        <v>1945.6399999999976</v>
      </c>
    </row>
    <row r="4" spans="1:10">
      <c r="A4">
        <v>105</v>
      </c>
      <c r="B4">
        <v>0.15</v>
      </c>
      <c r="C4">
        <f t="shared" si="0"/>
        <v>15.75</v>
      </c>
      <c r="D4">
        <f t="shared" si="1"/>
        <v>11025</v>
      </c>
      <c r="E4">
        <f t="shared" si="2"/>
        <v>1653.75</v>
      </c>
      <c r="H4" s="33"/>
      <c r="J4" s="16"/>
    </row>
    <row r="5" spans="1:10">
      <c r="A5">
        <v>105</v>
      </c>
      <c r="B5">
        <v>0.25</v>
      </c>
      <c r="C5">
        <f t="shared" si="0"/>
        <v>26.25</v>
      </c>
      <c r="D5">
        <f t="shared" si="1"/>
        <v>11025</v>
      </c>
      <c r="E5">
        <f t="shared" si="2"/>
        <v>2756.25</v>
      </c>
      <c r="H5" s="33" t="s">
        <v>210</v>
      </c>
      <c r="I5" t="s">
        <v>209</v>
      </c>
      <c r="J5" s="16"/>
    </row>
    <row r="6" spans="1:10">
      <c r="A6">
        <v>145</v>
      </c>
      <c r="B6">
        <v>0.3</v>
      </c>
      <c r="C6">
        <f t="shared" si="0"/>
        <v>43.5</v>
      </c>
      <c r="D6">
        <f t="shared" si="1"/>
        <v>21025</v>
      </c>
      <c r="E6">
        <f t="shared" si="2"/>
        <v>6307.5</v>
      </c>
      <c r="H6" s="33">
        <f>J3/I12</f>
        <v>64.854666666666589</v>
      </c>
      <c r="I6">
        <f>SQRT(H6)</f>
        <v>8.0532395138022927</v>
      </c>
      <c r="J6" s="16"/>
    </row>
    <row r="7" spans="1:10">
      <c r="A7">
        <v>205</v>
      </c>
      <c r="B7">
        <v>0.1</v>
      </c>
      <c r="C7">
        <f t="shared" si="0"/>
        <v>20.5</v>
      </c>
      <c r="D7">
        <f t="shared" si="1"/>
        <v>42025</v>
      </c>
      <c r="E7">
        <f t="shared" si="2"/>
        <v>4202.5</v>
      </c>
      <c r="H7" s="33"/>
      <c r="J7" s="16"/>
    </row>
    <row r="8" spans="1:10">
      <c r="C8">
        <f t="shared" si="0"/>
        <v>0</v>
      </c>
      <c r="D8">
        <f t="shared" si="1"/>
        <v>0</v>
      </c>
      <c r="E8">
        <f t="shared" si="2"/>
        <v>0</v>
      </c>
      <c r="H8" s="33"/>
      <c r="J8" s="16"/>
    </row>
    <row r="9" spans="1:10">
      <c r="C9">
        <f t="shared" si="0"/>
        <v>0</v>
      </c>
      <c r="D9">
        <f t="shared" si="1"/>
        <v>0</v>
      </c>
      <c r="E9">
        <f t="shared" si="2"/>
        <v>0</v>
      </c>
      <c r="H9" s="33"/>
      <c r="J9" s="16"/>
    </row>
    <row r="10" spans="1:10">
      <c r="C10">
        <f t="shared" si="0"/>
        <v>0</v>
      </c>
      <c r="D10">
        <f t="shared" si="1"/>
        <v>0</v>
      </c>
      <c r="E10">
        <f t="shared" si="2"/>
        <v>0</v>
      </c>
      <c r="H10" s="33"/>
      <c r="J10" s="16"/>
    </row>
    <row r="11" spans="1:10">
      <c r="C11">
        <f t="shared" si="0"/>
        <v>0</v>
      </c>
      <c r="D11">
        <f t="shared" si="1"/>
        <v>0</v>
      </c>
      <c r="E11">
        <f t="shared" si="2"/>
        <v>0</v>
      </c>
      <c r="H11" s="37"/>
      <c r="I11" s="52"/>
      <c r="J11" s="40"/>
    </row>
    <row r="12" spans="1:10">
      <c r="C12">
        <f t="shared" si="0"/>
        <v>0</v>
      </c>
      <c r="D12">
        <f t="shared" si="1"/>
        <v>0</v>
      </c>
      <c r="E12">
        <f t="shared" si="2"/>
        <v>0</v>
      </c>
      <c r="H12" t="s">
        <v>208</v>
      </c>
      <c r="I12">
        <v>30</v>
      </c>
    </row>
    <row r="13" spans="1:10">
      <c r="C13">
        <f t="shared" si="0"/>
        <v>0</v>
      </c>
      <c r="D13">
        <f t="shared" si="1"/>
        <v>0</v>
      </c>
      <c r="E13">
        <f t="shared" si="2"/>
        <v>0</v>
      </c>
    </row>
    <row r="14" spans="1:10">
      <c r="C14">
        <f t="shared" si="0"/>
        <v>0</v>
      </c>
      <c r="D14">
        <f t="shared" si="1"/>
        <v>0</v>
      </c>
      <c r="E14">
        <f t="shared" si="2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3ACC-46D7-482E-9386-4A66C5472AE7}">
  <dimension ref="A1:AO35"/>
  <sheetViews>
    <sheetView workbookViewId="0">
      <selection activeCell="P5" sqref="P5"/>
    </sheetView>
  </sheetViews>
  <sheetFormatPr defaultRowHeight="15"/>
  <sheetData>
    <row r="1" spans="1:41">
      <c r="A1" s="116" t="s">
        <v>241</v>
      </c>
      <c r="B1" s="116"/>
      <c r="C1" s="139" t="s">
        <v>183</v>
      </c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X1" s="116" t="s">
        <v>241</v>
      </c>
      <c r="Y1" s="116"/>
      <c r="Z1" s="139" t="s">
        <v>183</v>
      </c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</row>
    <row r="2" spans="1:41">
      <c r="A2" s="116"/>
      <c r="B2" s="116"/>
      <c r="C2" s="99">
        <v>0</v>
      </c>
      <c r="D2" s="99">
        <v>1</v>
      </c>
      <c r="E2" s="99">
        <v>2</v>
      </c>
      <c r="F2" s="99">
        <v>3</v>
      </c>
      <c r="G2" s="99">
        <v>4</v>
      </c>
      <c r="H2" s="99">
        <v>5</v>
      </c>
      <c r="I2" s="99">
        <v>6</v>
      </c>
      <c r="J2" s="99">
        <v>7</v>
      </c>
      <c r="K2" s="99">
        <v>8</v>
      </c>
      <c r="L2" s="99">
        <v>9</v>
      </c>
      <c r="M2" s="99">
        <v>10</v>
      </c>
      <c r="N2" s="99">
        <v>11</v>
      </c>
      <c r="O2" s="99">
        <v>12</v>
      </c>
      <c r="P2" s="99">
        <v>13</v>
      </c>
      <c r="Q2" s="99">
        <v>14</v>
      </c>
      <c r="R2" s="99">
        <v>15</v>
      </c>
      <c r="S2" s="8" t="s">
        <v>240</v>
      </c>
      <c r="T2" s="8" t="s">
        <v>239</v>
      </c>
      <c r="U2" s="8" t="s">
        <v>238</v>
      </c>
      <c r="X2" s="116"/>
      <c r="Y2" s="116"/>
      <c r="Z2" s="99">
        <v>0</v>
      </c>
      <c r="AA2" s="99">
        <v>1</v>
      </c>
      <c r="AB2" s="99">
        <v>2</v>
      </c>
      <c r="AC2" s="99">
        <v>3</v>
      </c>
      <c r="AD2" s="99">
        <v>4</v>
      </c>
      <c r="AE2" s="99">
        <v>5</v>
      </c>
      <c r="AF2" s="99">
        <v>6</v>
      </c>
      <c r="AG2" s="99">
        <v>7</v>
      </c>
      <c r="AH2" s="99">
        <v>8</v>
      </c>
      <c r="AI2" s="99">
        <v>9</v>
      </c>
      <c r="AJ2" s="99">
        <v>10</v>
      </c>
      <c r="AK2" s="99">
        <v>11</v>
      </c>
      <c r="AL2" s="99">
        <v>12</v>
      </c>
      <c r="AM2" s="99">
        <v>13</v>
      </c>
      <c r="AN2" s="99">
        <v>14</v>
      </c>
      <c r="AO2" s="99">
        <v>15</v>
      </c>
    </row>
    <row r="3" spans="1:41">
      <c r="A3" s="139" t="s">
        <v>237</v>
      </c>
      <c r="B3" s="99">
        <v>0</v>
      </c>
      <c r="S3">
        <f t="shared" ref="S3:S18" si="0">SUM(C3:R3)</f>
        <v>0</v>
      </c>
      <c r="T3">
        <f t="shared" ref="T3:T18" si="1">S3*B3</f>
        <v>0</v>
      </c>
      <c r="U3">
        <f t="shared" ref="U3:U18" si="2">S3*B3^2</f>
        <v>0</v>
      </c>
      <c r="X3" s="139" t="s">
        <v>237</v>
      </c>
      <c r="Y3" s="99">
        <v>0</v>
      </c>
      <c r="Z3">
        <f t="shared" ref="Z3:AO3" si="3">C3*C2*$B3</f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  <c r="AG3">
        <f t="shared" si="3"/>
        <v>0</v>
      </c>
      <c r="AH3">
        <f t="shared" si="3"/>
        <v>0</v>
      </c>
      <c r="AI3">
        <f t="shared" si="3"/>
        <v>0</v>
      </c>
      <c r="AJ3">
        <f t="shared" si="3"/>
        <v>0</v>
      </c>
      <c r="AK3">
        <f t="shared" si="3"/>
        <v>0</v>
      </c>
      <c r="AL3">
        <f t="shared" si="3"/>
        <v>0</v>
      </c>
      <c r="AM3">
        <f t="shared" si="3"/>
        <v>0</v>
      </c>
      <c r="AN3">
        <f t="shared" si="3"/>
        <v>0</v>
      </c>
      <c r="AO3">
        <f t="shared" si="3"/>
        <v>0</v>
      </c>
    </row>
    <row r="4" spans="1:41">
      <c r="A4" s="139"/>
      <c r="B4" s="99">
        <v>1</v>
      </c>
      <c r="D4">
        <v>0.24</v>
      </c>
      <c r="E4">
        <v>0.26</v>
      </c>
      <c r="S4">
        <f t="shared" si="0"/>
        <v>0.5</v>
      </c>
      <c r="T4">
        <f t="shared" si="1"/>
        <v>0.5</v>
      </c>
      <c r="U4">
        <f t="shared" si="2"/>
        <v>0.5</v>
      </c>
      <c r="X4" s="139"/>
      <c r="Y4" s="99">
        <v>1</v>
      </c>
      <c r="Z4">
        <f t="shared" ref="Z4:AO4" si="4">C4*C2*$B4</f>
        <v>0</v>
      </c>
      <c r="AA4">
        <f t="shared" si="4"/>
        <v>0.24</v>
      </c>
      <c r="AB4">
        <f t="shared" si="4"/>
        <v>0.52</v>
      </c>
      <c r="AC4">
        <f t="shared" si="4"/>
        <v>0</v>
      </c>
      <c r="AD4">
        <f t="shared" si="4"/>
        <v>0</v>
      </c>
      <c r="AE4">
        <f t="shared" si="4"/>
        <v>0</v>
      </c>
      <c r="AF4">
        <f t="shared" si="4"/>
        <v>0</v>
      </c>
      <c r="AG4">
        <f t="shared" si="4"/>
        <v>0</v>
      </c>
      <c r="AH4">
        <f t="shared" si="4"/>
        <v>0</v>
      </c>
      <c r="AI4">
        <f t="shared" si="4"/>
        <v>0</v>
      </c>
      <c r="AJ4">
        <f t="shared" si="4"/>
        <v>0</v>
      </c>
      <c r="AK4">
        <f t="shared" si="4"/>
        <v>0</v>
      </c>
      <c r="AL4">
        <f t="shared" si="4"/>
        <v>0</v>
      </c>
      <c r="AM4">
        <f t="shared" si="4"/>
        <v>0</v>
      </c>
      <c r="AN4">
        <f t="shared" si="4"/>
        <v>0</v>
      </c>
      <c r="AO4">
        <f t="shared" si="4"/>
        <v>0</v>
      </c>
    </row>
    <row r="5" spans="1:41">
      <c r="A5" s="139"/>
      <c r="B5" s="99">
        <v>2</v>
      </c>
      <c r="D5">
        <v>0.28000000000000003</v>
      </c>
      <c r="E5">
        <v>0.22</v>
      </c>
      <c r="S5">
        <f t="shared" si="0"/>
        <v>0.5</v>
      </c>
      <c r="T5">
        <f t="shared" si="1"/>
        <v>1</v>
      </c>
      <c r="U5">
        <f t="shared" si="2"/>
        <v>2</v>
      </c>
      <c r="X5" s="139"/>
      <c r="Y5" s="99">
        <v>2</v>
      </c>
      <c r="Z5">
        <f t="shared" ref="Z5:AO5" si="5">C5*C2*$B5</f>
        <v>0</v>
      </c>
      <c r="AA5">
        <f t="shared" si="5"/>
        <v>0.56000000000000005</v>
      </c>
      <c r="AB5">
        <f t="shared" si="5"/>
        <v>0.88</v>
      </c>
      <c r="AC5">
        <f t="shared" si="5"/>
        <v>0</v>
      </c>
      <c r="AD5">
        <f t="shared" si="5"/>
        <v>0</v>
      </c>
      <c r="AE5">
        <f t="shared" si="5"/>
        <v>0</v>
      </c>
      <c r="AF5">
        <f t="shared" si="5"/>
        <v>0</v>
      </c>
      <c r="AG5">
        <f t="shared" si="5"/>
        <v>0</v>
      </c>
      <c r="AH5">
        <f t="shared" si="5"/>
        <v>0</v>
      </c>
      <c r="AI5">
        <f t="shared" si="5"/>
        <v>0</v>
      </c>
      <c r="AJ5">
        <f t="shared" si="5"/>
        <v>0</v>
      </c>
      <c r="AK5">
        <f t="shared" si="5"/>
        <v>0</v>
      </c>
      <c r="AL5">
        <f t="shared" si="5"/>
        <v>0</v>
      </c>
      <c r="AM5">
        <f t="shared" si="5"/>
        <v>0</v>
      </c>
      <c r="AN5">
        <f t="shared" si="5"/>
        <v>0</v>
      </c>
      <c r="AO5">
        <f t="shared" si="5"/>
        <v>0</v>
      </c>
    </row>
    <row r="6" spans="1:41">
      <c r="A6" s="139"/>
      <c r="B6" s="99">
        <v>3</v>
      </c>
      <c r="S6">
        <f t="shared" si="0"/>
        <v>0</v>
      </c>
      <c r="T6">
        <f t="shared" si="1"/>
        <v>0</v>
      </c>
      <c r="U6">
        <f t="shared" si="2"/>
        <v>0</v>
      </c>
      <c r="X6" s="139"/>
      <c r="Y6" s="99">
        <v>3</v>
      </c>
      <c r="Z6">
        <f t="shared" ref="Z6:AO6" si="6">C6*C2*$B6</f>
        <v>0</v>
      </c>
      <c r="AA6">
        <f t="shared" si="6"/>
        <v>0</v>
      </c>
      <c r="AB6">
        <f t="shared" si="6"/>
        <v>0</v>
      </c>
      <c r="AC6">
        <f t="shared" si="6"/>
        <v>0</v>
      </c>
      <c r="AD6">
        <f t="shared" si="6"/>
        <v>0</v>
      </c>
      <c r="AE6">
        <f t="shared" si="6"/>
        <v>0</v>
      </c>
      <c r="AF6">
        <f t="shared" si="6"/>
        <v>0</v>
      </c>
      <c r="AG6">
        <f t="shared" si="6"/>
        <v>0</v>
      </c>
      <c r="AH6">
        <f t="shared" si="6"/>
        <v>0</v>
      </c>
      <c r="AI6">
        <f t="shared" si="6"/>
        <v>0</v>
      </c>
      <c r="AJ6">
        <f t="shared" si="6"/>
        <v>0</v>
      </c>
      <c r="AK6">
        <f t="shared" si="6"/>
        <v>0</v>
      </c>
      <c r="AL6">
        <f t="shared" si="6"/>
        <v>0</v>
      </c>
      <c r="AM6">
        <f t="shared" si="6"/>
        <v>0</v>
      </c>
      <c r="AN6">
        <f t="shared" si="6"/>
        <v>0</v>
      </c>
      <c r="AO6">
        <f t="shared" si="6"/>
        <v>0</v>
      </c>
    </row>
    <row r="7" spans="1:41">
      <c r="A7" s="139"/>
      <c r="B7" s="99">
        <v>4</v>
      </c>
      <c r="S7">
        <f t="shared" si="0"/>
        <v>0</v>
      </c>
      <c r="T7">
        <f t="shared" si="1"/>
        <v>0</v>
      </c>
      <c r="U7">
        <f t="shared" si="2"/>
        <v>0</v>
      </c>
      <c r="X7" s="139"/>
      <c r="Y7" s="99">
        <v>4</v>
      </c>
      <c r="Z7">
        <f t="shared" ref="Z7:AO7" si="7">C7*C2*$B7</f>
        <v>0</v>
      </c>
      <c r="AA7">
        <f t="shared" si="7"/>
        <v>0</v>
      </c>
      <c r="AB7">
        <f t="shared" si="7"/>
        <v>0</v>
      </c>
      <c r="AC7">
        <f t="shared" si="7"/>
        <v>0</v>
      </c>
      <c r="AD7">
        <f t="shared" si="7"/>
        <v>0</v>
      </c>
      <c r="AE7">
        <f t="shared" si="7"/>
        <v>0</v>
      </c>
      <c r="AF7">
        <f t="shared" si="7"/>
        <v>0</v>
      </c>
      <c r="AG7">
        <f t="shared" si="7"/>
        <v>0</v>
      </c>
      <c r="AH7">
        <f t="shared" si="7"/>
        <v>0</v>
      </c>
      <c r="AI7">
        <f t="shared" si="7"/>
        <v>0</v>
      </c>
      <c r="AJ7">
        <f t="shared" si="7"/>
        <v>0</v>
      </c>
      <c r="AK7">
        <f t="shared" si="7"/>
        <v>0</v>
      </c>
      <c r="AL7">
        <f t="shared" si="7"/>
        <v>0</v>
      </c>
      <c r="AM7">
        <f t="shared" si="7"/>
        <v>0</v>
      </c>
      <c r="AN7">
        <f t="shared" si="7"/>
        <v>0</v>
      </c>
      <c r="AO7">
        <f t="shared" si="7"/>
        <v>0</v>
      </c>
    </row>
    <row r="8" spans="1:41">
      <c r="A8" s="139"/>
      <c r="B8" s="99">
        <v>5</v>
      </c>
      <c r="S8">
        <f t="shared" si="0"/>
        <v>0</v>
      </c>
      <c r="T8">
        <f t="shared" si="1"/>
        <v>0</v>
      </c>
      <c r="U8">
        <f t="shared" si="2"/>
        <v>0</v>
      </c>
      <c r="X8" s="139"/>
      <c r="Y8" s="99">
        <v>5</v>
      </c>
      <c r="Z8">
        <f t="shared" ref="Z8:AO8" si="8">C8*C2*$B8</f>
        <v>0</v>
      </c>
      <c r="AA8">
        <f t="shared" si="8"/>
        <v>0</v>
      </c>
      <c r="AB8">
        <f t="shared" si="8"/>
        <v>0</v>
      </c>
      <c r="AC8">
        <f t="shared" si="8"/>
        <v>0</v>
      </c>
      <c r="AD8">
        <f t="shared" si="8"/>
        <v>0</v>
      </c>
      <c r="AE8">
        <f t="shared" si="8"/>
        <v>0</v>
      </c>
      <c r="AF8">
        <f t="shared" si="8"/>
        <v>0</v>
      </c>
      <c r="AG8">
        <f t="shared" si="8"/>
        <v>0</v>
      </c>
      <c r="AH8">
        <f t="shared" si="8"/>
        <v>0</v>
      </c>
      <c r="AI8">
        <f t="shared" si="8"/>
        <v>0</v>
      </c>
      <c r="AJ8">
        <f t="shared" si="8"/>
        <v>0</v>
      </c>
      <c r="AK8">
        <f t="shared" si="8"/>
        <v>0</v>
      </c>
      <c r="AL8">
        <f t="shared" si="8"/>
        <v>0</v>
      </c>
      <c r="AM8">
        <f t="shared" si="8"/>
        <v>0</v>
      </c>
      <c r="AN8">
        <f t="shared" si="8"/>
        <v>0</v>
      </c>
      <c r="AO8">
        <f t="shared" si="8"/>
        <v>0</v>
      </c>
    </row>
    <row r="9" spans="1:41">
      <c r="A9" s="139"/>
      <c r="B9" s="99">
        <v>6</v>
      </c>
      <c r="S9">
        <f t="shared" si="0"/>
        <v>0</v>
      </c>
      <c r="T9">
        <f t="shared" si="1"/>
        <v>0</v>
      </c>
      <c r="U9">
        <f t="shared" si="2"/>
        <v>0</v>
      </c>
      <c r="X9" s="139"/>
      <c r="Y9" s="99">
        <v>6</v>
      </c>
      <c r="Z9">
        <f t="shared" ref="Z9:AO9" si="9">C9*C2*$B9</f>
        <v>0</v>
      </c>
      <c r="AA9">
        <f t="shared" si="9"/>
        <v>0</v>
      </c>
      <c r="AB9">
        <f t="shared" si="9"/>
        <v>0</v>
      </c>
      <c r="AC9">
        <f t="shared" si="9"/>
        <v>0</v>
      </c>
      <c r="AD9">
        <f t="shared" si="9"/>
        <v>0</v>
      </c>
      <c r="AE9">
        <f t="shared" si="9"/>
        <v>0</v>
      </c>
      <c r="AF9">
        <f t="shared" si="9"/>
        <v>0</v>
      </c>
      <c r="AG9">
        <f t="shared" si="9"/>
        <v>0</v>
      </c>
      <c r="AH9">
        <f t="shared" si="9"/>
        <v>0</v>
      </c>
      <c r="AI9">
        <f t="shared" si="9"/>
        <v>0</v>
      </c>
      <c r="AJ9">
        <f t="shared" si="9"/>
        <v>0</v>
      </c>
      <c r="AK9">
        <f t="shared" si="9"/>
        <v>0</v>
      </c>
      <c r="AL9">
        <f t="shared" si="9"/>
        <v>0</v>
      </c>
      <c r="AM9">
        <f t="shared" si="9"/>
        <v>0</v>
      </c>
      <c r="AN9">
        <f t="shared" si="9"/>
        <v>0</v>
      </c>
      <c r="AO9">
        <f t="shared" si="9"/>
        <v>0</v>
      </c>
    </row>
    <row r="10" spans="1:41">
      <c r="A10" s="139"/>
      <c r="B10" s="99">
        <v>7</v>
      </c>
      <c r="S10">
        <f t="shared" si="0"/>
        <v>0</v>
      </c>
      <c r="T10">
        <f t="shared" si="1"/>
        <v>0</v>
      </c>
      <c r="U10">
        <f t="shared" si="2"/>
        <v>0</v>
      </c>
      <c r="X10" s="139"/>
      <c r="Y10" s="99">
        <v>7</v>
      </c>
      <c r="Z10">
        <f t="shared" ref="Z10:AO10" si="10">C10*C2*$B10</f>
        <v>0</v>
      </c>
      <c r="AA10">
        <f t="shared" si="10"/>
        <v>0</v>
      </c>
      <c r="AB10">
        <f t="shared" si="10"/>
        <v>0</v>
      </c>
      <c r="AC10">
        <f t="shared" si="10"/>
        <v>0</v>
      </c>
      <c r="AD10">
        <f t="shared" si="10"/>
        <v>0</v>
      </c>
      <c r="AE10">
        <f t="shared" si="10"/>
        <v>0</v>
      </c>
      <c r="AF10">
        <f t="shared" si="10"/>
        <v>0</v>
      </c>
      <c r="AG10">
        <f t="shared" si="10"/>
        <v>0</v>
      </c>
      <c r="AH10">
        <f t="shared" si="10"/>
        <v>0</v>
      </c>
      <c r="AI10">
        <f t="shared" si="10"/>
        <v>0</v>
      </c>
      <c r="AJ10">
        <f t="shared" si="10"/>
        <v>0</v>
      </c>
      <c r="AK10">
        <f t="shared" si="10"/>
        <v>0</v>
      </c>
      <c r="AL10">
        <f t="shared" si="10"/>
        <v>0</v>
      </c>
      <c r="AM10">
        <f t="shared" si="10"/>
        <v>0</v>
      </c>
      <c r="AN10">
        <f t="shared" si="10"/>
        <v>0</v>
      </c>
      <c r="AO10">
        <f t="shared" si="10"/>
        <v>0</v>
      </c>
    </row>
    <row r="11" spans="1:41">
      <c r="A11" s="139"/>
      <c r="B11" s="99">
        <v>8</v>
      </c>
      <c r="S11">
        <f t="shared" si="0"/>
        <v>0</v>
      </c>
      <c r="T11">
        <f t="shared" si="1"/>
        <v>0</v>
      </c>
      <c r="U11">
        <f t="shared" si="2"/>
        <v>0</v>
      </c>
      <c r="X11" s="139"/>
      <c r="Y11" s="99">
        <v>8</v>
      </c>
      <c r="Z11">
        <f t="shared" ref="Z11:AO11" si="11">C11*C2*$B11</f>
        <v>0</v>
      </c>
      <c r="AA11">
        <f t="shared" si="11"/>
        <v>0</v>
      </c>
      <c r="AB11">
        <f t="shared" si="11"/>
        <v>0</v>
      </c>
      <c r="AC11">
        <f t="shared" si="11"/>
        <v>0</v>
      </c>
      <c r="AD11">
        <f t="shared" si="11"/>
        <v>0</v>
      </c>
      <c r="AE11">
        <f t="shared" si="11"/>
        <v>0</v>
      </c>
      <c r="AF11">
        <f t="shared" si="11"/>
        <v>0</v>
      </c>
      <c r="AG11">
        <f t="shared" si="11"/>
        <v>0</v>
      </c>
      <c r="AH11">
        <f t="shared" si="11"/>
        <v>0</v>
      </c>
      <c r="AI11">
        <f t="shared" si="11"/>
        <v>0</v>
      </c>
      <c r="AJ11">
        <f t="shared" si="11"/>
        <v>0</v>
      </c>
      <c r="AK11">
        <f t="shared" si="11"/>
        <v>0</v>
      </c>
      <c r="AL11">
        <f t="shared" si="11"/>
        <v>0</v>
      </c>
      <c r="AM11">
        <f t="shared" si="11"/>
        <v>0</v>
      </c>
      <c r="AN11">
        <f t="shared" si="11"/>
        <v>0</v>
      </c>
      <c r="AO11">
        <f t="shared" si="11"/>
        <v>0</v>
      </c>
    </row>
    <row r="12" spans="1:41">
      <c r="A12" s="139"/>
      <c r="B12" s="99">
        <v>9</v>
      </c>
      <c r="S12">
        <f t="shared" si="0"/>
        <v>0</v>
      </c>
      <c r="T12">
        <f t="shared" si="1"/>
        <v>0</v>
      </c>
      <c r="U12">
        <f t="shared" si="2"/>
        <v>0</v>
      </c>
      <c r="X12" s="139"/>
      <c r="Y12" s="99">
        <v>9</v>
      </c>
      <c r="Z12">
        <f t="shared" ref="Z12:AO12" si="12">C12*C2*$B12</f>
        <v>0</v>
      </c>
      <c r="AA12">
        <f t="shared" si="12"/>
        <v>0</v>
      </c>
      <c r="AB12">
        <f t="shared" si="12"/>
        <v>0</v>
      </c>
      <c r="AC12">
        <f t="shared" si="12"/>
        <v>0</v>
      </c>
      <c r="AD12">
        <f t="shared" si="12"/>
        <v>0</v>
      </c>
      <c r="AE12">
        <f t="shared" si="12"/>
        <v>0</v>
      </c>
      <c r="AF12">
        <f t="shared" si="12"/>
        <v>0</v>
      </c>
      <c r="AG12">
        <f t="shared" si="12"/>
        <v>0</v>
      </c>
      <c r="AH12">
        <f t="shared" si="12"/>
        <v>0</v>
      </c>
      <c r="AI12">
        <f t="shared" si="12"/>
        <v>0</v>
      </c>
      <c r="AJ12">
        <f t="shared" si="12"/>
        <v>0</v>
      </c>
      <c r="AK12">
        <f t="shared" si="12"/>
        <v>0</v>
      </c>
      <c r="AL12">
        <f t="shared" si="12"/>
        <v>0</v>
      </c>
      <c r="AM12">
        <f t="shared" si="12"/>
        <v>0</v>
      </c>
      <c r="AN12">
        <f t="shared" si="12"/>
        <v>0</v>
      </c>
      <c r="AO12">
        <f t="shared" si="12"/>
        <v>0</v>
      </c>
    </row>
    <row r="13" spans="1:41">
      <c r="A13" s="139"/>
      <c r="B13" s="99">
        <v>10</v>
      </c>
      <c r="S13">
        <f t="shared" si="0"/>
        <v>0</v>
      </c>
      <c r="T13">
        <f t="shared" si="1"/>
        <v>0</v>
      </c>
      <c r="U13">
        <f t="shared" si="2"/>
        <v>0</v>
      </c>
      <c r="X13" s="139"/>
      <c r="Y13" s="99">
        <v>10</v>
      </c>
      <c r="Z13">
        <f t="shared" ref="Z13:AO13" si="13">C13*C2*$B13</f>
        <v>0</v>
      </c>
      <c r="AA13">
        <f t="shared" si="13"/>
        <v>0</v>
      </c>
      <c r="AB13">
        <f t="shared" si="13"/>
        <v>0</v>
      </c>
      <c r="AC13">
        <f t="shared" si="13"/>
        <v>0</v>
      </c>
      <c r="AD13">
        <f t="shared" si="13"/>
        <v>0</v>
      </c>
      <c r="AE13">
        <f t="shared" si="13"/>
        <v>0</v>
      </c>
      <c r="AF13">
        <f t="shared" si="13"/>
        <v>0</v>
      </c>
      <c r="AG13">
        <f t="shared" si="13"/>
        <v>0</v>
      </c>
      <c r="AH13">
        <f t="shared" si="13"/>
        <v>0</v>
      </c>
      <c r="AI13">
        <f t="shared" si="13"/>
        <v>0</v>
      </c>
      <c r="AJ13">
        <f t="shared" si="13"/>
        <v>0</v>
      </c>
      <c r="AK13">
        <f t="shared" si="13"/>
        <v>0</v>
      </c>
      <c r="AL13">
        <f t="shared" si="13"/>
        <v>0</v>
      </c>
      <c r="AM13">
        <f t="shared" si="13"/>
        <v>0</v>
      </c>
      <c r="AN13">
        <f t="shared" si="13"/>
        <v>0</v>
      </c>
      <c r="AO13">
        <f t="shared" si="13"/>
        <v>0</v>
      </c>
    </row>
    <row r="14" spans="1:41">
      <c r="A14" s="139"/>
      <c r="B14" s="99">
        <v>11</v>
      </c>
      <c r="S14">
        <f t="shared" si="0"/>
        <v>0</v>
      </c>
      <c r="T14">
        <f t="shared" si="1"/>
        <v>0</v>
      </c>
      <c r="U14">
        <f t="shared" si="2"/>
        <v>0</v>
      </c>
      <c r="X14" s="139"/>
      <c r="Y14" s="99">
        <v>11</v>
      </c>
      <c r="Z14">
        <f t="shared" ref="Z14:AO14" si="14">C14*C2*$B14</f>
        <v>0</v>
      </c>
      <c r="AA14">
        <f t="shared" si="14"/>
        <v>0</v>
      </c>
      <c r="AB14">
        <f t="shared" si="14"/>
        <v>0</v>
      </c>
      <c r="AC14">
        <f t="shared" si="14"/>
        <v>0</v>
      </c>
      <c r="AD14">
        <f t="shared" si="14"/>
        <v>0</v>
      </c>
      <c r="AE14">
        <f t="shared" si="14"/>
        <v>0</v>
      </c>
      <c r="AF14">
        <f t="shared" si="14"/>
        <v>0</v>
      </c>
      <c r="AG14">
        <f t="shared" si="14"/>
        <v>0</v>
      </c>
      <c r="AH14">
        <f t="shared" si="14"/>
        <v>0</v>
      </c>
      <c r="AI14">
        <f t="shared" si="14"/>
        <v>0</v>
      </c>
      <c r="AJ14">
        <f t="shared" si="14"/>
        <v>0</v>
      </c>
      <c r="AK14">
        <f t="shared" si="14"/>
        <v>0</v>
      </c>
      <c r="AL14">
        <f t="shared" si="14"/>
        <v>0</v>
      </c>
      <c r="AM14">
        <f t="shared" si="14"/>
        <v>0</v>
      </c>
      <c r="AN14">
        <f t="shared" si="14"/>
        <v>0</v>
      </c>
      <c r="AO14">
        <f t="shared" si="14"/>
        <v>0</v>
      </c>
    </row>
    <row r="15" spans="1:41">
      <c r="A15" s="139"/>
      <c r="B15" s="99">
        <v>12</v>
      </c>
      <c r="S15">
        <f t="shared" si="0"/>
        <v>0</v>
      </c>
      <c r="T15">
        <f t="shared" si="1"/>
        <v>0</v>
      </c>
      <c r="U15">
        <f t="shared" si="2"/>
        <v>0</v>
      </c>
      <c r="X15" s="139"/>
      <c r="Y15" s="99">
        <v>12</v>
      </c>
      <c r="Z15">
        <f t="shared" ref="Z15:AO15" si="15">C15*C2*$B15</f>
        <v>0</v>
      </c>
      <c r="AA15">
        <f t="shared" si="15"/>
        <v>0</v>
      </c>
      <c r="AB15">
        <f t="shared" si="15"/>
        <v>0</v>
      </c>
      <c r="AC15">
        <f t="shared" si="15"/>
        <v>0</v>
      </c>
      <c r="AD15">
        <f t="shared" si="15"/>
        <v>0</v>
      </c>
      <c r="AE15">
        <f t="shared" si="15"/>
        <v>0</v>
      </c>
      <c r="AF15">
        <f t="shared" si="15"/>
        <v>0</v>
      </c>
      <c r="AG15">
        <f t="shared" si="15"/>
        <v>0</v>
      </c>
      <c r="AH15">
        <f t="shared" si="15"/>
        <v>0</v>
      </c>
      <c r="AI15">
        <f t="shared" si="15"/>
        <v>0</v>
      </c>
      <c r="AJ15">
        <f t="shared" si="15"/>
        <v>0</v>
      </c>
      <c r="AK15">
        <f t="shared" si="15"/>
        <v>0</v>
      </c>
      <c r="AL15">
        <f t="shared" si="15"/>
        <v>0</v>
      </c>
      <c r="AM15">
        <f t="shared" si="15"/>
        <v>0</v>
      </c>
      <c r="AN15">
        <f t="shared" si="15"/>
        <v>0</v>
      </c>
      <c r="AO15">
        <f t="shared" si="15"/>
        <v>0</v>
      </c>
    </row>
    <row r="16" spans="1:41">
      <c r="A16" s="139"/>
      <c r="B16" s="99">
        <v>13</v>
      </c>
      <c r="S16">
        <f t="shared" si="0"/>
        <v>0</v>
      </c>
      <c r="T16">
        <f t="shared" si="1"/>
        <v>0</v>
      </c>
      <c r="U16">
        <f t="shared" si="2"/>
        <v>0</v>
      </c>
      <c r="X16" s="139"/>
      <c r="Y16" s="99">
        <v>13</v>
      </c>
      <c r="Z16">
        <f t="shared" ref="Z16:AO16" si="16">C16*C2*$B16</f>
        <v>0</v>
      </c>
      <c r="AA16">
        <f t="shared" si="16"/>
        <v>0</v>
      </c>
      <c r="AB16">
        <f t="shared" si="16"/>
        <v>0</v>
      </c>
      <c r="AC16">
        <f t="shared" si="16"/>
        <v>0</v>
      </c>
      <c r="AD16">
        <f t="shared" si="16"/>
        <v>0</v>
      </c>
      <c r="AE16">
        <f t="shared" si="16"/>
        <v>0</v>
      </c>
      <c r="AF16">
        <f t="shared" si="16"/>
        <v>0</v>
      </c>
      <c r="AG16">
        <f t="shared" si="16"/>
        <v>0</v>
      </c>
      <c r="AH16">
        <f t="shared" si="16"/>
        <v>0</v>
      </c>
      <c r="AI16">
        <f t="shared" si="16"/>
        <v>0</v>
      </c>
      <c r="AJ16">
        <f t="shared" si="16"/>
        <v>0</v>
      </c>
      <c r="AK16">
        <f t="shared" si="16"/>
        <v>0</v>
      </c>
      <c r="AL16">
        <f t="shared" si="16"/>
        <v>0</v>
      </c>
      <c r="AM16">
        <f t="shared" si="16"/>
        <v>0</v>
      </c>
      <c r="AN16">
        <f t="shared" si="16"/>
        <v>0</v>
      </c>
      <c r="AO16">
        <f t="shared" si="16"/>
        <v>0</v>
      </c>
    </row>
    <row r="17" spans="1:41">
      <c r="A17" s="139"/>
      <c r="B17" s="99">
        <v>14</v>
      </c>
      <c r="S17">
        <f t="shared" si="0"/>
        <v>0</v>
      </c>
      <c r="T17">
        <f t="shared" si="1"/>
        <v>0</v>
      </c>
      <c r="U17">
        <f t="shared" si="2"/>
        <v>0</v>
      </c>
      <c r="X17" s="139"/>
      <c r="Y17" s="99">
        <v>14</v>
      </c>
      <c r="Z17">
        <f t="shared" ref="Z17:AO17" si="17">C17*C2*$B17</f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17"/>
        <v>0</v>
      </c>
      <c r="AI17">
        <f t="shared" si="17"/>
        <v>0</v>
      </c>
      <c r="AJ17">
        <f t="shared" si="17"/>
        <v>0</v>
      </c>
      <c r="AK17">
        <f t="shared" si="17"/>
        <v>0</v>
      </c>
      <c r="AL17">
        <f t="shared" si="17"/>
        <v>0</v>
      </c>
      <c r="AM17">
        <f t="shared" si="17"/>
        <v>0</v>
      </c>
      <c r="AN17">
        <f t="shared" si="17"/>
        <v>0</v>
      </c>
      <c r="AO17">
        <f t="shared" si="17"/>
        <v>0</v>
      </c>
    </row>
    <row r="18" spans="1:41">
      <c r="A18" s="139"/>
      <c r="B18" s="99">
        <v>15</v>
      </c>
      <c r="S18">
        <f t="shared" si="0"/>
        <v>0</v>
      </c>
      <c r="T18">
        <f t="shared" si="1"/>
        <v>0</v>
      </c>
      <c r="U18">
        <f t="shared" si="2"/>
        <v>0</v>
      </c>
      <c r="X18" s="139"/>
      <c r="Y18" s="99">
        <v>15</v>
      </c>
      <c r="Z18">
        <f t="shared" ref="Z18:AO18" si="18">C18*C16*$B18</f>
        <v>0</v>
      </c>
      <c r="AA18">
        <f t="shared" si="18"/>
        <v>0</v>
      </c>
      <c r="AB18">
        <f t="shared" si="18"/>
        <v>0</v>
      </c>
      <c r="AC18">
        <f t="shared" si="18"/>
        <v>0</v>
      </c>
      <c r="AD18">
        <f t="shared" si="18"/>
        <v>0</v>
      </c>
      <c r="AE18">
        <f t="shared" si="18"/>
        <v>0</v>
      </c>
      <c r="AF18">
        <f t="shared" si="18"/>
        <v>0</v>
      </c>
      <c r="AG18">
        <f t="shared" si="18"/>
        <v>0</v>
      </c>
      <c r="AH18">
        <f t="shared" si="18"/>
        <v>0</v>
      </c>
      <c r="AI18">
        <f t="shared" si="18"/>
        <v>0</v>
      </c>
      <c r="AJ18">
        <f t="shared" si="18"/>
        <v>0</v>
      </c>
      <c r="AK18">
        <f t="shared" si="18"/>
        <v>0</v>
      </c>
      <c r="AL18">
        <f t="shared" si="18"/>
        <v>0</v>
      </c>
      <c r="AM18">
        <f t="shared" si="18"/>
        <v>0</v>
      </c>
      <c r="AN18">
        <f t="shared" si="18"/>
        <v>0</v>
      </c>
      <c r="AO18">
        <f t="shared" si="18"/>
        <v>0</v>
      </c>
    </row>
    <row r="19" spans="1:41">
      <c r="A19" s="116" t="s">
        <v>236</v>
      </c>
      <c r="B19" s="116"/>
      <c r="C19">
        <f t="shared" ref="C19:R19" si="19">SUM(C3:C18)</f>
        <v>0</v>
      </c>
      <c r="D19">
        <f t="shared" si="19"/>
        <v>0.52</v>
      </c>
      <c r="E19">
        <f t="shared" si="19"/>
        <v>0.48</v>
      </c>
      <c r="F19">
        <f t="shared" si="19"/>
        <v>0</v>
      </c>
      <c r="G19">
        <f t="shared" si="19"/>
        <v>0</v>
      </c>
      <c r="H19">
        <f t="shared" si="19"/>
        <v>0</v>
      </c>
      <c r="I19">
        <f t="shared" si="19"/>
        <v>0</v>
      </c>
      <c r="J19">
        <f t="shared" si="19"/>
        <v>0</v>
      </c>
      <c r="K19">
        <f t="shared" si="19"/>
        <v>0</v>
      </c>
      <c r="L19">
        <f t="shared" si="19"/>
        <v>0</v>
      </c>
      <c r="M19">
        <f t="shared" si="19"/>
        <v>0</v>
      </c>
      <c r="N19">
        <f t="shared" si="19"/>
        <v>0</v>
      </c>
      <c r="O19">
        <f t="shared" si="19"/>
        <v>0</v>
      </c>
      <c r="P19">
        <f t="shared" si="19"/>
        <v>0</v>
      </c>
      <c r="Q19">
        <f t="shared" si="19"/>
        <v>0</v>
      </c>
      <c r="R19">
        <f t="shared" si="19"/>
        <v>0</v>
      </c>
    </row>
    <row r="20" spans="1:41">
      <c r="B20" s="8" t="s">
        <v>235</v>
      </c>
      <c r="C20">
        <f t="shared" ref="C20:R20" si="20">C19*C2</f>
        <v>0</v>
      </c>
      <c r="D20">
        <f t="shared" si="20"/>
        <v>0.52</v>
      </c>
      <c r="E20">
        <f t="shared" si="20"/>
        <v>0.96</v>
      </c>
      <c r="F20">
        <f t="shared" si="20"/>
        <v>0</v>
      </c>
      <c r="G20">
        <f t="shared" si="20"/>
        <v>0</v>
      </c>
      <c r="H20">
        <f t="shared" si="20"/>
        <v>0</v>
      </c>
      <c r="I20">
        <f t="shared" si="20"/>
        <v>0</v>
      </c>
      <c r="J20">
        <f t="shared" si="20"/>
        <v>0</v>
      </c>
      <c r="K20">
        <f t="shared" si="20"/>
        <v>0</v>
      </c>
      <c r="L20">
        <f t="shared" si="20"/>
        <v>0</v>
      </c>
      <c r="M20">
        <f t="shared" si="20"/>
        <v>0</v>
      </c>
      <c r="N20">
        <f t="shared" si="20"/>
        <v>0</v>
      </c>
      <c r="O20">
        <f t="shared" si="20"/>
        <v>0</v>
      </c>
      <c r="P20">
        <f t="shared" si="20"/>
        <v>0</v>
      </c>
      <c r="Q20">
        <f t="shared" si="20"/>
        <v>0</v>
      </c>
      <c r="R20">
        <f t="shared" si="20"/>
        <v>0</v>
      </c>
    </row>
    <row r="21" spans="1:41">
      <c r="B21" s="8" t="s">
        <v>234</v>
      </c>
      <c r="C21">
        <f t="shared" ref="C21:R21" si="21">C19*(C2)^2</f>
        <v>0</v>
      </c>
      <c r="D21">
        <f t="shared" si="21"/>
        <v>0.52</v>
      </c>
      <c r="E21">
        <f t="shared" si="21"/>
        <v>1.92</v>
      </c>
      <c r="F21">
        <f t="shared" si="21"/>
        <v>0</v>
      </c>
      <c r="G21">
        <f t="shared" si="21"/>
        <v>0</v>
      </c>
      <c r="H21">
        <f t="shared" si="21"/>
        <v>0</v>
      </c>
      <c r="I21">
        <f t="shared" si="21"/>
        <v>0</v>
      </c>
      <c r="J21">
        <f t="shared" si="21"/>
        <v>0</v>
      </c>
      <c r="K21">
        <f t="shared" si="21"/>
        <v>0</v>
      </c>
      <c r="L21">
        <f t="shared" si="21"/>
        <v>0</v>
      </c>
      <c r="M21">
        <f t="shared" si="21"/>
        <v>0</v>
      </c>
      <c r="N21">
        <f t="shared" si="21"/>
        <v>0</v>
      </c>
      <c r="O21">
        <f t="shared" si="21"/>
        <v>0</v>
      </c>
      <c r="P21">
        <f t="shared" si="21"/>
        <v>0</v>
      </c>
      <c r="Q21">
        <f t="shared" si="21"/>
        <v>0</v>
      </c>
      <c r="R21">
        <f t="shared" si="21"/>
        <v>0</v>
      </c>
    </row>
    <row r="23" spans="1:41" ht="15.75" thickBot="1"/>
    <row r="24" spans="1:41">
      <c r="C24" s="98" t="s">
        <v>152</v>
      </c>
      <c r="D24" s="97">
        <f>SUM(C20:R20)</f>
        <v>1.48</v>
      </c>
      <c r="E24" s="97"/>
      <c r="F24" s="96" t="s">
        <v>153</v>
      </c>
      <c r="G24" s="97">
        <f>SUM(T3:T18)</f>
        <v>1.5</v>
      </c>
      <c r="H24" s="97"/>
      <c r="I24" s="96" t="s">
        <v>156</v>
      </c>
      <c r="J24" s="95">
        <f>SUM(Z3:AO18)</f>
        <v>2.2000000000000002</v>
      </c>
    </row>
    <row r="25" spans="1:41">
      <c r="C25" s="94" t="s">
        <v>154</v>
      </c>
      <c r="D25">
        <f>SUM(C21:R21)</f>
        <v>2.44</v>
      </c>
      <c r="F25" s="93" t="s">
        <v>155</v>
      </c>
      <c r="G25">
        <f>SUM(U3:U18)</f>
        <v>2.5</v>
      </c>
      <c r="I25" s="93" t="s">
        <v>233</v>
      </c>
      <c r="J25" s="10">
        <f>J24-G24*D24</f>
        <v>-1.9999999999999574E-2</v>
      </c>
    </row>
    <row r="26" spans="1:41" ht="15.75" thickBot="1">
      <c r="C26" s="92" t="s">
        <v>232</v>
      </c>
      <c r="D26" s="30">
        <f>D25-(D24)^2</f>
        <v>0.24960000000000004</v>
      </c>
      <c r="E26" s="30"/>
      <c r="F26" s="91" t="s">
        <v>231</v>
      </c>
      <c r="G26" s="30">
        <f>G25-(G24)^2</f>
        <v>0.25</v>
      </c>
      <c r="H26" s="30"/>
      <c r="I26" s="91" t="s">
        <v>230</v>
      </c>
      <c r="J26" s="31">
        <f>J25/(SQRT(G26*D26))</f>
        <v>-8.0064076902541859E-2</v>
      </c>
    </row>
    <row r="30" spans="1:41">
      <c r="C30" s="8" t="s">
        <v>229</v>
      </c>
    </row>
    <row r="31" spans="1:41">
      <c r="C31" s="8" t="s">
        <v>228</v>
      </c>
      <c r="D31">
        <v>8</v>
      </c>
    </row>
    <row r="32" spans="1:41">
      <c r="C32" s="8" t="s">
        <v>227</v>
      </c>
      <c r="D32">
        <v>3</v>
      </c>
    </row>
    <row r="33" spans="3:4">
      <c r="C33" s="8" t="s">
        <v>226</v>
      </c>
      <c r="D33">
        <v>-10</v>
      </c>
    </row>
    <row r="34" spans="3:4">
      <c r="C34" s="8" t="s">
        <v>225</v>
      </c>
      <c r="D34">
        <f>D31*D24+D32*G24+D33</f>
        <v>6.34</v>
      </c>
    </row>
    <row r="35" spans="3:4">
      <c r="C35" s="8" t="s">
        <v>224</v>
      </c>
      <c r="D35">
        <f>(D31^2)*D26+(D32^2)*G26+2*D31*D32*J25</f>
        <v>17.264400000000023</v>
      </c>
    </row>
  </sheetData>
  <mergeCells count="7">
    <mergeCell ref="Z1:AO1"/>
    <mergeCell ref="X3:X18"/>
    <mergeCell ref="A1:B2"/>
    <mergeCell ref="A19:B19"/>
    <mergeCell ref="A3:A18"/>
    <mergeCell ref="C1:R1"/>
    <mergeCell ref="X1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Cheatsheet</vt:lpstr>
      <vt:lpstr>Chapters 1-5</vt:lpstr>
      <vt:lpstr>Chapters 6-7</vt:lpstr>
      <vt:lpstr>CI for Means (Paired Data)</vt:lpstr>
      <vt:lpstr>individual data</vt:lpstr>
      <vt:lpstr>validate expectations</vt:lpstr>
      <vt:lpstr>new variance</vt:lpstr>
      <vt:lpstr>data analyser</vt:lpstr>
      <vt:lpstr>Fxy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Nnythingy One</cp:lastModifiedBy>
  <dcterms:created xsi:type="dcterms:W3CDTF">2015-06-05T18:17:20Z</dcterms:created>
  <dcterms:modified xsi:type="dcterms:W3CDTF">2022-11-18T11:45:44Z</dcterms:modified>
</cp:coreProperties>
</file>