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stuff\Uni notes\Mechanics structures and materials\"/>
    </mc:Choice>
  </mc:AlternateContent>
  <xr:revisionPtr revIDLastSave="0" documentId="13_ncr:1_{5873179B-AD2F-49F8-8BCE-55FEBA76857E}" xr6:coauthVersionLast="47" xr6:coauthVersionMax="47" xr10:uidLastSave="{00000000-0000-0000-0000-000000000000}"/>
  <bookViews>
    <workbookView xWindow="-120" yWindow="-120" windowWidth="29040" windowHeight="15990" activeTab="2" xr2:uid="{B4832339-B459-4DE3-BBF5-0C74B6145684}"/>
  </bookViews>
  <sheets>
    <sheet name="Beam cross section (2)" sheetId="3" r:id="rId1"/>
    <sheet name="Beam cross section" sheetId="1" r:id="rId2"/>
    <sheet name="Energy cons" sheetId="5" r:id="rId3"/>
    <sheet name="Sheet1" sheetId="4" r:id="rId4"/>
    <sheet name="Composit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5" l="1"/>
  <c r="C8" i="5"/>
  <c r="C7" i="5"/>
  <c r="X10" i="1"/>
  <c r="X13" i="1" s="1"/>
  <c r="X14" i="1" s="1"/>
  <c r="U10" i="1"/>
  <c r="U11" i="1"/>
  <c r="U13" i="1"/>
  <c r="U12" i="1"/>
  <c r="U14" i="1"/>
  <c r="U1" i="1"/>
  <c r="Q3" i="1"/>
  <c r="U4" i="1"/>
  <c r="U5" i="1"/>
  <c r="I35" i="4" a="1"/>
  <c r="I35" i="4" s="1"/>
  <c r="D23" i="4"/>
  <c r="E23" i="4"/>
  <c r="F23" i="4"/>
  <c r="G23" i="4"/>
  <c r="H23" i="4"/>
  <c r="I23" i="4"/>
  <c r="C23" i="4"/>
  <c r="C30" i="4"/>
  <c r="A30" i="4"/>
  <c r="O34" i="4"/>
  <c r="N34" i="4"/>
  <c r="M34" i="4"/>
  <c r="Q33" i="4"/>
  <c r="P33" i="4"/>
  <c r="O33" i="4"/>
  <c r="N33" i="4"/>
  <c r="M33" i="4"/>
  <c r="P32" i="4"/>
  <c r="O32" i="4"/>
  <c r="N32" i="4"/>
  <c r="M32" i="4"/>
  <c r="Q31" i="4"/>
  <c r="P31" i="4"/>
  <c r="O31" i="4"/>
  <c r="N31" i="4"/>
  <c r="M31" i="4"/>
  <c r="Q30" i="4"/>
  <c r="P30" i="4"/>
  <c r="O30" i="4"/>
  <c r="N30" i="4"/>
  <c r="M30" i="4"/>
  <c r="A27" i="4"/>
  <c r="E38" i="4" s="1"/>
  <c r="A32" i="4"/>
  <c r="C37" i="4" s="1"/>
  <c r="A37" i="4"/>
  <c r="A36" i="4"/>
  <c r="D38" i="4"/>
  <c r="A29" i="4"/>
  <c r="F35" i="4" s="1"/>
  <c r="N22" i="4"/>
  <c r="N17" i="4"/>
  <c r="O14" i="4" s="1"/>
  <c r="K21" i="4"/>
  <c r="K22" i="4"/>
  <c r="N4" i="4"/>
  <c r="N5" i="4"/>
  <c r="O5" i="4"/>
  <c r="O4" i="4"/>
  <c r="H22" i="4"/>
  <c r="H21" i="4"/>
  <c r="F14" i="4"/>
  <c r="H14" i="4" s="1"/>
  <c r="E14" i="4"/>
  <c r="G14" i="4" s="1"/>
  <c r="F13" i="4"/>
  <c r="H13" i="4" s="1"/>
  <c r="E13" i="4"/>
  <c r="G13" i="4" s="1"/>
  <c r="D14" i="4"/>
  <c r="D13" i="4"/>
  <c r="C14" i="4"/>
  <c r="C13" i="4"/>
  <c r="X34" i="1"/>
  <c r="X31" i="1"/>
  <c r="X33" i="1"/>
  <c r="X30" i="1"/>
  <c r="Y39" i="1"/>
  <c r="W34" i="1"/>
  <c r="W31" i="1"/>
  <c r="Y38" i="1" s="1"/>
  <c r="Y37" i="1"/>
  <c r="U30" i="1"/>
  <c r="U33" i="1"/>
  <c r="W33" i="1" s="1"/>
  <c r="W30" i="1"/>
  <c r="H10" i="4"/>
  <c r="H11" i="4"/>
  <c r="G11" i="4"/>
  <c r="G10" i="4"/>
  <c r="F11" i="4"/>
  <c r="E11" i="4"/>
  <c r="F10" i="4"/>
  <c r="E10" i="4"/>
  <c r="C11" i="4"/>
  <c r="D11" i="4"/>
  <c r="D10" i="4"/>
  <c r="C10" i="4"/>
  <c r="D5" i="4"/>
  <c r="O23" i="1"/>
  <c r="O22" i="3"/>
  <c r="O21" i="3"/>
  <c r="J35" i="3"/>
  <c r="I35" i="3"/>
  <c r="G35" i="3"/>
  <c r="F35" i="3"/>
  <c r="Y35" i="3" s="1"/>
  <c r="Y34" i="3"/>
  <c r="X34" i="3"/>
  <c r="Z34" i="3" s="1"/>
  <c r="J34" i="3"/>
  <c r="I34" i="3"/>
  <c r="H34" i="3"/>
  <c r="G34" i="3"/>
  <c r="F34" i="3"/>
  <c r="Y33" i="3"/>
  <c r="J33" i="3"/>
  <c r="I33" i="3"/>
  <c r="G33" i="3"/>
  <c r="F33" i="3"/>
  <c r="X33" i="3" s="1"/>
  <c r="Z33" i="3" s="1"/>
  <c r="J32" i="3"/>
  <c r="I32" i="3"/>
  <c r="G32" i="3"/>
  <c r="F32" i="3"/>
  <c r="Y32" i="3" s="1"/>
  <c r="J31" i="3"/>
  <c r="I31" i="3"/>
  <c r="G31" i="3"/>
  <c r="F31" i="3"/>
  <c r="X30" i="3"/>
  <c r="J30" i="3"/>
  <c r="I30" i="3"/>
  <c r="G30" i="3"/>
  <c r="F30" i="3"/>
  <c r="H30" i="3" s="1"/>
  <c r="J29" i="3"/>
  <c r="I29" i="3"/>
  <c r="G29" i="3"/>
  <c r="X29" i="3" s="1"/>
  <c r="F29" i="3"/>
  <c r="Y29" i="3" s="1"/>
  <c r="Y28" i="3"/>
  <c r="X28" i="3"/>
  <c r="Z28" i="3" s="1"/>
  <c r="J28" i="3"/>
  <c r="I28" i="3"/>
  <c r="H28" i="3"/>
  <c r="G28" i="3"/>
  <c r="F28" i="3"/>
  <c r="Y27" i="3"/>
  <c r="J27" i="3"/>
  <c r="I27" i="3"/>
  <c r="G27" i="3"/>
  <c r="F27" i="3"/>
  <c r="X27" i="3" s="1"/>
  <c r="Z27" i="3" s="1"/>
  <c r="J26" i="3"/>
  <c r="I26" i="3"/>
  <c r="G26" i="3"/>
  <c r="F26" i="3"/>
  <c r="Y26" i="3" s="1"/>
  <c r="X25" i="3"/>
  <c r="J25" i="3"/>
  <c r="I25" i="3"/>
  <c r="G25" i="3"/>
  <c r="F25" i="3"/>
  <c r="H25" i="3" s="1"/>
  <c r="J24" i="3"/>
  <c r="I24" i="3"/>
  <c r="G24" i="3"/>
  <c r="F24" i="3"/>
  <c r="Y24" i="3" s="1"/>
  <c r="X23" i="3"/>
  <c r="J23" i="3"/>
  <c r="I23" i="3"/>
  <c r="G23" i="3"/>
  <c r="F23" i="3"/>
  <c r="H23" i="3" s="1"/>
  <c r="J22" i="3"/>
  <c r="I22" i="3"/>
  <c r="G22" i="3"/>
  <c r="F22" i="3"/>
  <c r="Y22" i="3" s="1"/>
  <c r="X21" i="3"/>
  <c r="J21" i="3"/>
  <c r="I21" i="3"/>
  <c r="G21" i="3"/>
  <c r="F21" i="3"/>
  <c r="H21" i="3" s="1"/>
  <c r="J20" i="3"/>
  <c r="I20" i="3"/>
  <c r="G20" i="3"/>
  <c r="F20" i="3"/>
  <c r="J19" i="3"/>
  <c r="I19" i="3"/>
  <c r="G19" i="3"/>
  <c r="F19" i="3"/>
  <c r="Y18" i="3"/>
  <c r="X18" i="3"/>
  <c r="Z18" i="3" s="1"/>
  <c r="J18" i="3"/>
  <c r="I18" i="3"/>
  <c r="H18" i="3"/>
  <c r="G18" i="3"/>
  <c r="F18" i="3"/>
  <c r="Y17" i="3"/>
  <c r="J17" i="3"/>
  <c r="I17" i="3"/>
  <c r="G17" i="3"/>
  <c r="F17" i="3"/>
  <c r="X17" i="3" s="1"/>
  <c r="Z17" i="3" s="1"/>
  <c r="J16" i="3"/>
  <c r="I16" i="3"/>
  <c r="G16" i="3"/>
  <c r="F16" i="3"/>
  <c r="J15" i="3"/>
  <c r="I15" i="3"/>
  <c r="G15" i="3"/>
  <c r="F15" i="3"/>
  <c r="X14" i="3"/>
  <c r="L14" i="3"/>
  <c r="J14" i="3"/>
  <c r="I14" i="3"/>
  <c r="H14" i="3"/>
  <c r="G14" i="3"/>
  <c r="F14" i="3"/>
  <c r="Y13" i="3"/>
  <c r="J13" i="3"/>
  <c r="I13" i="3"/>
  <c r="G13" i="3"/>
  <c r="F13" i="3"/>
  <c r="X13" i="3" s="1"/>
  <c r="J12" i="3"/>
  <c r="I12" i="3"/>
  <c r="G12" i="3"/>
  <c r="F12" i="3"/>
  <c r="Y12" i="3" s="1"/>
  <c r="X11" i="3"/>
  <c r="J11" i="3"/>
  <c r="I11" i="3"/>
  <c r="G11" i="3"/>
  <c r="F11" i="3"/>
  <c r="H11" i="3" s="1"/>
  <c r="J10" i="3"/>
  <c r="I10" i="3"/>
  <c r="G10" i="3"/>
  <c r="F10" i="3"/>
  <c r="X9" i="3"/>
  <c r="J9" i="3"/>
  <c r="I9" i="3"/>
  <c r="G9" i="3"/>
  <c r="F9" i="3"/>
  <c r="H9" i="3" s="1"/>
  <c r="J8" i="3"/>
  <c r="I8" i="3"/>
  <c r="G8" i="3"/>
  <c r="F8" i="3"/>
  <c r="J7" i="3"/>
  <c r="I7" i="3"/>
  <c r="G7" i="3"/>
  <c r="F7" i="3"/>
  <c r="J6" i="3"/>
  <c r="I6" i="3"/>
  <c r="G6" i="3"/>
  <c r="F6" i="3"/>
  <c r="J5" i="3"/>
  <c r="I5" i="3"/>
  <c r="G5" i="3"/>
  <c r="F5" i="3"/>
  <c r="J4" i="3"/>
  <c r="I4" i="3"/>
  <c r="G4" i="3"/>
  <c r="F4" i="3"/>
  <c r="E4" i="1"/>
  <c r="F4" i="1" s="1"/>
  <c r="C26" i="2"/>
  <c r="L20" i="2" s="1"/>
  <c r="F6" i="1"/>
  <c r="G6" i="1"/>
  <c r="I6" i="1"/>
  <c r="J6" i="1"/>
  <c r="F7" i="1"/>
  <c r="G7" i="1"/>
  <c r="I7" i="1"/>
  <c r="J7" i="1"/>
  <c r="F8" i="1"/>
  <c r="G8" i="1"/>
  <c r="I8" i="1"/>
  <c r="J8" i="1"/>
  <c r="F9" i="1"/>
  <c r="G9" i="1"/>
  <c r="I9" i="1"/>
  <c r="J9" i="1"/>
  <c r="F10" i="1"/>
  <c r="G10" i="1"/>
  <c r="I10" i="1"/>
  <c r="J10" i="1"/>
  <c r="F11" i="1"/>
  <c r="G11" i="1"/>
  <c r="I11" i="1"/>
  <c r="J11" i="1"/>
  <c r="F12" i="1"/>
  <c r="G12" i="1"/>
  <c r="I12" i="1"/>
  <c r="J12" i="1"/>
  <c r="F13" i="1"/>
  <c r="G13" i="1"/>
  <c r="I13" i="1"/>
  <c r="J13" i="1"/>
  <c r="F14" i="1"/>
  <c r="G14" i="1"/>
  <c r="I14" i="1"/>
  <c r="J14" i="1"/>
  <c r="F15" i="1"/>
  <c r="G15" i="1"/>
  <c r="I15" i="1"/>
  <c r="J15" i="1"/>
  <c r="F16" i="1"/>
  <c r="G16" i="1"/>
  <c r="I16" i="1"/>
  <c r="J16" i="1"/>
  <c r="F17" i="1"/>
  <c r="G17" i="1"/>
  <c r="I17" i="1"/>
  <c r="J17" i="1"/>
  <c r="F18" i="1"/>
  <c r="G18" i="1"/>
  <c r="I18" i="1"/>
  <c r="J18" i="1"/>
  <c r="F19" i="1"/>
  <c r="G19" i="1"/>
  <c r="I19" i="1"/>
  <c r="J19" i="1"/>
  <c r="F20" i="1"/>
  <c r="G20" i="1"/>
  <c r="I20" i="1"/>
  <c r="J20" i="1"/>
  <c r="F21" i="1"/>
  <c r="G21" i="1"/>
  <c r="I21" i="1"/>
  <c r="J21" i="1"/>
  <c r="F22" i="1"/>
  <c r="G22" i="1"/>
  <c r="I22" i="1"/>
  <c r="J22" i="1"/>
  <c r="F23" i="1"/>
  <c r="G23" i="1"/>
  <c r="I23" i="1"/>
  <c r="J23" i="1"/>
  <c r="F24" i="1"/>
  <c r="G24" i="1"/>
  <c r="I24" i="1"/>
  <c r="J24" i="1"/>
  <c r="F25" i="1"/>
  <c r="G25" i="1"/>
  <c r="I25" i="1"/>
  <c r="J25" i="1"/>
  <c r="F26" i="1"/>
  <c r="G26" i="1"/>
  <c r="I26" i="1"/>
  <c r="J26" i="1"/>
  <c r="F27" i="1"/>
  <c r="G27" i="1"/>
  <c r="I27" i="1"/>
  <c r="J27" i="1"/>
  <c r="F28" i="1"/>
  <c r="G28" i="1"/>
  <c r="I28" i="1"/>
  <c r="J28" i="1"/>
  <c r="F29" i="1"/>
  <c r="G29" i="1"/>
  <c r="I29" i="1"/>
  <c r="J29" i="1"/>
  <c r="F30" i="1"/>
  <c r="G30" i="1"/>
  <c r="I30" i="1"/>
  <c r="J30" i="1"/>
  <c r="F31" i="1"/>
  <c r="G31" i="1"/>
  <c r="I31" i="1"/>
  <c r="J31" i="1"/>
  <c r="F32" i="1"/>
  <c r="G32" i="1"/>
  <c r="I32" i="1"/>
  <c r="J32" i="1"/>
  <c r="F33" i="1"/>
  <c r="G33" i="1"/>
  <c r="I33" i="1"/>
  <c r="J33" i="1"/>
  <c r="F34" i="1"/>
  <c r="G34" i="1"/>
  <c r="I34" i="1"/>
  <c r="J34" i="1"/>
  <c r="F35" i="1"/>
  <c r="G35" i="1"/>
  <c r="I35" i="1"/>
  <c r="J35" i="1"/>
  <c r="F5" i="1"/>
  <c r="G5" i="1"/>
  <c r="I5" i="1"/>
  <c r="J5" i="1"/>
  <c r="I4" i="1"/>
  <c r="G4" i="1"/>
  <c r="X11" i="1" l="1"/>
  <c r="X12" i="1" s="1"/>
  <c r="U7" i="1"/>
  <c r="U8" i="1" s="1"/>
  <c r="D37" i="4"/>
  <c r="F36" i="4"/>
  <c r="C36" i="4"/>
  <c r="E36" i="4"/>
  <c r="D36" i="4"/>
  <c r="C35" i="4"/>
  <c r="E35" i="4"/>
  <c r="C38" i="4"/>
  <c r="D35" i="4"/>
  <c r="F38" i="4"/>
  <c r="G36" i="4"/>
  <c r="G35" i="4"/>
  <c r="F37" i="4"/>
  <c r="E37" i="4"/>
  <c r="G38" i="4"/>
  <c r="G37" i="4"/>
  <c r="W39" i="1"/>
  <c r="W38" i="1"/>
  <c r="H6" i="3"/>
  <c r="X6" i="3"/>
  <c r="Y4" i="3"/>
  <c r="H4" i="3"/>
  <c r="K4" i="3" s="1"/>
  <c r="X5" i="3"/>
  <c r="H5" i="3"/>
  <c r="X10" i="3"/>
  <c r="Z10" i="3" s="1"/>
  <c r="H10" i="3"/>
  <c r="K18" i="3"/>
  <c r="Y20" i="3"/>
  <c r="X20" i="3"/>
  <c r="Z20" i="3" s="1"/>
  <c r="H20" i="3"/>
  <c r="Y5" i="3"/>
  <c r="L9" i="3"/>
  <c r="K9" i="3"/>
  <c r="X12" i="3"/>
  <c r="Z12" i="3" s="1"/>
  <c r="H12" i="3"/>
  <c r="Y15" i="3"/>
  <c r="X15" i="3"/>
  <c r="H15" i="3"/>
  <c r="X22" i="3"/>
  <c r="Z22" i="3" s="1"/>
  <c r="H22" i="3"/>
  <c r="K28" i="3"/>
  <c r="L28" i="3"/>
  <c r="Y7" i="3"/>
  <c r="X7" i="3"/>
  <c r="H7" i="3"/>
  <c r="L11" i="3"/>
  <c r="K11" i="3"/>
  <c r="Y16" i="3"/>
  <c r="X16" i="3"/>
  <c r="Z16" i="3" s="1"/>
  <c r="H16" i="3"/>
  <c r="L21" i="3"/>
  <c r="K21" i="3"/>
  <c r="X24" i="3"/>
  <c r="Z24" i="3" s="1"/>
  <c r="H24" i="3"/>
  <c r="L30" i="3"/>
  <c r="K30" i="3"/>
  <c r="K6" i="3"/>
  <c r="L25" i="3"/>
  <c r="K25" i="3"/>
  <c r="L6" i="3"/>
  <c r="Y8" i="3"/>
  <c r="X8" i="3"/>
  <c r="H8" i="3"/>
  <c r="Y10" i="3"/>
  <c r="Z13" i="3"/>
  <c r="K14" i="3"/>
  <c r="L18" i="3"/>
  <c r="Y19" i="3"/>
  <c r="X19" i="3"/>
  <c r="Z19" i="3" s="1"/>
  <c r="H19" i="3"/>
  <c r="L23" i="3"/>
  <c r="K23" i="3"/>
  <c r="X26" i="3"/>
  <c r="Z26" i="3" s="1"/>
  <c r="H26" i="3"/>
  <c r="Z29" i="3"/>
  <c r="L34" i="3"/>
  <c r="X4" i="3"/>
  <c r="Z4" i="3" s="1"/>
  <c r="Y6" i="3"/>
  <c r="Z6" i="3" s="1"/>
  <c r="Y9" i="3"/>
  <c r="Z9" i="3" s="1"/>
  <c r="Y11" i="3"/>
  <c r="Z11" i="3" s="1"/>
  <c r="Y14" i="3"/>
  <c r="Z14" i="3" s="1"/>
  <c r="Y21" i="3"/>
  <c r="Z21" i="3" s="1"/>
  <c r="Y23" i="3"/>
  <c r="Z23" i="3" s="1"/>
  <c r="Y25" i="3"/>
  <c r="Z25" i="3" s="1"/>
  <c r="H29" i="3"/>
  <c r="Y30" i="3"/>
  <c r="Z30" i="3" s="1"/>
  <c r="H31" i="3"/>
  <c r="X31" i="3"/>
  <c r="Z31" i="3" s="1"/>
  <c r="H35" i="3"/>
  <c r="X35" i="3"/>
  <c r="Z35" i="3" s="1"/>
  <c r="Y31" i="3"/>
  <c r="H32" i="3"/>
  <c r="X32" i="3"/>
  <c r="Z32" i="3" s="1"/>
  <c r="H13" i="3"/>
  <c r="H17" i="3"/>
  <c r="H27" i="3"/>
  <c r="H33" i="3"/>
  <c r="K34" i="3"/>
  <c r="H29" i="1"/>
  <c r="L29" i="1" s="1"/>
  <c r="H27" i="1"/>
  <c r="L27" i="1" s="1"/>
  <c r="H24" i="1"/>
  <c r="L24" i="1" s="1"/>
  <c r="AB23" i="1"/>
  <c r="AC21" i="1"/>
  <c r="AB9" i="1"/>
  <c r="AC30" i="1"/>
  <c r="AB25" i="1"/>
  <c r="AC10" i="1"/>
  <c r="H32" i="1"/>
  <c r="L32" i="1" s="1"/>
  <c r="AB28" i="1"/>
  <c r="H26" i="1"/>
  <c r="K26" i="1" s="1"/>
  <c r="H22" i="1"/>
  <c r="K22" i="1" s="1"/>
  <c r="AC13" i="1"/>
  <c r="AB12" i="1"/>
  <c r="J4" i="1"/>
  <c r="H35" i="1"/>
  <c r="AB10" i="1"/>
  <c r="AB32" i="1"/>
  <c r="AC31" i="1"/>
  <c r="H10" i="1"/>
  <c r="AC20" i="1"/>
  <c r="AB18" i="1"/>
  <c r="AB17" i="1"/>
  <c r="AB16" i="1"/>
  <c r="AB15" i="1"/>
  <c r="AB14" i="1"/>
  <c r="AB30" i="1"/>
  <c r="AD30" i="1" s="1"/>
  <c r="AB13" i="1"/>
  <c r="AB29" i="1"/>
  <c r="AC24" i="1"/>
  <c r="AC25" i="1"/>
  <c r="AC35" i="1"/>
  <c r="AB33" i="1"/>
  <c r="H30" i="1"/>
  <c r="K24" i="1"/>
  <c r="AC9" i="1"/>
  <c r="H8" i="1"/>
  <c r="H7" i="1"/>
  <c r="L7" i="1" s="1"/>
  <c r="AB6" i="1"/>
  <c r="AC27" i="1"/>
  <c r="AB24" i="1"/>
  <c r="AB34" i="1"/>
  <c r="AC32" i="1"/>
  <c r="AB31" i="1"/>
  <c r="H13" i="1"/>
  <c r="AB27" i="1"/>
  <c r="K10" i="1"/>
  <c r="AB35" i="1"/>
  <c r="AC33" i="1"/>
  <c r="AD33" i="1" s="1"/>
  <c r="AB20" i="1"/>
  <c r="AC12" i="1"/>
  <c r="AC7" i="1"/>
  <c r="AB5" i="1"/>
  <c r="H21" i="1"/>
  <c r="H19" i="1"/>
  <c r="H15" i="1"/>
  <c r="AC34" i="1"/>
  <c r="AC22" i="1"/>
  <c r="AB21" i="1"/>
  <c r="AC19" i="1"/>
  <c r="AC16" i="1"/>
  <c r="AB7" i="1"/>
  <c r="AB4" i="1"/>
  <c r="H23" i="1"/>
  <c r="H11" i="1"/>
  <c r="AC28" i="1"/>
  <c r="AC26" i="1"/>
  <c r="AC23" i="1"/>
  <c r="AB22" i="1"/>
  <c r="AB19" i="1"/>
  <c r="AC17" i="1"/>
  <c r="AC14" i="1"/>
  <c r="AC11" i="1"/>
  <c r="AC8" i="1"/>
  <c r="H34" i="1"/>
  <c r="H18" i="1"/>
  <c r="H16" i="1"/>
  <c r="AC29" i="1"/>
  <c r="AB26" i="1"/>
  <c r="AD26" i="1" s="1"/>
  <c r="AC18" i="1"/>
  <c r="AC15" i="1"/>
  <c r="AB11" i="1"/>
  <c r="AB8" i="1"/>
  <c r="AC4" i="1"/>
  <c r="AC5" i="1"/>
  <c r="AD5" i="1" s="1"/>
  <c r="AC6" i="1"/>
  <c r="H20" i="2"/>
  <c r="H21" i="2"/>
  <c r="H9" i="1"/>
  <c r="H14" i="1"/>
  <c r="H31" i="1"/>
  <c r="H6" i="1"/>
  <c r="H17" i="1"/>
  <c r="H25" i="1"/>
  <c r="H33" i="1"/>
  <c r="H28" i="1"/>
  <c r="H12" i="1"/>
  <c r="H20" i="1"/>
  <c r="H5" i="1"/>
  <c r="H4" i="1"/>
  <c r="L22" i="1" l="1"/>
  <c r="AD16" i="1"/>
  <c r="AD17" i="1"/>
  <c r="AD12" i="1"/>
  <c r="AD13" i="1"/>
  <c r="AD8" i="1"/>
  <c r="K32" i="1"/>
  <c r="K27" i="1"/>
  <c r="AD9" i="1"/>
  <c r="L26" i="1"/>
  <c r="L4" i="3"/>
  <c r="L26" i="3"/>
  <c r="K26" i="3"/>
  <c r="L33" i="3"/>
  <c r="K33" i="3"/>
  <c r="L13" i="3"/>
  <c r="K13" i="3"/>
  <c r="L8" i="3"/>
  <c r="K8" i="3"/>
  <c r="L24" i="3"/>
  <c r="K24" i="3"/>
  <c r="L7" i="3"/>
  <c r="K7" i="3"/>
  <c r="L12" i="3"/>
  <c r="K12" i="3"/>
  <c r="L27" i="3"/>
  <c r="K27" i="3"/>
  <c r="L16" i="3"/>
  <c r="K16" i="3"/>
  <c r="L32" i="3"/>
  <c r="K32" i="3"/>
  <c r="L29" i="3"/>
  <c r="K29" i="3"/>
  <c r="Z8" i="3"/>
  <c r="Z7" i="3"/>
  <c r="L15" i="3"/>
  <c r="K15" i="3"/>
  <c r="L5" i="3"/>
  <c r="K5" i="3"/>
  <c r="O3" i="3"/>
  <c r="L17" i="3"/>
  <c r="K17" i="3"/>
  <c r="L22" i="3"/>
  <c r="K22" i="3"/>
  <c r="L35" i="3"/>
  <c r="K35" i="3"/>
  <c r="L31" i="3"/>
  <c r="K31" i="3"/>
  <c r="L19" i="3"/>
  <c r="K19" i="3"/>
  <c r="Z15" i="3"/>
  <c r="L20" i="3"/>
  <c r="K20" i="3"/>
  <c r="L10" i="3"/>
  <c r="K10" i="3"/>
  <c r="Z5" i="3"/>
  <c r="O12" i="3" s="1"/>
  <c r="K29" i="1"/>
  <c r="AD10" i="1"/>
  <c r="AD25" i="1"/>
  <c r="AD21" i="1"/>
  <c r="AD24" i="1"/>
  <c r="AD28" i="1"/>
  <c r="AD31" i="1"/>
  <c r="AD29" i="1"/>
  <c r="AD19" i="1"/>
  <c r="AD27" i="1"/>
  <c r="AD18" i="1"/>
  <c r="AD14" i="1"/>
  <c r="AD23" i="1"/>
  <c r="L10" i="1"/>
  <c r="L35" i="1"/>
  <c r="K13" i="1"/>
  <c r="K7" i="1"/>
  <c r="AD6" i="1"/>
  <c r="AD11" i="1"/>
  <c r="AD34" i="1"/>
  <c r="L8" i="1"/>
  <c r="L30" i="1"/>
  <c r="K35" i="1"/>
  <c r="AD35" i="1"/>
  <c r="AD20" i="1"/>
  <c r="K30" i="1"/>
  <c r="AD32" i="1"/>
  <c r="AD15" i="1"/>
  <c r="L13" i="1"/>
  <c r="AD22" i="1"/>
  <c r="AD7" i="1"/>
  <c r="K8" i="1"/>
  <c r="L31" i="1"/>
  <c r="K31" i="1"/>
  <c r="L23" i="1"/>
  <c r="K23" i="1"/>
  <c r="L20" i="1"/>
  <c r="K20" i="1"/>
  <c r="L14" i="1"/>
  <c r="K14" i="1"/>
  <c r="K21" i="1"/>
  <c r="L21" i="1"/>
  <c r="L12" i="1"/>
  <c r="K12" i="1"/>
  <c r="L16" i="1"/>
  <c r="K16" i="1"/>
  <c r="K33" i="1"/>
  <c r="L33" i="1"/>
  <c r="L34" i="1"/>
  <c r="K34" i="1"/>
  <c r="L19" i="1"/>
  <c r="K19" i="1"/>
  <c r="K25" i="1"/>
  <c r="L25" i="1"/>
  <c r="K17" i="1"/>
  <c r="L17" i="1"/>
  <c r="K9" i="1"/>
  <c r="L9" i="1"/>
  <c r="L28" i="1"/>
  <c r="K28" i="1"/>
  <c r="AD4" i="1"/>
  <c r="L18" i="1"/>
  <c r="K18" i="1"/>
  <c r="L11" i="1"/>
  <c r="K11" i="1"/>
  <c r="L15" i="1"/>
  <c r="K15" i="1"/>
  <c r="K6" i="1"/>
  <c r="L6" i="1"/>
  <c r="L4" i="1"/>
  <c r="K4" i="1"/>
  <c r="O3" i="1"/>
  <c r="L5" i="1"/>
  <c r="K5" i="1"/>
  <c r="O5" i="3" l="1"/>
  <c r="O4" i="3"/>
  <c r="O12" i="1"/>
  <c r="Q12" i="1" s="1"/>
  <c r="O5" i="1"/>
  <c r="O4" i="1"/>
  <c r="Y30" i="1" l="1"/>
  <c r="S21" i="3"/>
  <c r="V5" i="3"/>
  <c r="V14" i="3"/>
  <c r="W30" i="3"/>
  <c r="V23" i="3"/>
  <c r="V4" i="3"/>
  <c r="W14" i="3"/>
  <c r="W34" i="3"/>
  <c r="V9" i="3"/>
  <c r="V10" i="3"/>
  <c r="V8" i="3"/>
  <c r="V20" i="3"/>
  <c r="V25" i="3"/>
  <c r="V6" i="3"/>
  <c r="W11" i="3"/>
  <c r="V18" i="3"/>
  <c r="W6" i="3"/>
  <c r="W25" i="3"/>
  <c r="W4" i="3"/>
  <c r="V11" i="3"/>
  <c r="V21" i="3"/>
  <c r="V28" i="3"/>
  <c r="V12" i="3"/>
  <c r="W28" i="3"/>
  <c r="W23" i="3"/>
  <c r="V30" i="3"/>
  <c r="W18" i="3"/>
  <c r="W9" i="3"/>
  <c r="W21" i="3"/>
  <c r="V31" i="3"/>
  <c r="V34" i="3"/>
  <c r="V24" i="3"/>
  <c r="V32" i="3"/>
  <c r="W8" i="3"/>
  <c r="V7" i="3"/>
  <c r="W32" i="3"/>
  <c r="V15" i="3"/>
  <c r="V27" i="3"/>
  <c r="W19" i="3"/>
  <c r="V16" i="3"/>
  <c r="W10" i="3"/>
  <c r="V17" i="3"/>
  <c r="W12" i="3"/>
  <c r="W27" i="3"/>
  <c r="W16" i="3"/>
  <c r="V29" i="3"/>
  <c r="V13" i="3"/>
  <c r="W31" i="3"/>
  <c r="V22" i="3"/>
  <c r="W26" i="3"/>
  <c r="W33" i="3"/>
  <c r="V33" i="3"/>
  <c r="W24" i="3"/>
  <c r="W7" i="3"/>
  <c r="W29" i="3"/>
  <c r="W15" i="3"/>
  <c r="W5" i="3"/>
  <c r="W22" i="3"/>
  <c r="V26" i="3"/>
  <c r="V19" i="3"/>
  <c r="V35" i="3"/>
  <c r="W20" i="3"/>
  <c r="W13" i="3"/>
  <c r="W17" i="3"/>
  <c r="W35" i="3"/>
  <c r="S22" i="3"/>
  <c r="U18" i="3"/>
  <c r="U5" i="3"/>
  <c r="U23" i="3"/>
  <c r="U10" i="3"/>
  <c r="U29" i="3"/>
  <c r="U34" i="3"/>
  <c r="U28" i="3"/>
  <c r="U6" i="3"/>
  <c r="U11" i="3"/>
  <c r="U12" i="3"/>
  <c r="U24" i="3"/>
  <c r="U32" i="3"/>
  <c r="U9" i="3"/>
  <c r="U31" i="3"/>
  <c r="U20" i="3"/>
  <c r="U19" i="3"/>
  <c r="U21" i="3"/>
  <c r="U25" i="3"/>
  <c r="U30" i="3"/>
  <c r="U4" i="3"/>
  <c r="U15" i="3"/>
  <c r="U14" i="3"/>
  <c r="U35" i="3"/>
  <c r="U33" i="3"/>
  <c r="U7" i="3"/>
  <c r="U26" i="3"/>
  <c r="U13" i="3"/>
  <c r="U17" i="3"/>
  <c r="U22" i="3"/>
  <c r="U27" i="3"/>
  <c r="U16" i="3"/>
  <c r="U8" i="3"/>
  <c r="AA22" i="1"/>
  <c r="AA26" i="1"/>
  <c r="AA24" i="1"/>
  <c r="AA32" i="1"/>
  <c r="AA27" i="1"/>
  <c r="AA29" i="1"/>
  <c r="AA4" i="1"/>
  <c r="AA19" i="1"/>
  <c r="AA35" i="1"/>
  <c r="AA34" i="1"/>
  <c r="AA13" i="1"/>
  <c r="AA20" i="1"/>
  <c r="AA9" i="1"/>
  <c r="AA17" i="1"/>
  <c r="AA6" i="1"/>
  <c r="AA5" i="1"/>
  <c r="AA23" i="1"/>
  <c r="AA25" i="1"/>
  <c r="AA30" i="1"/>
  <c r="AA16" i="1"/>
  <c r="AA31" i="1"/>
  <c r="AA8" i="1"/>
  <c r="AA18" i="1"/>
  <c r="AA10" i="1"/>
  <c r="AA33" i="1"/>
  <c r="AA21" i="1"/>
  <c r="AA7" i="1"/>
  <c r="AA14" i="1"/>
  <c r="AA12" i="1"/>
  <c r="AA11" i="1"/>
  <c r="AA28" i="1"/>
  <c r="AA15" i="1"/>
  <c r="Y13" i="1"/>
  <c r="Y34" i="1"/>
  <c r="Y4" i="1"/>
  <c r="Y5" i="1"/>
  <c r="Y23" i="1"/>
  <c r="Y17" i="1"/>
  <c r="Y9" i="1"/>
  <c r="Z13" i="1"/>
  <c r="Z17" i="1"/>
  <c r="Z7" i="1"/>
  <c r="Z18" i="1"/>
  <c r="Z24" i="1"/>
  <c r="Z35" i="1"/>
  <c r="Z15" i="1"/>
  <c r="Z12" i="1"/>
  <c r="Z30" i="1"/>
  <c r="Z21" i="1"/>
  <c r="Z33" i="1"/>
  <c r="Z14" i="1"/>
  <c r="Z32" i="1"/>
  <c r="Z34" i="1"/>
  <c r="Z9" i="1"/>
  <c r="Z26" i="1"/>
  <c r="Z31" i="1"/>
  <c r="Z29" i="1"/>
  <c r="Z19" i="1"/>
  <c r="Z22" i="1"/>
  <c r="Z8" i="1"/>
  <c r="Z27" i="1"/>
  <c r="Z23" i="1"/>
  <c r="Z28" i="1"/>
  <c r="Z11" i="1"/>
  <c r="Z16" i="1"/>
  <c r="Z20" i="1"/>
  <c r="Z25" i="1"/>
  <c r="Z10" i="1"/>
  <c r="Z5" i="1"/>
  <c r="Z4" i="1"/>
  <c r="Z6" i="1"/>
  <c r="Y12" i="1"/>
  <c r="Y26" i="1"/>
  <c r="Y33" i="1"/>
  <c r="Y35" i="1"/>
  <c r="Y21" i="1"/>
  <c r="Y27" i="1"/>
  <c r="Y32" i="1"/>
  <c r="Y22" i="1"/>
  <c r="Y28" i="1"/>
  <c r="Y19" i="1"/>
  <c r="Y8" i="1"/>
  <c r="Y18" i="1"/>
  <c r="Y20" i="1"/>
  <c r="Y11" i="1"/>
  <c r="Y14" i="1"/>
  <c r="Y29" i="1"/>
  <c r="Y31" i="1"/>
  <c r="Y24" i="1"/>
  <c r="Y15" i="1"/>
  <c r="Y10" i="1"/>
  <c r="Y25" i="1"/>
  <c r="Y16" i="1"/>
  <c r="Y7" i="1"/>
  <c r="Y6" i="1"/>
  <c r="O9" i="3" l="1"/>
  <c r="O10" i="3"/>
  <c r="O11" i="3"/>
  <c r="O9" i="1"/>
  <c r="Q9" i="1" s="1"/>
  <c r="O10" i="1"/>
  <c r="O11" i="1"/>
  <c r="Q11" i="1" l="1"/>
  <c r="U23" i="1"/>
  <c r="U25" i="1"/>
  <c r="O29" i="1"/>
  <c r="O30" i="1" s="1"/>
  <c r="Q10" i="1"/>
  <c r="U24" i="1"/>
  <c r="S23" i="3"/>
  <c r="S25" i="3"/>
  <c r="O29" i="3"/>
  <c r="O30" i="3" s="1"/>
  <c r="S24" i="3"/>
  <c r="O32" i="1" l="1"/>
  <c r="O31" i="1"/>
  <c r="U26" i="1"/>
  <c r="S26" i="3"/>
  <c r="Q31" i="1" l="1"/>
  <c r="O33" i="1"/>
  <c r="Q32" i="1"/>
  <c r="O34" i="1"/>
  <c r="Q33" i="1" l="1"/>
  <c r="O35" i="1"/>
  <c r="Q34" i="1"/>
  <c r="O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<sst xmlns="http://schemas.openxmlformats.org/spreadsheetml/2006/main" count="243" uniqueCount="127">
  <si>
    <t>Calculated values</t>
  </si>
  <si>
    <t>y1</t>
  </si>
  <si>
    <t>y2</t>
  </si>
  <si>
    <t>height</t>
  </si>
  <si>
    <t>width</t>
  </si>
  <si>
    <t>area</t>
  </si>
  <si>
    <t>centre y</t>
  </si>
  <si>
    <t>Total area</t>
  </si>
  <si>
    <t>Ay</t>
  </si>
  <si>
    <t>Raws</t>
  </si>
  <si>
    <t>I_yy</t>
  </si>
  <si>
    <t>Final I_yy</t>
  </si>
  <si>
    <t>Rectangle inputs (mm)</t>
  </si>
  <si>
    <t>mm^4</t>
  </si>
  <si>
    <t>Centre area y</t>
  </si>
  <si>
    <t>mm</t>
  </si>
  <si>
    <t>mm^2</t>
  </si>
  <si>
    <t>H lengh</t>
  </si>
  <si>
    <t>L length</t>
  </si>
  <si>
    <t>J</t>
  </si>
  <si>
    <t>*</t>
  </si>
  <si>
    <t>Open J</t>
  </si>
  <si>
    <t>Reinforcement</t>
  </si>
  <si>
    <t>Youngs modulus</t>
  </si>
  <si>
    <t>Tensile strength</t>
  </si>
  <si>
    <t>Matrix</t>
  </si>
  <si>
    <t>Fraction</t>
  </si>
  <si>
    <t>Gpa</t>
  </si>
  <si>
    <t>Isostrain</t>
  </si>
  <si>
    <t>Isostress</t>
  </si>
  <si>
    <t>Youngs</t>
  </si>
  <si>
    <t>Tesnsile strength</t>
  </si>
  <si>
    <t>v</t>
  </si>
  <si>
    <t>I_yz</t>
  </si>
  <si>
    <t>unconf</t>
  </si>
  <si>
    <t>Loading inputs</t>
  </si>
  <si>
    <t>M_yy</t>
  </si>
  <si>
    <t>neutral axis angle</t>
  </si>
  <si>
    <t>degrees</t>
  </si>
  <si>
    <t>Final I_yz</t>
  </si>
  <si>
    <t>rad</t>
  </si>
  <si>
    <t>Point conditions</t>
  </si>
  <si>
    <t>y Pos</t>
  </si>
  <si>
    <t>z1</t>
  </si>
  <si>
    <t>z2</t>
  </si>
  <si>
    <t>centre z</t>
  </si>
  <si>
    <t>Az</t>
  </si>
  <si>
    <t>Centre area z</t>
  </si>
  <si>
    <t>I_zz</t>
  </si>
  <si>
    <t>Final I_zz</t>
  </si>
  <si>
    <t>M_zz</t>
  </si>
  <si>
    <t>z Pos</t>
  </si>
  <si>
    <t>sigma_xx</t>
  </si>
  <si>
    <t>m</t>
  </si>
  <si>
    <t>Nm</t>
  </si>
  <si>
    <t>ymul</t>
  </si>
  <si>
    <t>zmul</t>
  </si>
  <si>
    <t>rel z</t>
  </si>
  <si>
    <t>rel y</t>
  </si>
  <si>
    <t>m^-4</t>
  </si>
  <si>
    <t>Pa</t>
  </si>
  <si>
    <t>Mpa</t>
  </si>
  <si>
    <t>R_yy</t>
  </si>
  <si>
    <t>R_zz</t>
  </si>
  <si>
    <t>m^4</t>
  </si>
  <si>
    <t>x position</t>
  </si>
  <si>
    <t>y deflection</t>
  </si>
  <si>
    <t>z deflection</t>
  </si>
  <si>
    <t>y def mul</t>
  </si>
  <si>
    <t>z def mul</t>
  </si>
  <si>
    <t>m^-1</t>
  </si>
  <si>
    <t>mm^-1</t>
  </si>
  <si>
    <t>Weight</t>
  </si>
  <si>
    <t>Strain S1</t>
  </si>
  <si>
    <t>Strain S2</t>
  </si>
  <si>
    <t>Stress S1</t>
  </si>
  <si>
    <t>Stress S2</t>
  </si>
  <si>
    <t>Mpa S1</t>
  </si>
  <si>
    <t>Mpa S2</t>
  </si>
  <si>
    <t>k_1</t>
  </si>
  <si>
    <t>c_1</t>
  </si>
  <si>
    <t>c_2</t>
  </si>
  <si>
    <t>k_2</t>
  </si>
  <si>
    <t>at</t>
  </si>
  <si>
    <t>x</t>
  </si>
  <si>
    <t>w</t>
  </si>
  <si>
    <t>Pixel height</t>
  </si>
  <si>
    <t>Height</t>
  </si>
  <si>
    <t>Change</t>
  </si>
  <si>
    <t>Calculated deflection</t>
  </si>
  <si>
    <t>deflect func</t>
  </si>
  <si>
    <t>y</t>
  </si>
  <si>
    <t>z</t>
  </si>
  <si>
    <t>Res</t>
  </si>
  <si>
    <t>Stress SG2</t>
  </si>
  <si>
    <t>Def M z</t>
  </si>
  <si>
    <t>Def M y</t>
  </si>
  <si>
    <t>change</t>
  </si>
  <si>
    <t>mm/pix</t>
  </si>
  <si>
    <t>elements</t>
  </si>
  <si>
    <t>bending stress SG1</t>
  </si>
  <si>
    <t>bend stress SG2</t>
  </si>
  <si>
    <t>deflection at tip</t>
  </si>
  <si>
    <t>axial max</t>
  </si>
  <si>
    <t>adjusted values</t>
  </si>
  <si>
    <t>Stress SG1 x Mpa</t>
  </si>
  <si>
    <t>Axial max Mpa</t>
  </si>
  <si>
    <t>a</t>
  </si>
  <si>
    <t>R_1</t>
  </si>
  <si>
    <t>R_2</t>
  </si>
  <si>
    <t>rho</t>
  </si>
  <si>
    <t>g</t>
  </si>
  <si>
    <t>L_1</t>
  </si>
  <si>
    <t>L_2</t>
  </si>
  <si>
    <t>W</t>
  </si>
  <si>
    <t>A</t>
  </si>
  <si>
    <t>B</t>
  </si>
  <si>
    <t>C</t>
  </si>
  <si>
    <t>k</t>
  </si>
  <si>
    <t>b</t>
  </si>
  <si>
    <t>M</t>
  </si>
  <si>
    <t>EI</t>
  </si>
  <si>
    <t>R</t>
  </si>
  <si>
    <t>L</t>
  </si>
  <si>
    <t>N</t>
  </si>
  <si>
    <t>Nm^2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</si>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</sst>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0" fillId="3" borderId="0" xfId="0" applyFill="1" applyBorder="1"/>
    <xf numFmtId="0" fontId="0" fillId="4" borderId="0" xfId="0" applyFill="1" applyBorder="1"/>
    <xf numFmtId="0" fontId="3" fillId="0" borderId="0" xfId="0" applyFont="1" applyAlignment="1">
      <alignment vertical="center"/>
    </xf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cross section (2)'!$B$4:$B$35</c:f>
              <c:numCache>
                <c:formatCode>General</c:formatCode>
                <c:ptCount val="32"/>
                <c:pt idx="0">
                  <c:v>-5</c:v>
                </c:pt>
                <c:pt idx="1">
                  <c:v>5</c:v>
                </c:pt>
                <c:pt idx="2">
                  <c:v>-5</c:v>
                </c:pt>
              </c:numCache>
            </c:numRef>
          </c:xVal>
          <c:yVal>
            <c:numRef>
              <c:f>'Beam cross section (2)'!$C$4:$C$35</c:f>
              <c:numCache>
                <c:formatCode>General</c:formatCode>
                <c:ptCount val="32"/>
                <c:pt idx="0">
                  <c:v>50</c:v>
                </c:pt>
                <c:pt idx="1">
                  <c:v>-50</c:v>
                </c:pt>
                <c:pt idx="2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D-4D75-92B5-81ADC1E6C28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cross section (2)'!$B$4:$B$35</c:f>
              <c:numCache>
                <c:formatCode>General</c:formatCode>
                <c:ptCount val="32"/>
                <c:pt idx="0">
                  <c:v>-5</c:v>
                </c:pt>
                <c:pt idx="1">
                  <c:v>5</c:v>
                </c:pt>
                <c:pt idx="2">
                  <c:v>-5</c:v>
                </c:pt>
              </c:numCache>
            </c:numRef>
          </c:xVal>
          <c:yVal>
            <c:numRef>
              <c:f>'Beam cross section (2)'!$E$4:$E$35</c:f>
              <c:numCache>
                <c:formatCode>General</c:formatCode>
                <c:ptCount val="32"/>
                <c:pt idx="0">
                  <c:v>40</c:v>
                </c:pt>
                <c:pt idx="1">
                  <c:v>-40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D-4D75-92B5-81ADC1E6C280}"/>
            </c:ext>
          </c:extLst>
        </c:ser>
        <c:ser>
          <c:idx val="2"/>
          <c:order val="2"/>
          <c:tx>
            <c:strRef>
              <c:f>'Beam cross section (2)'!$D$4:$D$35</c:f>
              <c:strCach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'Beam cross section (2)'!$D$4:$D$35</c:f>
              <c:numCache>
                <c:formatCode>General</c:formatCod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numCache>
            </c:numRef>
          </c:xVal>
          <c:yVal>
            <c:numRef>
              <c:f>'Beam cross section (2)'!$C$4:$C$35</c:f>
              <c:numCache>
                <c:formatCode>General</c:formatCode>
                <c:ptCount val="32"/>
                <c:pt idx="0">
                  <c:v>50</c:v>
                </c:pt>
                <c:pt idx="1">
                  <c:v>-50</c:v>
                </c:pt>
                <c:pt idx="2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3D-4D75-92B5-81ADC1E6C28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'Beam cross section (2)'!$D$4:$D$35</c:f>
              <c:numCache>
                <c:formatCode>General</c:formatCod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numCache>
            </c:numRef>
          </c:xVal>
          <c:yVal>
            <c:numRef>
              <c:f>'Beam cross section (2)'!$E$4:$E$35</c:f>
              <c:numCache>
                <c:formatCode>General</c:formatCode>
                <c:ptCount val="32"/>
                <c:pt idx="0">
                  <c:v>40</c:v>
                </c:pt>
                <c:pt idx="1">
                  <c:v>-40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3D-4D75-92B5-81ADC1E6C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539487"/>
        <c:axId val="1028536575"/>
      </c:scatterChart>
      <c:valAx>
        <c:axId val="102853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6575"/>
        <c:crosses val="autoZero"/>
        <c:crossBetween val="midCat"/>
      </c:valAx>
      <c:valAx>
        <c:axId val="1028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cross section'!$B$4:$B$35</c:f>
              <c:numCache>
                <c:formatCode>General</c:formatCode>
                <c:ptCount val="32"/>
                <c:pt idx="0">
                  <c:v>0</c:v>
                </c:pt>
                <c:pt idx="1">
                  <c:v>11.1</c:v>
                </c:pt>
              </c:numCache>
            </c:numRef>
          </c:xVal>
          <c:yVal>
            <c:numRef>
              <c:f>'Beam cross section'!$C$4:$C$35</c:f>
              <c:numCache>
                <c:formatCode>General</c:formatCode>
                <c:ptCount val="32"/>
                <c:pt idx="0">
                  <c:v>12.7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7-42ED-BDE6-D0F0FA20B4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cross section'!$B$4:$B$35</c:f>
              <c:numCache>
                <c:formatCode>General</c:formatCode>
                <c:ptCount val="32"/>
                <c:pt idx="0">
                  <c:v>0</c:v>
                </c:pt>
                <c:pt idx="1">
                  <c:v>11.1</c:v>
                </c:pt>
              </c:numCache>
            </c:numRef>
          </c:xVal>
          <c:yVal>
            <c:numRef>
              <c:f>'Beam cross section'!$E$4:$E$35</c:f>
              <c:numCache>
                <c:formatCode>General</c:formatCode>
                <c:ptCount val="32"/>
                <c:pt idx="0">
                  <c:v>11.1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7-42ED-BDE6-D0F0FA20B4C5}"/>
            </c:ext>
          </c:extLst>
        </c:ser>
        <c:ser>
          <c:idx val="2"/>
          <c:order val="2"/>
          <c:tx>
            <c:strRef>
              <c:f>'Beam cross section'!$D$4:$D$35</c:f>
              <c:strCache>
                <c:ptCount val="32"/>
                <c:pt idx="0">
                  <c:v>12.7</c:v>
                </c:pt>
                <c:pt idx="1">
                  <c:v>12.7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'Beam cross section'!$D$4:$D$35</c:f>
              <c:numCache>
                <c:formatCode>General</c:formatCode>
                <c:ptCount val="32"/>
                <c:pt idx="0">
                  <c:v>12.7</c:v>
                </c:pt>
                <c:pt idx="1">
                  <c:v>12.7</c:v>
                </c:pt>
              </c:numCache>
            </c:numRef>
          </c:xVal>
          <c:yVal>
            <c:numRef>
              <c:f>'Beam cross section'!$C$4:$C$35</c:f>
              <c:numCache>
                <c:formatCode>General</c:formatCode>
                <c:ptCount val="32"/>
                <c:pt idx="0">
                  <c:v>12.7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7-42ED-BDE6-D0F0FA20B4C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'Beam cross section'!$D$4:$D$35</c:f>
              <c:numCache>
                <c:formatCode>General</c:formatCode>
                <c:ptCount val="32"/>
                <c:pt idx="0">
                  <c:v>12.7</c:v>
                </c:pt>
                <c:pt idx="1">
                  <c:v>12.7</c:v>
                </c:pt>
              </c:numCache>
            </c:numRef>
          </c:xVal>
          <c:yVal>
            <c:numRef>
              <c:f>'Beam cross section'!$E$4:$E$35</c:f>
              <c:numCache>
                <c:formatCode>General</c:formatCode>
                <c:ptCount val="32"/>
                <c:pt idx="0">
                  <c:v>11.1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7-42ED-BDE6-D0F0FA20B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539487"/>
        <c:axId val="1028536575"/>
      </c:scatterChart>
      <c:valAx>
        <c:axId val="102853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6575"/>
        <c:crosses val="autoZero"/>
        <c:crossBetween val="midCat"/>
      </c:valAx>
      <c:valAx>
        <c:axId val="1028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SG2 Bending stress 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Sheet1!$C$32:$I$32</c:f>
              <c:numCache>
                <c:formatCode>General</c:formatCode>
                <c:ptCount val="7"/>
                <c:pt idx="0">
                  <c:v>-15.895</c:v>
                </c:pt>
                <c:pt idx="1">
                  <c:v>-15.928000000000001</c:v>
                </c:pt>
                <c:pt idx="2">
                  <c:v>-15.944000000000001</c:v>
                </c:pt>
                <c:pt idx="3">
                  <c:v>-15.943</c:v>
                </c:pt>
                <c:pt idx="4">
                  <c:v>-15.943</c:v>
                </c:pt>
                <c:pt idx="5">
                  <c:v>-15.942</c:v>
                </c:pt>
                <c:pt idx="6">
                  <c:v>-15.942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4-43B1-91C9-F70203AD9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Bending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SG1 Bending stress 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Sheet1!$C$30:$I$30</c:f>
              <c:numCache>
                <c:formatCode>General</c:formatCode>
                <c:ptCount val="7"/>
                <c:pt idx="0">
                  <c:v>20.253</c:v>
                </c:pt>
                <c:pt idx="1">
                  <c:v>24.010999999999999</c:v>
                </c:pt>
                <c:pt idx="2">
                  <c:v>20.114999999999998</c:v>
                </c:pt>
                <c:pt idx="3">
                  <c:v>20.045000000000002</c:v>
                </c:pt>
                <c:pt idx="4">
                  <c:v>20.058</c:v>
                </c:pt>
                <c:pt idx="5">
                  <c:v>20.055</c:v>
                </c:pt>
                <c:pt idx="6">
                  <c:v>20.055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5-40F7-9543-29CF058D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Bending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Maximum</a:t>
            </a:r>
            <a:r>
              <a:rPr lang="en-GB" sz="1400" b="0" i="0" u="none" strike="noStrike" baseline="0"/>
              <a:t> axial bending</a:t>
            </a:r>
            <a:r>
              <a:rPr lang="en-GB" baseline="0"/>
              <a:t> stress</a:t>
            </a:r>
            <a:r>
              <a:rPr lang="en-GB"/>
              <a:t> with model</a:t>
            </a:r>
            <a:r>
              <a:rPr lang="en-GB" baseline="0"/>
              <a:t> resolution</a:t>
            </a:r>
            <a:endParaRPr lang="en-GB"/>
          </a:p>
        </c:rich>
      </c:tx>
      <c:layout>
        <c:manualLayout>
          <c:xMode val="edge"/>
          <c:yMode val="edge"/>
          <c:x val="0.28399881755394912"/>
          <c:y val="2.2377619091809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Sheet1!$C$29:$I$29</c:f>
              <c:numCache>
                <c:formatCode>General</c:formatCode>
                <c:ptCount val="7"/>
                <c:pt idx="0">
                  <c:v>63.542999999999999</c:v>
                </c:pt>
                <c:pt idx="1">
                  <c:v>65.988</c:v>
                </c:pt>
                <c:pt idx="2">
                  <c:v>67.516999999999996</c:v>
                </c:pt>
                <c:pt idx="3">
                  <c:v>70.855000000000004</c:v>
                </c:pt>
                <c:pt idx="4">
                  <c:v>73.031000000000006</c:v>
                </c:pt>
                <c:pt idx="5">
                  <c:v>87.587999999999994</c:v>
                </c:pt>
                <c:pt idx="6">
                  <c:v>110.54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7-4CA5-9918-A77C2044D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Maximum axial bending stress </a:t>
                </a:r>
                <a:r>
                  <a:rPr lang="en-GB" baseline="0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beam</a:t>
            </a:r>
            <a:r>
              <a:rPr lang="en-GB" baseline="0"/>
              <a:t> tip y deflection </a:t>
            </a:r>
            <a:r>
              <a:rPr lang="en-GB"/>
              <a:t>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Y deflection</c:v>
          </c:tx>
          <c:cat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cat>
          <c:val>
            <c:numRef>
              <c:f>Sheet1!$C$27:$I$27</c:f>
              <c:numCache>
                <c:formatCode>General</c:formatCode>
                <c:ptCount val="7"/>
                <c:pt idx="0">
                  <c:v>4.1676000000000002</c:v>
                </c:pt>
                <c:pt idx="1">
                  <c:v>4.1748000000000003</c:v>
                </c:pt>
                <c:pt idx="2">
                  <c:v>4.1837</c:v>
                </c:pt>
                <c:pt idx="3">
                  <c:v>4.1841999999999997</c:v>
                </c:pt>
                <c:pt idx="4">
                  <c:v>4.1847000000000003</c:v>
                </c:pt>
                <c:pt idx="5">
                  <c:v>4.1863999999999999</c:v>
                </c:pt>
                <c:pt idx="6">
                  <c:v>4.1870000000000003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A4-4D9F-89ED-A554E517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538575"/>
        <c:axId val="1430538159"/>
      </c:lineChart>
      <c:scatterChart>
        <c:scatterStyle val="lineMarker"/>
        <c:varyColors val="0"/>
        <c:ser>
          <c:idx val="0"/>
          <c:order val="1"/>
          <c:tx>
            <c:v>Z deflection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Sheet1!$C$24:$I$24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Sheet1!$C$28:$I$28</c:f>
              <c:numCache>
                <c:formatCode>General</c:formatCode>
                <c:ptCount val="7"/>
                <c:pt idx="0">
                  <c:v>2.3763000000000001</c:v>
                </c:pt>
                <c:pt idx="1">
                  <c:v>2.3792</c:v>
                </c:pt>
                <c:pt idx="2">
                  <c:v>2.3843999999999999</c:v>
                </c:pt>
                <c:pt idx="3">
                  <c:v>2.3847999999999998</c:v>
                </c:pt>
                <c:pt idx="4">
                  <c:v>2.3849999999999998</c:v>
                </c:pt>
                <c:pt idx="5">
                  <c:v>2.3856000000000002</c:v>
                </c:pt>
                <c:pt idx="6">
                  <c:v>2.3858000000000001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3A4-4D9F-89ED-A554E517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550991"/>
        <c:axId val="1498548495"/>
      </c:scatterChart>
      <c:catAx>
        <c:axId val="143053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auto val="1"/>
        <c:lblAlgn val="ctr"/>
        <c:lblOffset val="100"/>
        <c:noMultiLvlLbl val="0"/>
      </c:cat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between"/>
      </c:valAx>
      <c:valAx>
        <c:axId val="14985484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98550991"/>
        <c:crosses val="max"/>
        <c:crossBetween val="midCat"/>
      </c:valAx>
      <c:valAx>
        <c:axId val="1498550991"/>
        <c:scaling>
          <c:logBase val="10"/>
          <c:orientation val="minMax"/>
          <c:min val="10"/>
        </c:scaling>
        <c:delete val="0"/>
        <c:axPos val="t"/>
        <c:numFmt formatCode="General" sourceLinked="1"/>
        <c:majorTickMark val="out"/>
        <c:minorTickMark val="none"/>
        <c:tickLblPos val="nextTo"/>
        <c:crossAx val="14985484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86003356357948846"/>
          <c:y val="1.9887547389909607E-2"/>
          <c:w val="0.13314631706842273"/>
          <c:h val="0.1071580052493438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</a:t>
            </a:r>
            <a:r>
              <a:rPr lang="en-GB" sz="1400" b="0" i="0" u="none" strike="noStrike" baseline="0">
                <a:effectLst/>
              </a:rPr>
              <a:t> beam tip z deflection </a:t>
            </a:r>
            <a:r>
              <a:rPr lang="en-GB"/>
              <a:t>with model</a:t>
            </a:r>
            <a:r>
              <a:rPr lang="en-GB" baseline="0"/>
              <a:t> resolution</a:t>
            </a:r>
            <a:endParaRPr lang="en-GB"/>
          </a:p>
        </c:rich>
      </c:tx>
      <c:layout>
        <c:manualLayout>
          <c:xMode val="edge"/>
          <c:yMode val="edge"/>
          <c:x val="0.28399881755394912"/>
          <c:y val="2.2377619091809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Sheet1!$C$28:$I$28</c:f>
              <c:numCache>
                <c:formatCode>General</c:formatCode>
                <c:ptCount val="7"/>
                <c:pt idx="0">
                  <c:v>2.3763000000000001</c:v>
                </c:pt>
                <c:pt idx="1">
                  <c:v>2.3792</c:v>
                </c:pt>
                <c:pt idx="2">
                  <c:v>2.3843999999999999</c:v>
                </c:pt>
                <c:pt idx="3">
                  <c:v>2.3847999999999998</c:v>
                </c:pt>
                <c:pt idx="4">
                  <c:v>2.3849999999999998</c:v>
                </c:pt>
                <c:pt idx="5">
                  <c:v>2.3856000000000002</c:v>
                </c:pt>
                <c:pt idx="6">
                  <c:v>2.3858000000000001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4-4B7C-BCA4-0F85C9BC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 beam tip z deflection </a:t>
                </a:r>
                <a:r>
                  <a:rPr lang="en-GB" baseline="0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10</xdr:row>
      <xdr:rowOff>128587</xdr:rowOff>
    </xdr:from>
    <xdr:to>
      <xdr:col>8</xdr:col>
      <xdr:colOff>23812</xdr:colOff>
      <xdr:row>25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BEFF4-8F3D-4341-B048-E60F9FB77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10</xdr:row>
      <xdr:rowOff>128587</xdr:rowOff>
    </xdr:from>
    <xdr:to>
      <xdr:col>8</xdr:col>
      <xdr:colOff>23812</xdr:colOff>
      <xdr:row>25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652621-1C84-83DF-8860-A402E97A1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133351</xdr:rowOff>
    </xdr:from>
    <xdr:to>
      <xdr:col>14</xdr:col>
      <xdr:colOff>440641</xdr:colOff>
      <xdr:row>11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2443B9-D61C-5DFF-546C-3843D8077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133351"/>
          <a:ext cx="6041341" cy="2057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571500</xdr:colOff>
      <xdr:row>19</xdr:row>
      <xdr:rowOff>152400</xdr:rowOff>
    </xdr:from>
    <xdr:to>
      <xdr:col>28</xdr:col>
      <xdr:colOff>57150</xdr:colOff>
      <xdr:row>37</xdr:row>
      <xdr:rowOff>128588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A6D889-9737-46AA-B757-222622770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581025</xdr:colOff>
      <xdr:row>37</xdr:row>
      <xdr:rowOff>133350</xdr:rowOff>
    </xdr:from>
    <xdr:to>
      <xdr:col>28</xdr:col>
      <xdr:colOff>66675</xdr:colOff>
      <xdr:row>55</xdr:row>
      <xdr:rowOff>109538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6012F2-E82C-4B40-A4F8-99AD7A472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542925</xdr:colOff>
      <xdr:row>19</xdr:row>
      <xdr:rowOff>114300</xdr:rowOff>
    </xdr:from>
    <xdr:to>
      <xdr:col>18</xdr:col>
      <xdr:colOff>542925</xdr:colOff>
      <xdr:row>37</xdr:row>
      <xdr:rowOff>90488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8D876A-F357-45DF-B96F-CC830EE92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200025</xdr:colOff>
      <xdr:row>38</xdr:row>
      <xdr:rowOff>28575</xdr:rowOff>
    </xdr:from>
    <xdr:to>
      <xdr:col>18</xdr:col>
      <xdr:colOff>238125</xdr:colOff>
      <xdr:row>60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32AD9E-B10A-4EA7-8A78-5E43A495E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295275</xdr:colOff>
      <xdr:row>67</xdr:row>
      <xdr:rowOff>19050</xdr:rowOff>
    </xdr:from>
    <xdr:to>
      <xdr:col>15</xdr:col>
      <xdr:colOff>295275</xdr:colOff>
      <xdr:row>84</xdr:row>
      <xdr:rowOff>185738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AD4C83-1925-49D7-BD94-E610AE40B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390525</xdr:colOff>
      <xdr:row>15</xdr:row>
      <xdr:rowOff>34101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A1FDD-31C4-6CE0-B88E-BC199B420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343275" cy="2701101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1</xdr:row>
      <xdr:rowOff>1</xdr:rowOff>
    </xdr:from>
    <xdr:to>
      <xdr:col>10</xdr:col>
      <xdr:colOff>1076326</xdr:colOff>
      <xdr:row>15</xdr:row>
      <xdr:rowOff>120629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DDC00D-F71E-0145-CB6F-78EE245EF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1" y="190501"/>
          <a:ext cx="3714750" cy="278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FCC9-738C-40F3-805F-9C9CAE5D621F}">
  <dimension ref="B2:AA35"/>
  <sheetViews>
    <sheetView workbookViewId="0">
      <selection activeCell="AA2" sqref="AA2:AD2"/>
    </sheetView>
  </sheetViews>
  <sheetFormatPr defaultRowHeight="15"/>
  <cols>
    <col min="1" max="13" width="9.140625" style="2"/>
    <col min="14" max="14" width="13.28515625" style="2" customWidth="1"/>
    <col min="15" max="18" width="9.140625" style="2"/>
    <col min="19" max="19" width="11" style="2" bestFit="1" customWidth="1"/>
    <col min="20" max="16384" width="9.140625" style="2"/>
  </cols>
  <sheetData>
    <row r="2" spans="2:27" ht="15.75" customHeight="1">
      <c r="B2" s="19" t="s">
        <v>12</v>
      </c>
      <c r="C2" s="19"/>
      <c r="D2" s="19"/>
      <c r="E2" s="19"/>
      <c r="F2" s="20" t="s">
        <v>0</v>
      </c>
      <c r="G2" s="20"/>
      <c r="H2" s="20"/>
      <c r="I2" s="20"/>
      <c r="J2" s="20"/>
      <c r="K2" s="4"/>
      <c r="L2" s="4"/>
      <c r="U2" s="21" t="s">
        <v>9</v>
      </c>
      <c r="V2" s="22"/>
      <c r="W2" s="11"/>
      <c r="X2" s="2" t="s">
        <v>17</v>
      </c>
      <c r="Y2" s="2" t="s">
        <v>18</v>
      </c>
    </row>
    <row r="3" spans="2:27">
      <c r="B3" s="5" t="s">
        <v>43</v>
      </c>
      <c r="C3" s="5" t="s">
        <v>1</v>
      </c>
      <c r="D3" s="5" t="s">
        <v>44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45</v>
      </c>
      <c r="J3" s="5" t="s">
        <v>6</v>
      </c>
      <c r="K3" s="5" t="s">
        <v>46</v>
      </c>
      <c r="L3" s="5" t="s">
        <v>8</v>
      </c>
      <c r="N3" s="9" t="s">
        <v>7</v>
      </c>
      <c r="O3" s="6">
        <f>SUM(H4:H35)</f>
        <v>2000</v>
      </c>
      <c r="P3" s="3" t="s">
        <v>16</v>
      </c>
      <c r="Q3" s="3"/>
      <c r="R3" s="3"/>
      <c r="S3" s="3"/>
      <c r="U3" s="6" t="s">
        <v>48</v>
      </c>
      <c r="V3" s="6" t="s">
        <v>10</v>
      </c>
      <c r="W3" s="12" t="s">
        <v>33</v>
      </c>
      <c r="Z3" s="2" t="s">
        <v>19</v>
      </c>
      <c r="AA3" s="12"/>
    </row>
    <row r="4" spans="2:27">
      <c r="B4" s="7">
        <v>-5</v>
      </c>
      <c r="C4" s="7">
        <v>50</v>
      </c>
      <c r="D4" s="7">
        <v>55</v>
      </c>
      <c r="E4" s="7">
        <v>40</v>
      </c>
      <c r="F4" s="1">
        <f>ABS(C4-E4)</f>
        <v>10</v>
      </c>
      <c r="G4" s="1">
        <f>ABS(D4-B4)</f>
        <v>60</v>
      </c>
      <c r="H4" s="1">
        <f>F4*G4</f>
        <v>600</v>
      </c>
      <c r="I4" s="1">
        <f>(B4+D4)/2</f>
        <v>25</v>
      </c>
      <c r="J4" s="1">
        <f>(C4+E4)/2</f>
        <v>45</v>
      </c>
      <c r="K4" s="1">
        <f>H4*I4</f>
        <v>15000</v>
      </c>
      <c r="L4" s="1">
        <f>H4*J4</f>
        <v>27000</v>
      </c>
      <c r="N4" s="6" t="s">
        <v>47</v>
      </c>
      <c r="O4" s="6">
        <f>SUM(K4:K35)/O3</f>
        <v>0</v>
      </c>
      <c r="P4" s="2" t="s">
        <v>15</v>
      </c>
      <c r="U4" s="2">
        <f>(F4^3*G4/12) + H4*ABS(J4-$O$5)^2</f>
        <v>1220000</v>
      </c>
      <c r="V4" s="2">
        <f>(G4^3*F4/12) + H4*(I4-$O$4)^2</f>
        <v>555000</v>
      </c>
      <c r="W4" s="2">
        <f>H4*(I4-$O$4)*(J4-$O$5)</f>
        <v>675000</v>
      </c>
      <c r="X4" s="2">
        <f t="shared" ref="X4:X35" si="0">MAX(F4:G4)</f>
        <v>60</v>
      </c>
      <c r="Y4" s="2">
        <f t="shared" ref="Y4:Y35" si="1">MIN(F4:G4)</f>
        <v>10</v>
      </c>
      <c r="Z4" s="2">
        <f>X4^3*Y4</f>
        <v>2160000</v>
      </c>
    </row>
    <row r="5" spans="2:27">
      <c r="B5" s="8">
        <v>5</v>
      </c>
      <c r="C5" s="8">
        <v>-50</v>
      </c>
      <c r="D5" s="8">
        <v>-55</v>
      </c>
      <c r="E5" s="8">
        <v>-40</v>
      </c>
      <c r="F5" s="1">
        <f>ABS(C5-E5)</f>
        <v>10</v>
      </c>
      <c r="G5" s="1">
        <f>ABS(D5-B5)</f>
        <v>60</v>
      </c>
      <c r="H5" s="1">
        <f>F5*G5</f>
        <v>600</v>
      </c>
      <c r="I5" s="1">
        <f>(B5+D5)/2</f>
        <v>-25</v>
      </c>
      <c r="J5" s="1">
        <f>(C5+E5)/2</f>
        <v>-45</v>
      </c>
      <c r="K5" s="1">
        <f>H5*I5</f>
        <v>-15000</v>
      </c>
      <c r="L5" s="1">
        <f>H5*J5</f>
        <v>-27000</v>
      </c>
      <c r="N5" s="6" t="s">
        <v>14</v>
      </c>
      <c r="O5" s="6">
        <f>SUM(L4:L35)/O3</f>
        <v>0</v>
      </c>
      <c r="P5" s="2" t="s">
        <v>15</v>
      </c>
      <c r="U5" s="2">
        <f>(F5^3*G5/12) + H5*ABS(J5-$O$5)^2</f>
        <v>1220000</v>
      </c>
      <c r="V5" s="2">
        <f>(G5^3*F5/12) + H5*(I5-$O$4)^2</f>
        <v>555000</v>
      </c>
      <c r="W5" s="2">
        <f t="shared" ref="W5:W35" si="2">H5*(I5-$O$4)*(J5-$O$5)</f>
        <v>675000</v>
      </c>
      <c r="X5" s="2">
        <f t="shared" si="0"/>
        <v>60</v>
      </c>
      <c r="Y5" s="2">
        <f t="shared" si="1"/>
        <v>10</v>
      </c>
      <c r="Z5" s="2">
        <f t="shared" ref="Z5:Z35" si="3">X5^3*Y5</f>
        <v>2160000</v>
      </c>
    </row>
    <row r="6" spans="2:27">
      <c r="B6" s="8">
        <v>-5</v>
      </c>
      <c r="C6" s="8">
        <v>-40</v>
      </c>
      <c r="D6" s="8">
        <v>5</v>
      </c>
      <c r="E6" s="8">
        <v>40</v>
      </c>
      <c r="F6" s="1">
        <f t="shared" ref="F6:F35" si="4">ABS(C6-E6)</f>
        <v>80</v>
      </c>
      <c r="G6" s="1">
        <f t="shared" ref="G6:G35" si="5">ABS(D6-B6)</f>
        <v>10</v>
      </c>
      <c r="H6" s="1">
        <f t="shared" ref="H6:H35" si="6">F6*G6</f>
        <v>800</v>
      </c>
      <c r="I6" s="1">
        <f t="shared" ref="I6:J35" si="7">(B6+D6)/2</f>
        <v>0</v>
      </c>
      <c r="J6" s="1">
        <f t="shared" si="7"/>
        <v>0</v>
      </c>
      <c r="K6" s="1">
        <f t="shared" ref="K6:K35" si="8">H6*I6</f>
        <v>0</v>
      </c>
      <c r="L6" s="1">
        <f t="shared" ref="L6:L35" si="9">H6*J6</f>
        <v>0</v>
      </c>
      <c r="U6" s="2">
        <f t="shared" ref="U6:U35" si="10">(F6^3*G6/12) + H6*ABS(J6-$O$5)^2</f>
        <v>426666.66666666669</v>
      </c>
      <c r="V6" s="2">
        <f t="shared" ref="V6:V35" si="11">(G6^3*F6/12) + H6*(I6-$O$4)^2</f>
        <v>6666.666666666667</v>
      </c>
      <c r="W6" s="2">
        <f t="shared" si="2"/>
        <v>0</v>
      </c>
      <c r="X6" s="2">
        <f t="shared" si="0"/>
        <v>80</v>
      </c>
      <c r="Y6" s="2">
        <f t="shared" si="1"/>
        <v>10</v>
      </c>
      <c r="Z6" s="2">
        <f t="shared" si="3"/>
        <v>5120000</v>
      </c>
    </row>
    <row r="7" spans="2:27">
      <c r="B7" s="8"/>
      <c r="C7" s="8"/>
      <c r="D7" s="8"/>
      <c r="E7" s="8"/>
      <c r="F7" s="1">
        <f t="shared" si="4"/>
        <v>0</v>
      </c>
      <c r="G7" s="1">
        <f t="shared" si="5"/>
        <v>0</v>
      </c>
      <c r="H7" s="1">
        <f t="shared" si="6"/>
        <v>0</v>
      </c>
      <c r="I7" s="1">
        <f t="shared" si="7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U7" s="2">
        <f t="shared" si="10"/>
        <v>0</v>
      </c>
      <c r="V7" s="2">
        <f t="shared" si="11"/>
        <v>0</v>
      </c>
      <c r="W7" s="2">
        <f t="shared" si="2"/>
        <v>0</v>
      </c>
      <c r="X7" s="2">
        <f t="shared" si="0"/>
        <v>0</v>
      </c>
      <c r="Y7" s="2">
        <f t="shared" si="1"/>
        <v>0</v>
      </c>
      <c r="Z7" s="2">
        <f t="shared" si="3"/>
        <v>0</v>
      </c>
    </row>
    <row r="8" spans="2:27">
      <c r="B8" s="8"/>
      <c r="C8" s="8"/>
      <c r="D8" s="8"/>
      <c r="E8" s="8"/>
      <c r="F8" s="1">
        <f t="shared" si="4"/>
        <v>0</v>
      </c>
      <c r="G8" s="1">
        <f t="shared" si="5"/>
        <v>0</v>
      </c>
      <c r="H8" s="1">
        <f t="shared" si="6"/>
        <v>0</v>
      </c>
      <c r="I8" s="1">
        <f t="shared" si="7"/>
        <v>0</v>
      </c>
      <c r="J8" s="1">
        <f t="shared" si="7"/>
        <v>0</v>
      </c>
      <c r="K8" s="1">
        <f t="shared" si="8"/>
        <v>0</v>
      </c>
      <c r="L8" s="1">
        <f t="shared" si="9"/>
        <v>0</v>
      </c>
      <c r="U8" s="2">
        <f t="shared" si="10"/>
        <v>0</v>
      </c>
      <c r="V8" s="2">
        <f t="shared" si="11"/>
        <v>0</v>
      </c>
      <c r="W8" s="2">
        <f t="shared" si="2"/>
        <v>0</v>
      </c>
      <c r="X8" s="2">
        <f t="shared" si="0"/>
        <v>0</v>
      </c>
      <c r="Y8" s="2">
        <f t="shared" si="1"/>
        <v>0</v>
      </c>
      <c r="Z8" s="2">
        <f t="shared" si="3"/>
        <v>0</v>
      </c>
    </row>
    <row r="9" spans="2:27">
      <c r="B9" s="8"/>
      <c r="C9" s="8"/>
      <c r="D9" s="8"/>
      <c r="E9" s="8"/>
      <c r="F9" s="1">
        <f t="shared" si="4"/>
        <v>0</v>
      </c>
      <c r="G9" s="1">
        <f t="shared" si="5"/>
        <v>0</v>
      </c>
      <c r="H9" s="1">
        <f t="shared" si="6"/>
        <v>0</v>
      </c>
      <c r="I9" s="1">
        <f t="shared" si="7"/>
        <v>0</v>
      </c>
      <c r="J9" s="1">
        <f t="shared" si="7"/>
        <v>0</v>
      </c>
      <c r="K9" s="1">
        <f t="shared" si="8"/>
        <v>0</v>
      </c>
      <c r="L9" s="1">
        <f t="shared" si="9"/>
        <v>0</v>
      </c>
      <c r="M9" s="2" t="s">
        <v>34</v>
      </c>
      <c r="N9" s="2" t="s">
        <v>39</v>
      </c>
      <c r="O9" s="2">
        <f>SUM(W4:W35)</f>
        <v>1350000</v>
      </c>
      <c r="P9" s="2" t="s">
        <v>13</v>
      </c>
      <c r="U9" s="2">
        <f t="shared" si="10"/>
        <v>0</v>
      </c>
      <c r="V9" s="2">
        <f t="shared" si="11"/>
        <v>0</v>
      </c>
      <c r="W9" s="2">
        <f t="shared" si="2"/>
        <v>0</v>
      </c>
      <c r="X9" s="2">
        <f t="shared" si="0"/>
        <v>0</v>
      </c>
      <c r="Y9" s="2">
        <f t="shared" si="1"/>
        <v>0</v>
      </c>
      <c r="Z9" s="2">
        <f t="shared" si="3"/>
        <v>0</v>
      </c>
    </row>
    <row r="10" spans="2:27">
      <c r="B10" s="8"/>
      <c r="C10" s="8"/>
      <c r="D10" s="8"/>
      <c r="E10" s="8"/>
      <c r="F10" s="1">
        <f t="shared" si="4"/>
        <v>0</v>
      </c>
      <c r="G10" s="1">
        <f t="shared" si="5"/>
        <v>0</v>
      </c>
      <c r="H10" s="1">
        <f t="shared" si="6"/>
        <v>0</v>
      </c>
      <c r="I10" s="1">
        <f t="shared" si="7"/>
        <v>0</v>
      </c>
      <c r="J10" s="1">
        <f t="shared" si="7"/>
        <v>0</v>
      </c>
      <c r="K10" s="1">
        <f t="shared" si="8"/>
        <v>0</v>
      </c>
      <c r="L10" s="1">
        <f t="shared" si="9"/>
        <v>0</v>
      </c>
      <c r="N10" s="6" t="s">
        <v>49</v>
      </c>
      <c r="O10" s="6">
        <f>SUM(U4:U35)</f>
        <v>2866666.6666666665</v>
      </c>
      <c r="P10" s="2" t="s">
        <v>13</v>
      </c>
      <c r="U10" s="2">
        <f t="shared" si="10"/>
        <v>0</v>
      </c>
      <c r="V10" s="2">
        <f t="shared" si="11"/>
        <v>0</v>
      </c>
      <c r="W10" s="2">
        <f t="shared" si="2"/>
        <v>0</v>
      </c>
      <c r="X10" s="2">
        <f t="shared" si="0"/>
        <v>0</v>
      </c>
      <c r="Y10" s="2">
        <f t="shared" si="1"/>
        <v>0</v>
      </c>
      <c r="Z10" s="2">
        <f t="shared" si="3"/>
        <v>0</v>
      </c>
    </row>
    <row r="11" spans="2:27">
      <c r="B11" s="8"/>
      <c r="C11" s="8"/>
      <c r="D11" s="8"/>
      <c r="E11" s="8"/>
      <c r="F11" s="1">
        <f t="shared" si="4"/>
        <v>0</v>
      </c>
      <c r="G11" s="1">
        <f t="shared" si="5"/>
        <v>0</v>
      </c>
      <c r="H11" s="1">
        <f t="shared" si="6"/>
        <v>0</v>
      </c>
      <c r="I11" s="1">
        <f t="shared" si="7"/>
        <v>0</v>
      </c>
      <c r="J11" s="1">
        <f t="shared" si="7"/>
        <v>0</v>
      </c>
      <c r="K11" s="1">
        <f t="shared" si="8"/>
        <v>0</v>
      </c>
      <c r="L11" s="1">
        <f t="shared" si="9"/>
        <v>0</v>
      </c>
      <c r="N11" s="6" t="s">
        <v>11</v>
      </c>
      <c r="O11" s="6">
        <f>SUM(V4:V35)</f>
        <v>1116666.6666666667</v>
      </c>
      <c r="P11" s="2" t="s">
        <v>13</v>
      </c>
      <c r="U11" s="2">
        <f t="shared" si="10"/>
        <v>0</v>
      </c>
      <c r="V11" s="2">
        <f t="shared" si="11"/>
        <v>0</v>
      </c>
      <c r="W11" s="2">
        <f t="shared" si="2"/>
        <v>0</v>
      </c>
      <c r="X11" s="2">
        <f t="shared" si="0"/>
        <v>0</v>
      </c>
      <c r="Y11" s="2">
        <f t="shared" si="1"/>
        <v>0</v>
      </c>
      <c r="Z11" s="2">
        <f t="shared" si="3"/>
        <v>0</v>
      </c>
    </row>
    <row r="12" spans="2:27">
      <c r="B12" s="8"/>
      <c r="C12" s="8"/>
      <c r="D12" s="8"/>
      <c r="E12" s="8"/>
      <c r="F12" s="1">
        <f t="shared" si="4"/>
        <v>0</v>
      </c>
      <c r="G12" s="1">
        <f t="shared" si="5"/>
        <v>0</v>
      </c>
      <c r="H12" s="1">
        <f t="shared" si="6"/>
        <v>0</v>
      </c>
      <c r="I12" s="1">
        <f t="shared" si="7"/>
        <v>0</v>
      </c>
      <c r="J12" s="1">
        <f t="shared" si="7"/>
        <v>0</v>
      </c>
      <c r="K12" s="1">
        <f t="shared" si="8"/>
        <v>0</v>
      </c>
      <c r="L12" s="1">
        <f t="shared" si="9"/>
        <v>0</v>
      </c>
      <c r="M12" s="2" t="s">
        <v>20</v>
      </c>
      <c r="N12" s="2" t="s">
        <v>21</v>
      </c>
      <c r="O12" s="2">
        <f>SUM(Z4:Z35)</f>
        <v>9440000</v>
      </c>
      <c r="P12" s="2" t="s">
        <v>13</v>
      </c>
      <c r="U12" s="2">
        <f t="shared" si="10"/>
        <v>0</v>
      </c>
      <c r="V12" s="2">
        <f t="shared" si="11"/>
        <v>0</v>
      </c>
      <c r="W12" s="2">
        <f t="shared" si="2"/>
        <v>0</v>
      </c>
      <c r="X12" s="2">
        <f t="shared" si="0"/>
        <v>0</v>
      </c>
      <c r="Y12" s="2">
        <f t="shared" si="1"/>
        <v>0</v>
      </c>
      <c r="Z12" s="2">
        <f t="shared" si="3"/>
        <v>0</v>
      </c>
    </row>
    <row r="13" spans="2:27">
      <c r="B13" s="8"/>
      <c r="C13" s="8"/>
      <c r="D13" s="8"/>
      <c r="E13" s="8"/>
      <c r="F13" s="1">
        <f t="shared" si="4"/>
        <v>0</v>
      </c>
      <c r="G13" s="1">
        <f t="shared" si="5"/>
        <v>0</v>
      </c>
      <c r="H13" s="1">
        <f t="shared" si="6"/>
        <v>0</v>
      </c>
      <c r="I13" s="1">
        <f t="shared" si="7"/>
        <v>0</v>
      </c>
      <c r="J13" s="1">
        <f t="shared" si="7"/>
        <v>0</v>
      </c>
      <c r="K13" s="1">
        <f t="shared" si="8"/>
        <v>0</v>
      </c>
      <c r="L13" s="1">
        <f t="shared" si="9"/>
        <v>0</v>
      </c>
      <c r="U13" s="2">
        <f t="shared" si="10"/>
        <v>0</v>
      </c>
      <c r="V13" s="2">
        <f t="shared" si="11"/>
        <v>0</v>
      </c>
      <c r="W13" s="2">
        <f t="shared" si="2"/>
        <v>0</v>
      </c>
      <c r="X13" s="2">
        <f t="shared" si="0"/>
        <v>0</v>
      </c>
      <c r="Y13" s="2">
        <f t="shared" si="1"/>
        <v>0</v>
      </c>
      <c r="Z13" s="2">
        <f t="shared" si="3"/>
        <v>0</v>
      </c>
    </row>
    <row r="14" spans="2:27">
      <c r="B14" s="8"/>
      <c r="C14" s="8"/>
      <c r="D14" s="8"/>
      <c r="E14" s="8"/>
      <c r="F14" s="1">
        <f t="shared" si="4"/>
        <v>0</v>
      </c>
      <c r="G14" s="1">
        <f t="shared" si="5"/>
        <v>0</v>
      </c>
      <c r="H14" s="1">
        <f t="shared" si="6"/>
        <v>0</v>
      </c>
      <c r="I14" s="1">
        <f t="shared" si="7"/>
        <v>0</v>
      </c>
      <c r="J14" s="1">
        <f t="shared" si="7"/>
        <v>0</v>
      </c>
      <c r="K14" s="1">
        <f t="shared" si="8"/>
        <v>0</v>
      </c>
      <c r="L14" s="1">
        <f t="shared" si="9"/>
        <v>0</v>
      </c>
      <c r="U14" s="2">
        <f t="shared" si="10"/>
        <v>0</v>
      </c>
      <c r="V14" s="2">
        <f t="shared" si="11"/>
        <v>0</v>
      </c>
      <c r="W14" s="2">
        <f t="shared" si="2"/>
        <v>0</v>
      </c>
      <c r="X14" s="2">
        <f t="shared" si="0"/>
        <v>0</v>
      </c>
      <c r="Y14" s="2">
        <f t="shared" si="1"/>
        <v>0</v>
      </c>
      <c r="Z14" s="2">
        <f t="shared" si="3"/>
        <v>0</v>
      </c>
    </row>
    <row r="15" spans="2:27">
      <c r="B15" s="8"/>
      <c r="C15" s="8"/>
      <c r="D15" s="8"/>
      <c r="E15" s="8"/>
      <c r="F15" s="1">
        <f t="shared" si="4"/>
        <v>0</v>
      </c>
      <c r="G15" s="1">
        <f t="shared" si="5"/>
        <v>0</v>
      </c>
      <c r="H15" s="1">
        <f t="shared" si="6"/>
        <v>0</v>
      </c>
      <c r="I15" s="1">
        <f t="shared" si="7"/>
        <v>0</v>
      </c>
      <c r="J15" s="1">
        <f t="shared" si="7"/>
        <v>0</v>
      </c>
      <c r="K15" s="1">
        <f t="shared" si="8"/>
        <v>0</v>
      </c>
      <c r="L15" s="1">
        <f t="shared" si="9"/>
        <v>0</v>
      </c>
      <c r="N15" s="12"/>
      <c r="P15" s="12"/>
      <c r="Q15" s="12"/>
      <c r="R15" s="12"/>
      <c r="S15" s="12"/>
      <c r="U15" s="2">
        <f t="shared" si="10"/>
        <v>0</v>
      </c>
      <c r="V15" s="2">
        <f t="shared" si="11"/>
        <v>0</v>
      </c>
      <c r="W15" s="2">
        <f t="shared" si="2"/>
        <v>0</v>
      </c>
      <c r="X15" s="2">
        <f t="shared" si="0"/>
        <v>0</v>
      </c>
      <c r="Y15" s="2">
        <f t="shared" si="1"/>
        <v>0</v>
      </c>
      <c r="Z15" s="2">
        <f t="shared" si="3"/>
        <v>0</v>
      </c>
    </row>
    <row r="16" spans="2:27">
      <c r="B16" s="8"/>
      <c r="C16" s="8"/>
      <c r="D16" s="8"/>
      <c r="E16" s="8"/>
      <c r="F16" s="1">
        <f t="shared" si="4"/>
        <v>0</v>
      </c>
      <c r="G16" s="1">
        <f t="shared" si="5"/>
        <v>0</v>
      </c>
      <c r="H16" s="1">
        <f t="shared" si="6"/>
        <v>0</v>
      </c>
      <c r="I16" s="1">
        <f t="shared" si="7"/>
        <v>0</v>
      </c>
      <c r="J16" s="1">
        <f t="shared" si="7"/>
        <v>0</v>
      </c>
      <c r="K16" s="1">
        <f t="shared" si="8"/>
        <v>0</v>
      </c>
      <c r="L16" s="1">
        <f t="shared" si="9"/>
        <v>0</v>
      </c>
      <c r="N16" s="13"/>
      <c r="O16" s="13"/>
      <c r="U16" s="2">
        <f t="shared" si="10"/>
        <v>0</v>
      </c>
      <c r="V16" s="2">
        <f t="shared" si="11"/>
        <v>0</v>
      </c>
      <c r="W16" s="2">
        <f t="shared" si="2"/>
        <v>0</v>
      </c>
      <c r="X16" s="2">
        <f t="shared" si="0"/>
        <v>0</v>
      </c>
      <c r="Y16" s="2">
        <f t="shared" si="1"/>
        <v>0</v>
      </c>
      <c r="Z16" s="2">
        <f t="shared" si="3"/>
        <v>0</v>
      </c>
    </row>
    <row r="17" spans="2:26">
      <c r="B17" s="8"/>
      <c r="C17" s="8"/>
      <c r="D17" s="8"/>
      <c r="E17" s="8"/>
      <c r="F17" s="1">
        <f t="shared" si="4"/>
        <v>0</v>
      </c>
      <c r="G17" s="1">
        <f t="shared" si="5"/>
        <v>0</v>
      </c>
      <c r="H17" s="1">
        <f t="shared" si="6"/>
        <v>0</v>
      </c>
      <c r="I17" s="1">
        <f t="shared" si="7"/>
        <v>0</v>
      </c>
      <c r="J17" s="1">
        <f t="shared" si="7"/>
        <v>0</v>
      </c>
      <c r="K17" s="1">
        <f t="shared" si="8"/>
        <v>0</v>
      </c>
      <c r="L17" s="1">
        <f t="shared" si="9"/>
        <v>0</v>
      </c>
      <c r="U17" s="2">
        <f t="shared" si="10"/>
        <v>0</v>
      </c>
      <c r="V17" s="2">
        <f t="shared" si="11"/>
        <v>0</v>
      </c>
      <c r="W17" s="2">
        <f t="shared" si="2"/>
        <v>0</v>
      </c>
      <c r="X17" s="2">
        <f t="shared" si="0"/>
        <v>0</v>
      </c>
      <c r="Y17" s="2">
        <f t="shared" si="1"/>
        <v>0</v>
      </c>
      <c r="Z17" s="2">
        <f t="shared" si="3"/>
        <v>0</v>
      </c>
    </row>
    <row r="18" spans="2:26">
      <c r="B18" s="8"/>
      <c r="C18" s="8"/>
      <c r="D18" s="8"/>
      <c r="E18" s="8"/>
      <c r="F18" s="1">
        <f t="shared" si="4"/>
        <v>0</v>
      </c>
      <c r="G18" s="1">
        <f t="shared" si="5"/>
        <v>0</v>
      </c>
      <c r="H18" s="1">
        <f t="shared" si="6"/>
        <v>0</v>
      </c>
      <c r="I18" s="1">
        <f t="shared" si="7"/>
        <v>0</v>
      </c>
      <c r="J18" s="1">
        <f t="shared" si="7"/>
        <v>0</v>
      </c>
      <c r="K18" s="1">
        <f t="shared" si="8"/>
        <v>0</v>
      </c>
      <c r="L18" s="1">
        <f t="shared" si="9"/>
        <v>0</v>
      </c>
      <c r="R18" s="23" t="s">
        <v>41</v>
      </c>
      <c r="S18" s="23"/>
      <c r="U18" s="2">
        <f t="shared" si="10"/>
        <v>0</v>
      </c>
      <c r="V18" s="2">
        <f t="shared" si="11"/>
        <v>0</v>
      </c>
      <c r="W18" s="2">
        <f t="shared" si="2"/>
        <v>0</v>
      </c>
      <c r="X18" s="2">
        <f t="shared" si="0"/>
        <v>0</v>
      </c>
      <c r="Y18" s="2">
        <f t="shared" si="1"/>
        <v>0</v>
      </c>
      <c r="Z18" s="2">
        <f t="shared" si="3"/>
        <v>0</v>
      </c>
    </row>
    <row r="19" spans="2:26">
      <c r="B19" s="8"/>
      <c r="C19" s="8"/>
      <c r="D19" s="8"/>
      <c r="E19" s="8"/>
      <c r="F19" s="1">
        <f t="shared" si="4"/>
        <v>0</v>
      </c>
      <c r="G19" s="1">
        <f t="shared" si="5"/>
        <v>0</v>
      </c>
      <c r="H19" s="1">
        <f t="shared" si="6"/>
        <v>0</v>
      </c>
      <c r="I19" s="1">
        <f t="shared" si="7"/>
        <v>0</v>
      </c>
      <c r="J19" s="1">
        <f t="shared" si="7"/>
        <v>0</v>
      </c>
      <c r="K19" s="1">
        <f t="shared" si="8"/>
        <v>0</v>
      </c>
      <c r="L19" s="1">
        <f t="shared" si="9"/>
        <v>0</v>
      </c>
      <c r="R19" s="2" t="s">
        <v>51</v>
      </c>
      <c r="S19" s="14">
        <v>-5</v>
      </c>
      <c r="T19" s="2" t="s">
        <v>15</v>
      </c>
      <c r="U19" s="2">
        <f t="shared" si="10"/>
        <v>0</v>
      </c>
      <c r="V19" s="2">
        <f t="shared" si="11"/>
        <v>0</v>
      </c>
      <c r="W19" s="2">
        <f t="shared" si="2"/>
        <v>0</v>
      </c>
      <c r="X19" s="2">
        <f t="shared" si="0"/>
        <v>0</v>
      </c>
      <c r="Y19" s="2">
        <f t="shared" si="1"/>
        <v>0</v>
      </c>
      <c r="Z19" s="2">
        <f t="shared" si="3"/>
        <v>0</v>
      </c>
    </row>
    <row r="20" spans="2:26">
      <c r="B20" s="8"/>
      <c r="C20" s="8"/>
      <c r="D20" s="8"/>
      <c r="E20" s="8"/>
      <c r="F20" s="1">
        <f t="shared" si="4"/>
        <v>0</v>
      </c>
      <c r="G20" s="1">
        <f t="shared" si="5"/>
        <v>0</v>
      </c>
      <c r="H20" s="1">
        <f t="shared" si="6"/>
        <v>0</v>
      </c>
      <c r="I20" s="1">
        <f t="shared" si="7"/>
        <v>0</v>
      </c>
      <c r="J20" s="1">
        <f t="shared" si="7"/>
        <v>0</v>
      </c>
      <c r="K20" s="1">
        <f t="shared" si="8"/>
        <v>0</v>
      </c>
      <c r="L20" s="1">
        <f t="shared" si="9"/>
        <v>0</v>
      </c>
      <c r="N20" s="23" t="s">
        <v>35</v>
      </c>
      <c r="O20" s="23"/>
      <c r="R20" s="2" t="s">
        <v>42</v>
      </c>
      <c r="S20" s="14">
        <v>50</v>
      </c>
      <c r="T20" s="2" t="s">
        <v>15</v>
      </c>
      <c r="U20" s="2">
        <f t="shared" si="10"/>
        <v>0</v>
      </c>
      <c r="V20" s="2">
        <f t="shared" si="11"/>
        <v>0</v>
      </c>
      <c r="W20" s="2">
        <f t="shared" si="2"/>
        <v>0</v>
      </c>
      <c r="X20" s="2">
        <f t="shared" si="0"/>
        <v>0</v>
      </c>
      <c r="Y20" s="2">
        <f t="shared" si="1"/>
        <v>0</v>
      </c>
      <c r="Z20" s="2">
        <f t="shared" si="3"/>
        <v>0</v>
      </c>
    </row>
    <row r="21" spans="2:26">
      <c r="B21" s="8"/>
      <c r="C21" s="8"/>
      <c r="D21" s="8"/>
      <c r="E21" s="8"/>
      <c r="F21" s="1">
        <f t="shared" si="4"/>
        <v>0</v>
      </c>
      <c r="G21" s="1">
        <f t="shared" si="5"/>
        <v>0</v>
      </c>
      <c r="H21" s="1">
        <f t="shared" si="6"/>
        <v>0</v>
      </c>
      <c r="I21" s="1">
        <f t="shared" si="7"/>
        <v>0</v>
      </c>
      <c r="J21" s="1">
        <f t="shared" si="7"/>
        <v>0</v>
      </c>
      <c r="K21" s="1">
        <f t="shared" si="8"/>
        <v>0</v>
      </c>
      <c r="L21" s="1">
        <f t="shared" si="9"/>
        <v>0</v>
      </c>
      <c r="N21" s="2" t="s">
        <v>50</v>
      </c>
      <c r="O21" s="14">
        <f>866*2</f>
        <v>1732</v>
      </c>
      <c r="P21" s="2" t="s">
        <v>54</v>
      </c>
      <c r="R21" s="2" t="s">
        <v>57</v>
      </c>
      <c r="S21" s="15">
        <f>S19-O4</f>
        <v>-5</v>
      </c>
      <c r="T21" s="2" t="s">
        <v>15</v>
      </c>
      <c r="U21" s="2">
        <f t="shared" si="10"/>
        <v>0</v>
      </c>
      <c r="V21" s="2">
        <f t="shared" si="11"/>
        <v>0</v>
      </c>
      <c r="W21" s="2">
        <f t="shared" si="2"/>
        <v>0</v>
      </c>
      <c r="X21" s="2">
        <f t="shared" si="0"/>
        <v>0</v>
      </c>
      <c r="Y21" s="2">
        <f t="shared" si="1"/>
        <v>0</v>
      </c>
      <c r="Z21" s="2">
        <f t="shared" si="3"/>
        <v>0</v>
      </c>
    </row>
    <row r="22" spans="2:26">
      <c r="B22" s="8"/>
      <c r="C22" s="8"/>
      <c r="D22" s="8"/>
      <c r="E22" s="8"/>
      <c r="F22" s="1">
        <f t="shared" si="4"/>
        <v>0</v>
      </c>
      <c r="G22" s="1">
        <f t="shared" si="5"/>
        <v>0</v>
      </c>
      <c r="H22" s="1">
        <f t="shared" si="6"/>
        <v>0</v>
      </c>
      <c r="I22" s="1">
        <f t="shared" si="7"/>
        <v>0</v>
      </c>
      <c r="J22" s="1">
        <f t="shared" si="7"/>
        <v>0</v>
      </c>
      <c r="K22" s="1">
        <f t="shared" si="8"/>
        <v>0</v>
      </c>
      <c r="L22" s="1">
        <f t="shared" si="9"/>
        <v>0</v>
      </c>
      <c r="N22" s="2" t="s">
        <v>36</v>
      </c>
      <c r="O22" s="14">
        <f>-500*2</f>
        <v>-1000</v>
      </c>
      <c r="P22" s="2" t="s">
        <v>54</v>
      </c>
      <c r="R22" s="2" t="s">
        <v>58</v>
      </c>
      <c r="S22" s="15">
        <f>S20-O5</f>
        <v>50</v>
      </c>
      <c r="T22" s="2" t="s">
        <v>15</v>
      </c>
      <c r="U22" s="2">
        <f t="shared" si="10"/>
        <v>0</v>
      </c>
      <c r="V22" s="2">
        <f t="shared" si="11"/>
        <v>0</v>
      </c>
      <c r="W22" s="2">
        <f t="shared" si="2"/>
        <v>0</v>
      </c>
      <c r="X22" s="2">
        <f t="shared" si="0"/>
        <v>0</v>
      </c>
      <c r="Y22" s="2">
        <f t="shared" si="1"/>
        <v>0</v>
      </c>
      <c r="Z22" s="2">
        <f t="shared" si="3"/>
        <v>0</v>
      </c>
    </row>
    <row r="23" spans="2:26">
      <c r="B23" s="8"/>
      <c r="C23" s="8"/>
      <c r="D23" s="8"/>
      <c r="E23" s="8"/>
      <c r="F23" s="1">
        <f t="shared" si="4"/>
        <v>0</v>
      </c>
      <c r="G23" s="1">
        <f t="shared" si="5"/>
        <v>0</v>
      </c>
      <c r="H23" s="1">
        <f t="shared" si="6"/>
        <v>0</v>
      </c>
      <c r="I23" s="1">
        <f t="shared" si="7"/>
        <v>0</v>
      </c>
      <c r="J23" s="1">
        <f t="shared" si="7"/>
        <v>0</v>
      </c>
      <c r="K23" s="1">
        <f t="shared" si="8"/>
        <v>0</v>
      </c>
      <c r="L23" s="1">
        <f t="shared" si="9"/>
        <v>0</v>
      </c>
      <c r="R23" s="2" t="s">
        <v>55</v>
      </c>
      <c r="S23" s="2">
        <f>1000^4*((O21*O11-O22*O9))/(O11*O10-O9*O9)</f>
        <v>2382155954.0600438</v>
      </c>
      <c r="T23" s="12" t="s">
        <v>59</v>
      </c>
      <c r="U23" s="2">
        <f t="shared" si="10"/>
        <v>0</v>
      </c>
      <c r="V23" s="2">
        <f t="shared" si="11"/>
        <v>0</v>
      </c>
      <c r="W23" s="2">
        <f t="shared" si="2"/>
        <v>0</v>
      </c>
      <c r="X23" s="2">
        <f t="shared" si="0"/>
        <v>0</v>
      </c>
      <c r="Y23" s="2">
        <f t="shared" si="1"/>
        <v>0</v>
      </c>
      <c r="Z23" s="2">
        <f t="shared" si="3"/>
        <v>0</v>
      </c>
    </row>
    <row r="24" spans="2:26">
      <c r="B24" s="8"/>
      <c r="C24" s="8"/>
      <c r="D24" s="8"/>
      <c r="E24" s="8"/>
      <c r="F24" s="1">
        <f t="shared" si="4"/>
        <v>0</v>
      </c>
      <c r="G24" s="1">
        <f t="shared" si="5"/>
        <v>0</v>
      </c>
      <c r="H24" s="1">
        <f t="shared" si="6"/>
        <v>0</v>
      </c>
      <c r="I24" s="1">
        <f t="shared" si="7"/>
        <v>0</v>
      </c>
      <c r="J24" s="1">
        <f t="shared" si="7"/>
        <v>0</v>
      </c>
      <c r="K24" s="1">
        <f t="shared" si="8"/>
        <v>0</v>
      </c>
      <c r="L24" s="1">
        <f t="shared" si="9"/>
        <v>0</v>
      </c>
      <c r="R24" s="12" t="s">
        <v>56</v>
      </c>
      <c r="S24" s="2">
        <f>1000^4*((O22*O10-O21*O9))/(O11*O10-O9*O9)</f>
        <v>-3775442272.8188586</v>
      </c>
      <c r="T24" s="2" t="s">
        <v>59</v>
      </c>
      <c r="U24" s="2">
        <f t="shared" si="10"/>
        <v>0</v>
      </c>
      <c r="V24" s="2">
        <f t="shared" si="11"/>
        <v>0</v>
      </c>
      <c r="W24" s="2">
        <f t="shared" si="2"/>
        <v>0</v>
      </c>
      <c r="X24" s="2">
        <f t="shared" si="0"/>
        <v>0</v>
      </c>
      <c r="Y24" s="2">
        <f t="shared" si="1"/>
        <v>0</v>
      </c>
      <c r="Z24" s="2">
        <f t="shared" si="3"/>
        <v>0</v>
      </c>
    </row>
    <row r="25" spans="2:26">
      <c r="B25" s="8"/>
      <c r="C25" s="8"/>
      <c r="D25" s="8"/>
      <c r="E25" s="8"/>
      <c r="F25" s="1">
        <f t="shared" si="4"/>
        <v>0</v>
      </c>
      <c r="G25" s="1">
        <f t="shared" si="5"/>
        <v>0</v>
      </c>
      <c r="H25" s="1">
        <f t="shared" si="6"/>
        <v>0</v>
      </c>
      <c r="I25" s="1">
        <f t="shared" si="7"/>
        <v>0</v>
      </c>
      <c r="J25" s="1">
        <f t="shared" si="7"/>
        <v>0</v>
      </c>
      <c r="K25" s="1">
        <f t="shared" si="8"/>
        <v>0</v>
      </c>
      <c r="L25" s="1">
        <f t="shared" si="9"/>
        <v>0</v>
      </c>
      <c r="R25" s="2" t="s">
        <v>52</v>
      </c>
      <c r="S25" s="2">
        <f>((O21*O11-O22*O9)*S22+(O22*O10-O21*O9)*S21)/(O11*O10-O9*O9)</f>
        <v>0.13798500906709651</v>
      </c>
      <c r="U25" s="2">
        <f t="shared" si="10"/>
        <v>0</v>
      </c>
      <c r="V25" s="2">
        <f t="shared" si="11"/>
        <v>0</v>
      </c>
      <c r="W25" s="2">
        <f t="shared" si="2"/>
        <v>0</v>
      </c>
      <c r="X25" s="2">
        <f t="shared" si="0"/>
        <v>0</v>
      </c>
      <c r="Y25" s="2">
        <f t="shared" si="1"/>
        <v>0</v>
      </c>
      <c r="Z25" s="2">
        <f t="shared" si="3"/>
        <v>0</v>
      </c>
    </row>
    <row r="26" spans="2:26">
      <c r="B26" s="8"/>
      <c r="C26" s="8"/>
      <c r="D26" s="8"/>
      <c r="E26" s="8"/>
      <c r="F26" s="1">
        <f t="shared" si="4"/>
        <v>0</v>
      </c>
      <c r="G26" s="1">
        <f t="shared" si="5"/>
        <v>0</v>
      </c>
      <c r="H26" s="1">
        <f t="shared" si="6"/>
        <v>0</v>
      </c>
      <c r="I26" s="1">
        <f t="shared" si="7"/>
        <v>0</v>
      </c>
      <c r="J26" s="1">
        <f t="shared" si="7"/>
        <v>0</v>
      </c>
      <c r="K26" s="1">
        <f t="shared" si="8"/>
        <v>0</v>
      </c>
      <c r="L26" s="1">
        <f t="shared" si="9"/>
        <v>0</v>
      </c>
      <c r="S26" s="2">
        <f>((S23*S22/1000)+(S24*S21)/1000)/1000^2</f>
        <v>137.98500906709651</v>
      </c>
      <c r="T26" s="12" t="s">
        <v>61</v>
      </c>
      <c r="U26" s="2">
        <f t="shared" si="10"/>
        <v>0</v>
      </c>
      <c r="V26" s="2">
        <f t="shared" si="11"/>
        <v>0</v>
      </c>
      <c r="W26" s="2">
        <f t="shared" si="2"/>
        <v>0</v>
      </c>
      <c r="X26" s="2">
        <f t="shared" si="0"/>
        <v>0</v>
      </c>
      <c r="Y26" s="2">
        <f t="shared" si="1"/>
        <v>0</v>
      </c>
      <c r="Z26" s="2">
        <f t="shared" si="3"/>
        <v>0</v>
      </c>
    </row>
    <row r="27" spans="2:26">
      <c r="B27" s="8"/>
      <c r="C27" s="8"/>
      <c r="D27" s="8"/>
      <c r="E27" s="8"/>
      <c r="F27" s="1">
        <f t="shared" si="4"/>
        <v>0</v>
      </c>
      <c r="G27" s="1">
        <f t="shared" si="5"/>
        <v>0</v>
      </c>
      <c r="H27" s="1">
        <f t="shared" si="6"/>
        <v>0</v>
      </c>
      <c r="I27" s="1">
        <f t="shared" si="7"/>
        <v>0</v>
      </c>
      <c r="J27" s="1">
        <f t="shared" si="7"/>
        <v>0</v>
      </c>
      <c r="K27" s="1">
        <f t="shared" si="8"/>
        <v>0</v>
      </c>
      <c r="L27" s="1">
        <f t="shared" si="9"/>
        <v>0</v>
      </c>
      <c r="U27" s="2">
        <f t="shared" si="10"/>
        <v>0</v>
      </c>
      <c r="V27" s="2">
        <f t="shared" si="11"/>
        <v>0</v>
      </c>
      <c r="W27" s="2">
        <f t="shared" si="2"/>
        <v>0</v>
      </c>
      <c r="X27" s="2">
        <f t="shared" si="0"/>
        <v>0</v>
      </c>
      <c r="Y27" s="2">
        <f t="shared" si="1"/>
        <v>0</v>
      </c>
      <c r="Z27" s="2">
        <f t="shared" si="3"/>
        <v>0</v>
      </c>
    </row>
    <row r="28" spans="2:26">
      <c r="B28" s="8"/>
      <c r="C28" s="8"/>
      <c r="D28" s="8"/>
      <c r="E28" s="8"/>
      <c r="F28" s="1">
        <f t="shared" si="4"/>
        <v>0</v>
      </c>
      <c r="G28" s="1">
        <f t="shared" si="5"/>
        <v>0</v>
      </c>
      <c r="H28" s="1">
        <f t="shared" si="6"/>
        <v>0</v>
      </c>
      <c r="I28" s="1">
        <f t="shared" si="7"/>
        <v>0</v>
      </c>
      <c r="J28" s="1">
        <f t="shared" si="7"/>
        <v>0</v>
      </c>
      <c r="K28" s="1">
        <f t="shared" si="8"/>
        <v>0</v>
      </c>
      <c r="L28" s="1">
        <f t="shared" si="9"/>
        <v>0</v>
      </c>
      <c r="U28" s="2">
        <f t="shared" si="10"/>
        <v>0</v>
      </c>
      <c r="V28" s="2">
        <f t="shared" si="11"/>
        <v>0</v>
      </c>
      <c r="W28" s="2">
        <f t="shared" si="2"/>
        <v>0</v>
      </c>
      <c r="X28" s="2">
        <f t="shared" si="0"/>
        <v>0</v>
      </c>
      <c r="Y28" s="2">
        <f t="shared" si="1"/>
        <v>0</v>
      </c>
      <c r="Z28" s="2">
        <f t="shared" si="3"/>
        <v>0</v>
      </c>
    </row>
    <row r="29" spans="2:26">
      <c r="B29" s="8"/>
      <c r="C29" s="8"/>
      <c r="D29" s="8"/>
      <c r="E29" s="8"/>
      <c r="F29" s="1">
        <f t="shared" si="4"/>
        <v>0</v>
      </c>
      <c r="G29" s="1">
        <f t="shared" si="5"/>
        <v>0</v>
      </c>
      <c r="H29" s="1">
        <f t="shared" si="6"/>
        <v>0</v>
      </c>
      <c r="I29" s="1">
        <f t="shared" si="7"/>
        <v>0</v>
      </c>
      <c r="J29" s="1">
        <f t="shared" si="7"/>
        <v>0</v>
      </c>
      <c r="K29" s="1">
        <f t="shared" si="8"/>
        <v>0</v>
      </c>
      <c r="L29" s="1">
        <f t="shared" si="9"/>
        <v>0</v>
      </c>
      <c r="N29" s="2" t="s">
        <v>37</v>
      </c>
      <c r="O29" s="2">
        <f>ATAN( -(O22*O10-O21*O9)/(O21*O11-O22*O9) )</f>
        <v>1.0079220954507726</v>
      </c>
      <c r="P29" s="2" t="s">
        <v>40</v>
      </c>
      <c r="U29" s="2">
        <f t="shared" si="10"/>
        <v>0</v>
      </c>
      <c r="V29" s="2">
        <f t="shared" si="11"/>
        <v>0</v>
      </c>
      <c r="W29" s="2">
        <f t="shared" si="2"/>
        <v>0</v>
      </c>
      <c r="X29" s="2">
        <f t="shared" si="0"/>
        <v>0</v>
      </c>
      <c r="Y29" s="2">
        <f t="shared" si="1"/>
        <v>0</v>
      </c>
      <c r="Z29" s="2">
        <f t="shared" si="3"/>
        <v>0</v>
      </c>
    </row>
    <row r="30" spans="2:26">
      <c r="B30" s="8"/>
      <c r="C30" s="8"/>
      <c r="D30" s="8"/>
      <c r="E30" s="8"/>
      <c r="F30" s="1">
        <f t="shared" si="4"/>
        <v>0</v>
      </c>
      <c r="G30" s="1">
        <f t="shared" si="5"/>
        <v>0</v>
      </c>
      <c r="H30" s="1">
        <f t="shared" si="6"/>
        <v>0</v>
      </c>
      <c r="I30" s="1">
        <f t="shared" si="7"/>
        <v>0</v>
      </c>
      <c r="J30" s="1">
        <f t="shared" si="7"/>
        <v>0</v>
      </c>
      <c r="K30" s="1">
        <f t="shared" si="8"/>
        <v>0</v>
      </c>
      <c r="L30" s="1">
        <f t="shared" si="9"/>
        <v>0</v>
      </c>
      <c r="O30" s="2">
        <f>O29*180/PI()</f>
        <v>57.749682147311383</v>
      </c>
      <c r="P30" s="2" t="s">
        <v>38</v>
      </c>
      <c r="U30" s="2">
        <f t="shared" si="10"/>
        <v>0</v>
      </c>
      <c r="V30" s="2">
        <f t="shared" si="11"/>
        <v>0</v>
      </c>
      <c r="W30" s="2">
        <f t="shared" si="2"/>
        <v>0</v>
      </c>
      <c r="X30" s="2">
        <f t="shared" si="0"/>
        <v>0</v>
      </c>
      <c r="Y30" s="2">
        <f t="shared" si="1"/>
        <v>0</v>
      </c>
      <c r="Z30" s="2">
        <f t="shared" si="3"/>
        <v>0</v>
      </c>
    </row>
    <row r="31" spans="2:26">
      <c r="B31" s="8"/>
      <c r="C31" s="8"/>
      <c r="D31" s="8"/>
      <c r="E31" s="8"/>
      <c r="F31" s="1">
        <f t="shared" si="4"/>
        <v>0</v>
      </c>
      <c r="G31" s="1">
        <f t="shared" si="5"/>
        <v>0</v>
      </c>
      <c r="H31" s="1">
        <f t="shared" si="6"/>
        <v>0</v>
      </c>
      <c r="I31" s="1">
        <f t="shared" si="7"/>
        <v>0</v>
      </c>
      <c r="J31" s="1">
        <f t="shared" si="7"/>
        <v>0</v>
      </c>
      <c r="K31" s="1">
        <f t="shared" si="8"/>
        <v>0</v>
      </c>
      <c r="L31" s="1">
        <f t="shared" si="9"/>
        <v>0</v>
      </c>
      <c r="U31" s="2">
        <f t="shared" si="10"/>
        <v>0</v>
      </c>
      <c r="V31" s="2">
        <f t="shared" si="11"/>
        <v>0</v>
      </c>
      <c r="W31" s="2">
        <f t="shared" si="2"/>
        <v>0</v>
      </c>
      <c r="X31" s="2">
        <f t="shared" si="0"/>
        <v>0</v>
      </c>
      <c r="Y31" s="2">
        <f t="shared" si="1"/>
        <v>0</v>
      </c>
      <c r="Z31" s="2">
        <f t="shared" si="3"/>
        <v>0</v>
      </c>
    </row>
    <row r="32" spans="2:26">
      <c r="B32" s="8"/>
      <c r="C32" s="8"/>
      <c r="D32" s="8"/>
      <c r="E32" s="8"/>
      <c r="F32" s="1">
        <f t="shared" si="4"/>
        <v>0</v>
      </c>
      <c r="G32" s="1">
        <f t="shared" si="5"/>
        <v>0</v>
      </c>
      <c r="H32" s="1">
        <f t="shared" si="6"/>
        <v>0</v>
      </c>
      <c r="I32" s="1">
        <f t="shared" si="7"/>
        <v>0</v>
      </c>
      <c r="J32" s="1">
        <f t="shared" si="7"/>
        <v>0</v>
      </c>
      <c r="K32" s="1">
        <f t="shared" si="8"/>
        <v>0</v>
      </c>
      <c r="L32" s="1">
        <f t="shared" si="9"/>
        <v>0</v>
      </c>
      <c r="U32" s="2">
        <f t="shared" si="10"/>
        <v>0</v>
      </c>
      <c r="V32" s="2">
        <f t="shared" si="11"/>
        <v>0</v>
      </c>
      <c r="W32" s="2">
        <f t="shared" si="2"/>
        <v>0</v>
      </c>
      <c r="X32" s="2">
        <f t="shared" si="0"/>
        <v>0</v>
      </c>
      <c r="Y32" s="2">
        <f t="shared" si="1"/>
        <v>0</v>
      </c>
      <c r="Z32" s="2">
        <f t="shared" si="3"/>
        <v>0</v>
      </c>
    </row>
    <row r="33" spans="2:26">
      <c r="B33" s="8"/>
      <c r="C33" s="8"/>
      <c r="D33" s="8"/>
      <c r="E33" s="8"/>
      <c r="F33" s="1">
        <f t="shared" si="4"/>
        <v>0</v>
      </c>
      <c r="G33" s="1">
        <f t="shared" si="5"/>
        <v>0</v>
      </c>
      <c r="H33" s="1">
        <f t="shared" si="6"/>
        <v>0</v>
      </c>
      <c r="I33" s="1">
        <f t="shared" si="7"/>
        <v>0</v>
      </c>
      <c r="J33" s="1">
        <f t="shared" si="7"/>
        <v>0</v>
      </c>
      <c r="K33" s="1">
        <f t="shared" si="8"/>
        <v>0</v>
      </c>
      <c r="L33" s="1">
        <f t="shared" si="9"/>
        <v>0</v>
      </c>
      <c r="U33" s="2">
        <f t="shared" si="10"/>
        <v>0</v>
      </c>
      <c r="V33" s="2">
        <f t="shared" si="11"/>
        <v>0</v>
      </c>
      <c r="W33" s="2">
        <f t="shared" si="2"/>
        <v>0</v>
      </c>
      <c r="X33" s="2">
        <f t="shared" si="0"/>
        <v>0</v>
      </c>
      <c r="Y33" s="2">
        <f t="shared" si="1"/>
        <v>0</v>
      </c>
      <c r="Z33" s="2">
        <f t="shared" si="3"/>
        <v>0</v>
      </c>
    </row>
    <row r="34" spans="2:26">
      <c r="B34" s="8"/>
      <c r="C34" s="8"/>
      <c r="D34" s="8"/>
      <c r="E34" s="8"/>
      <c r="F34" s="1">
        <f t="shared" si="4"/>
        <v>0</v>
      </c>
      <c r="G34" s="1">
        <f t="shared" si="5"/>
        <v>0</v>
      </c>
      <c r="H34" s="1">
        <f t="shared" si="6"/>
        <v>0</v>
      </c>
      <c r="I34" s="1">
        <f t="shared" si="7"/>
        <v>0</v>
      </c>
      <c r="J34" s="1">
        <f t="shared" si="7"/>
        <v>0</v>
      </c>
      <c r="K34" s="1">
        <f t="shared" si="8"/>
        <v>0</v>
      </c>
      <c r="L34" s="1">
        <f t="shared" si="9"/>
        <v>0</v>
      </c>
      <c r="U34" s="2">
        <f t="shared" si="10"/>
        <v>0</v>
      </c>
      <c r="V34" s="2">
        <f t="shared" si="11"/>
        <v>0</v>
      </c>
      <c r="W34" s="2">
        <f t="shared" si="2"/>
        <v>0</v>
      </c>
      <c r="X34" s="2">
        <f t="shared" si="0"/>
        <v>0</v>
      </c>
      <c r="Y34" s="2">
        <f t="shared" si="1"/>
        <v>0</v>
      </c>
      <c r="Z34" s="2">
        <f t="shared" si="3"/>
        <v>0</v>
      </c>
    </row>
    <row r="35" spans="2:26">
      <c r="B35" s="8"/>
      <c r="C35" s="8"/>
      <c r="D35" s="8"/>
      <c r="E35" s="8"/>
      <c r="F35" s="1">
        <f t="shared" si="4"/>
        <v>0</v>
      </c>
      <c r="G35" s="1">
        <f t="shared" si="5"/>
        <v>0</v>
      </c>
      <c r="H35" s="1">
        <f t="shared" si="6"/>
        <v>0</v>
      </c>
      <c r="I35" s="1">
        <f t="shared" si="7"/>
        <v>0</v>
      </c>
      <c r="J35" s="1">
        <f t="shared" si="7"/>
        <v>0</v>
      </c>
      <c r="K35" s="1">
        <f t="shared" si="8"/>
        <v>0</v>
      </c>
      <c r="L35" s="1">
        <f t="shared" si="9"/>
        <v>0</v>
      </c>
      <c r="U35" s="2">
        <f t="shared" si="10"/>
        <v>0</v>
      </c>
      <c r="V35" s="2">
        <f t="shared" si="11"/>
        <v>0</v>
      </c>
      <c r="W35" s="2">
        <f t="shared" si="2"/>
        <v>0</v>
      </c>
      <c r="X35" s="2">
        <f t="shared" si="0"/>
        <v>0</v>
      </c>
      <c r="Y35" s="2">
        <f t="shared" si="1"/>
        <v>0</v>
      </c>
      <c r="Z35" s="2">
        <f t="shared" si="3"/>
        <v>0</v>
      </c>
    </row>
  </sheetData>
  <mergeCells count="5">
    <mergeCell ref="B2:E2"/>
    <mergeCell ref="F2:J2"/>
    <mergeCell ref="U2:V2"/>
    <mergeCell ref="R18:S18"/>
    <mergeCell ref="N20:O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80B6-C6D9-4438-A108-DEE3BF26AAE1}">
  <dimension ref="B1:AE39"/>
  <sheetViews>
    <sheetView topLeftCell="I1" workbookViewId="0">
      <selection activeCell="L11" sqref="L11"/>
    </sheetView>
  </sheetViews>
  <sheetFormatPr defaultRowHeight="15"/>
  <cols>
    <col min="1" max="13" width="9.140625" style="2"/>
    <col min="14" max="14" width="13.28515625" style="2" customWidth="1"/>
    <col min="15" max="15" width="12" style="2" bestFit="1" customWidth="1"/>
    <col min="16" max="16" width="9.140625" style="2"/>
    <col min="17" max="17" width="12.7109375" style="2" bestFit="1" customWidth="1"/>
    <col min="18" max="18" width="7" style="2" customWidth="1"/>
    <col min="19" max="19" width="12.7109375" style="2" customWidth="1"/>
    <col min="20" max="20" width="9.140625" style="2"/>
    <col min="21" max="21" width="11" style="2" bestFit="1" customWidth="1"/>
    <col min="22" max="22" width="9.140625" style="2"/>
    <col min="23" max="23" width="10" style="2" bestFit="1" customWidth="1"/>
    <col min="24" max="24" width="12.7109375" style="2" bestFit="1" customWidth="1"/>
    <col min="25" max="16384" width="9.140625" style="2"/>
  </cols>
  <sheetData>
    <row r="1" spans="2:31">
      <c r="T1" s="2" t="s">
        <v>114</v>
      </c>
      <c r="U1" s="2">
        <f>10.28</f>
        <v>10.28</v>
      </c>
    </row>
    <row r="2" spans="2:31" ht="15.75" customHeight="1">
      <c r="B2" s="19" t="s">
        <v>12</v>
      </c>
      <c r="C2" s="19"/>
      <c r="D2" s="19"/>
      <c r="E2" s="19"/>
      <c r="F2" s="20" t="s">
        <v>0</v>
      </c>
      <c r="G2" s="20"/>
      <c r="H2" s="20"/>
      <c r="I2" s="20"/>
      <c r="J2" s="20"/>
      <c r="K2" s="4"/>
      <c r="L2" s="4"/>
      <c r="T2" s="2" t="s">
        <v>110</v>
      </c>
      <c r="U2" s="2">
        <v>2700</v>
      </c>
      <c r="Y2" s="21" t="s">
        <v>9</v>
      </c>
      <c r="Z2" s="22"/>
      <c r="AA2" s="11"/>
      <c r="AB2" s="2" t="s">
        <v>17</v>
      </c>
      <c r="AC2" s="2" t="s">
        <v>18</v>
      </c>
    </row>
    <row r="3" spans="2:31">
      <c r="B3" s="5" t="s">
        <v>43</v>
      </c>
      <c r="C3" s="5" t="s">
        <v>1</v>
      </c>
      <c r="D3" s="5" t="s">
        <v>44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45</v>
      </c>
      <c r="J3" s="5" t="s">
        <v>6</v>
      </c>
      <c r="K3" s="5" t="s">
        <v>46</v>
      </c>
      <c r="L3" s="5" t="s">
        <v>8</v>
      </c>
      <c r="N3" s="9" t="s">
        <v>7</v>
      </c>
      <c r="O3" s="6">
        <f>SUM(H4:H35)</f>
        <v>38.079999999999984</v>
      </c>
      <c r="P3" s="3" t="s">
        <v>16</v>
      </c>
      <c r="Q3" s="3">
        <f>O3/1000^2</f>
        <v>3.8079999999999981E-5</v>
      </c>
      <c r="R3" s="3"/>
      <c r="S3" s="3"/>
      <c r="T3" s="3" t="s">
        <v>111</v>
      </c>
      <c r="U3" s="3">
        <v>9.81</v>
      </c>
      <c r="Y3" s="6" t="s">
        <v>48</v>
      </c>
      <c r="Z3" s="6" t="s">
        <v>10</v>
      </c>
      <c r="AA3" s="12" t="s">
        <v>33</v>
      </c>
      <c r="AD3" s="2" t="s">
        <v>19</v>
      </c>
      <c r="AE3" s="12"/>
    </row>
    <row r="4" spans="2:31">
      <c r="B4" s="7">
        <v>0</v>
      </c>
      <c r="C4" s="7">
        <v>12.7</v>
      </c>
      <c r="D4" s="7">
        <v>12.7</v>
      </c>
      <c r="E4" s="7">
        <f>12.7-1.6</f>
        <v>11.1</v>
      </c>
      <c r="F4" s="1">
        <f>ABS(C4-E4)</f>
        <v>1.5999999999999996</v>
      </c>
      <c r="G4" s="1">
        <f>ABS(D4-B4)</f>
        <v>12.7</v>
      </c>
      <c r="H4" s="1">
        <f>F4*G4</f>
        <v>20.319999999999993</v>
      </c>
      <c r="I4" s="1">
        <f>(B4+D4)/2</f>
        <v>6.35</v>
      </c>
      <c r="J4" s="1">
        <f>(C4+E4)/2</f>
        <v>11.899999999999999</v>
      </c>
      <c r="K4" s="1">
        <f>H4*I4</f>
        <v>129.03199999999995</v>
      </c>
      <c r="L4" s="1">
        <f>H4*J4</f>
        <v>241.80799999999988</v>
      </c>
      <c r="N4" s="6" t="s">
        <v>47</v>
      </c>
      <c r="O4" s="6">
        <f>SUM(K4:K35)/O3</f>
        <v>8.9384453781512612</v>
      </c>
      <c r="P4" s="2" t="s">
        <v>15</v>
      </c>
      <c r="T4" s="2" t="s">
        <v>112</v>
      </c>
      <c r="U4" s="2">
        <f>70/1000</f>
        <v>7.0000000000000007E-2</v>
      </c>
      <c r="Y4" s="2">
        <f>(F4^3*G4/12) + H4*ABS(J4-$O$5)^2</f>
        <v>182.55770674622758</v>
      </c>
      <c r="Z4" s="2">
        <f>(G4^3*F4/12) + H4*(I4-$O$4)^2</f>
        <v>409.26273867900102</v>
      </c>
      <c r="AA4" s="2">
        <f>H4*(I4-$O$4)*(J4-$O$5)</f>
        <v>-155.76951062071879</v>
      </c>
      <c r="AB4" s="2">
        <f t="shared" ref="AB4:AB35" si="0">MAX(F4:G4)</f>
        <v>12.7</v>
      </c>
      <c r="AC4" s="2">
        <f t="shared" ref="AC4:AC35" si="1">MIN(F4:G4)</f>
        <v>1.5999999999999996</v>
      </c>
      <c r="AD4" s="2">
        <f>AB4^3*AC4</f>
        <v>3277.4127999999992</v>
      </c>
    </row>
    <row r="5" spans="2:31">
      <c r="B5" s="8">
        <v>11.1</v>
      </c>
      <c r="C5" s="8">
        <v>0</v>
      </c>
      <c r="D5" s="8">
        <v>12.7</v>
      </c>
      <c r="E5" s="8">
        <v>11.1</v>
      </c>
      <c r="F5" s="1">
        <f>ABS(C5-E5)</f>
        <v>11.1</v>
      </c>
      <c r="G5" s="1">
        <f>ABS(D5-B5)</f>
        <v>1.5999999999999996</v>
      </c>
      <c r="H5" s="1">
        <f>F5*G5</f>
        <v>17.759999999999994</v>
      </c>
      <c r="I5" s="1">
        <f>(B5+D5)/2</f>
        <v>11.899999999999999</v>
      </c>
      <c r="J5" s="1">
        <f>(C5+E5)/2</f>
        <v>5.55</v>
      </c>
      <c r="K5" s="1">
        <f>H5*I5</f>
        <v>211.34399999999991</v>
      </c>
      <c r="L5" s="1">
        <f>H5*J5</f>
        <v>98.567999999999969</v>
      </c>
      <c r="N5" s="6" t="s">
        <v>14</v>
      </c>
      <c r="O5" s="6">
        <f>SUM(L4:L35)/O3</f>
        <v>8.9384453781512612</v>
      </c>
      <c r="P5" s="2" t="s">
        <v>15</v>
      </c>
      <c r="T5" s="12" t="s">
        <v>113</v>
      </c>
      <c r="U5" s="2">
        <f>312/1000</f>
        <v>0.312</v>
      </c>
      <c r="Y5" s="2">
        <f>(F5^3*G5/12) + H5*ABS(J5-$O$5)^2</f>
        <v>386.26334255349195</v>
      </c>
      <c r="Z5" s="2">
        <f>(G5^3*F5/12) + H5*(I5-$O$4)^2</f>
        <v>159.5583106207186</v>
      </c>
      <c r="AA5" s="2">
        <f t="shared" ref="AA5:AA35" si="2">H5*(I5-$O$4)*(J5-$O$5)</f>
        <v>-178.22277341289444</v>
      </c>
      <c r="AB5" s="2">
        <f t="shared" si="0"/>
        <v>11.1</v>
      </c>
      <c r="AC5" s="2">
        <f t="shared" si="1"/>
        <v>1.5999999999999996</v>
      </c>
      <c r="AD5" s="2">
        <f t="shared" ref="AD5:AD35" si="3">AB5^3*AC5</f>
        <v>2188.2095999999992</v>
      </c>
    </row>
    <row r="6" spans="2:31">
      <c r="B6" s="8"/>
      <c r="C6" s="8"/>
      <c r="D6" s="8"/>
      <c r="E6" s="8"/>
      <c r="F6" s="1">
        <f t="shared" ref="F6:F35" si="4">ABS(C6-E6)</f>
        <v>0</v>
      </c>
      <c r="G6" s="1">
        <f t="shared" ref="G6:G35" si="5">ABS(D6-B6)</f>
        <v>0</v>
      </c>
      <c r="H6" s="1">
        <f t="shared" ref="H6:H35" si="6">F6*G6</f>
        <v>0</v>
      </c>
      <c r="I6" s="1">
        <f t="shared" ref="I6:I35" si="7">(B6+D6)/2</f>
        <v>0</v>
      </c>
      <c r="J6" s="1">
        <f t="shared" ref="J6:J35" si="8">(C6+E6)/2</f>
        <v>0</v>
      </c>
      <c r="K6" s="1">
        <f t="shared" ref="K6:K35" si="9">H6*I6</f>
        <v>0</v>
      </c>
      <c r="L6" s="1">
        <f t="shared" ref="L6:L35" si="10">H6*J6</f>
        <v>0</v>
      </c>
      <c r="Y6" s="2">
        <f t="shared" ref="Y6:Y35" si="11">(F6^3*G6/12) + H6*ABS(J6-$O$5)^2</f>
        <v>0</v>
      </c>
      <c r="Z6" s="2">
        <f t="shared" ref="Z6:Z35" si="12">(G6^3*F6/12) + H6*(I6-$O$4)^2</f>
        <v>0</v>
      </c>
      <c r="AA6" s="2">
        <f t="shared" si="2"/>
        <v>0</v>
      </c>
      <c r="AB6" s="2">
        <f t="shared" si="0"/>
        <v>0</v>
      </c>
      <c r="AC6" s="2">
        <f t="shared" si="1"/>
        <v>0</v>
      </c>
      <c r="AD6" s="2">
        <f t="shared" si="3"/>
        <v>0</v>
      </c>
    </row>
    <row r="7" spans="2:31">
      <c r="B7" s="8"/>
      <c r="C7" s="8"/>
      <c r="D7" s="8"/>
      <c r="E7" s="8"/>
      <c r="F7" s="1">
        <f t="shared" si="4"/>
        <v>0</v>
      </c>
      <c r="G7" s="1">
        <f t="shared" si="5"/>
        <v>0</v>
      </c>
      <c r="H7" s="1">
        <f t="shared" si="6"/>
        <v>0</v>
      </c>
      <c r="I7" s="1">
        <f t="shared" si="7"/>
        <v>0</v>
      </c>
      <c r="J7" s="1">
        <f t="shared" si="8"/>
        <v>0</v>
      </c>
      <c r="K7" s="1">
        <f t="shared" si="9"/>
        <v>0</v>
      </c>
      <c r="L7" s="1">
        <f t="shared" si="10"/>
        <v>0</v>
      </c>
      <c r="T7" s="12" t="s">
        <v>108</v>
      </c>
      <c r="U7" s="2">
        <f>Q3*U2*U3*(U4+U5)^2/2 + U1*(U4+U5)</f>
        <v>4.0005512943315198</v>
      </c>
      <c r="Y7" s="2">
        <f t="shared" si="11"/>
        <v>0</v>
      </c>
      <c r="Z7" s="2">
        <f t="shared" si="12"/>
        <v>0</v>
      </c>
      <c r="AA7" s="2">
        <f t="shared" si="2"/>
        <v>0</v>
      </c>
      <c r="AB7" s="2">
        <f t="shared" si="0"/>
        <v>0</v>
      </c>
      <c r="AC7" s="2">
        <f t="shared" si="1"/>
        <v>0</v>
      </c>
      <c r="AD7" s="2">
        <f t="shared" si="3"/>
        <v>0</v>
      </c>
    </row>
    <row r="8" spans="2:31">
      <c r="B8" s="8"/>
      <c r="C8" s="8"/>
      <c r="D8" s="8"/>
      <c r="E8" s="8"/>
      <c r="F8" s="1">
        <f t="shared" si="4"/>
        <v>0</v>
      </c>
      <c r="G8" s="1">
        <f t="shared" si="5"/>
        <v>0</v>
      </c>
      <c r="H8" s="1">
        <f t="shared" si="6"/>
        <v>0</v>
      </c>
      <c r="I8" s="1">
        <f t="shared" si="7"/>
        <v>0</v>
      </c>
      <c r="J8" s="1">
        <f t="shared" si="8"/>
        <v>0</v>
      </c>
      <c r="K8" s="1">
        <f t="shared" si="9"/>
        <v>0</v>
      </c>
      <c r="L8" s="1">
        <f t="shared" si="10"/>
        <v>0</v>
      </c>
      <c r="T8" s="12" t="s">
        <v>109</v>
      </c>
      <c r="U8" s="2">
        <f>U1+(U5+U4)*Q3*U3*U2-U7</f>
        <v>6.66474344038848</v>
      </c>
      <c r="Y8" s="2">
        <f t="shared" si="11"/>
        <v>0</v>
      </c>
      <c r="Z8" s="2">
        <f t="shared" si="12"/>
        <v>0</v>
      </c>
      <c r="AA8" s="2">
        <f t="shared" si="2"/>
        <v>0</v>
      </c>
      <c r="AB8" s="2">
        <f t="shared" si="0"/>
        <v>0</v>
      </c>
      <c r="AC8" s="2">
        <f t="shared" si="1"/>
        <v>0</v>
      </c>
      <c r="AD8" s="2">
        <f t="shared" si="3"/>
        <v>0</v>
      </c>
    </row>
    <row r="9" spans="2:31">
      <c r="B9" s="8"/>
      <c r="C9" s="8"/>
      <c r="D9" s="8"/>
      <c r="E9" s="8"/>
      <c r="F9" s="1">
        <f t="shared" si="4"/>
        <v>0</v>
      </c>
      <c r="G9" s="1">
        <f t="shared" si="5"/>
        <v>0</v>
      </c>
      <c r="H9" s="1">
        <f t="shared" si="6"/>
        <v>0</v>
      </c>
      <c r="I9" s="1">
        <f t="shared" si="7"/>
        <v>0</v>
      </c>
      <c r="J9" s="1">
        <f t="shared" si="8"/>
        <v>0</v>
      </c>
      <c r="K9" s="1">
        <f t="shared" si="9"/>
        <v>0</v>
      </c>
      <c r="L9" s="1">
        <f t="shared" si="10"/>
        <v>0</v>
      </c>
      <c r="M9" s="2" t="s">
        <v>34</v>
      </c>
      <c r="N9" s="2" t="s">
        <v>39</v>
      </c>
      <c r="O9" s="2">
        <f>SUM(AA4:AA35)</f>
        <v>-333.99228403361326</v>
      </c>
      <c r="P9" s="2" t="s">
        <v>13</v>
      </c>
      <c r="Q9" s="2">
        <f>O9*1000^-4</f>
        <v>-3.3399228403361326E-10</v>
      </c>
      <c r="R9" s="12" t="s">
        <v>64</v>
      </c>
      <c r="Y9" s="2">
        <f t="shared" si="11"/>
        <v>0</v>
      </c>
      <c r="Z9" s="2">
        <f t="shared" si="12"/>
        <v>0</v>
      </c>
      <c r="AA9" s="2">
        <f t="shared" si="2"/>
        <v>0</v>
      </c>
      <c r="AB9" s="2">
        <f t="shared" si="0"/>
        <v>0</v>
      </c>
      <c r="AC9" s="2">
        <f t="shared" si="1"/>
        <v>0</v>
      </c>
      <c r="AD9" s="2">
        <f t="shared" si="3"/>
        <v>0</v>
      </c>
    </row>
    <row r="10" spans="2:31">
      <c r="B10" s="8"/>
      <c r="C10" s="8"/>
      <c r="D10" s="8"/>
      <c r="E10" s="8"/>
      <c r="F10" s="1">
        <f t="shared" si="4"/>
        <v>0</v>
      </c>
      <c r="G10" s="1">
        <f t="shared" si="5"/>
        <v>0</v>
      </c>
      <c r="H10" s="1">
        <f t="shared" si="6"/>
        <v>0</v>
      </c>
      <c r="I10" s="1">
        <f t="shared" si="7"/>
        <v>0</v>
      </c>
      <c r="J10" s="1">
        <f t="shared" si="8"/>
        <v>0</v>
      </c>
      <c r="K10" s="1">
        <f t="shared" si="9"/>
        <v>0</v>
      </c>
      <c r="L10" s="1">
        <f t="shared" si="10"/>
        <v>0</v>
      </c>
      <c r="N10" s="6" t="s">
        <v>49</v>
      </c>
      <c r="O10" s="6">
        <f>SUM(Y4:Y35)</f>
        <v>568.82104929971956</v>
      </c>
      <c r="P10" s="2" t="s">
        <v>13</v>
      </c>
      <c r="Q10" s="2">
        <f t="shared" ref="Q10:Q12" si="13">O10*1000^-4</f>
        <v>5.6882104929971957E-10</v>
      </c>
      <c r="R10" s="12" t="s">
        <v>64</v>
      </c>
      <c r="T10" s="12" t="s">
        <v>107</v>
      </c>
      <c r="U10" s="2">
        <f>-((U8*U4^2)/6 + (U2*Q3*U3/24) *U4^3)</f>
        <v>-5.4572887413705928E-3</v>
      </c>
      <c r="W10" s="2" t="s">
        <v>84</v>
      </c>
      <c r="X10" s="2">
        <f>U5+U4</f>
        <v>0.38200000000000001</v>
      </c>
      <c r="Y10" s="2">
        <f t="shared" si="11"/>
        <v>0</v>
      </c>
      <c r="Z10" s="2">
        <f t="shared" si="12"/>
        <v>0</v>
      </c>
      <c r="AA10" s="2">
        <f t="shared" si="2"/>
        <v>0</v>
      </c>
      <c r="AB10" s="2">
        <f t="shared" si="0"/>
        <v>0</v>
      </c>
      <c r="AC10" s="2">
        <f t="shared" si="1"/>
        <v>0</v>
      </c>
      <c r="AD10" s="2">
        <f t="shared" si="3"/>
        <v>0</v>
      </c>
    </row>
    <row r="11" spans="2:31">
      <c r="B11" s="8"/>
      <c r="C11" s="8"/>
      <c r="D11" s="8"/>
      <c r="E11" s="8"/>
      <c r="F11" s="1">
        <f t="shared" si="4"/>
        <v>0</v>
      </c>
      <c r="G11" s="1">
        <f t="shared" si="5"/>
        <v>0</v>
      </c>
      <c r="H11" s="1">
        <f t="shared" si="6"/>
        <v>0</v>
      </c>
      <c r="I11" s="1">
        <f t="shared" si="7"/>
        <v>0</v>
      </c>
      <c r="J11" s="1">
        <f t="shared" si="8"/>
        <v>0</v>
      </c>
      <c r="K11" s="1">
        <f t="shared" si="9"/>
        <v>0</v>
      </c>
      <c r="L11" s="1">
        <f t="shared" si="10"/>
        <v>0</v>
      </c>
      <c r="N11" s="6" t="s">
        <v>11</v>
      </c>
      <c r="O11" s="6">
        <f>SUM(Z4:Z35)</f>
        <v>568.82104929971956</v>
      </c>
      <c r="P11" s="2" t="s">
        <v>13</v>
      </c>
      <c r="Q11" s="2">
        <f t="shared" si="13"/>
        <v>5.6882104929971957E-10</v>
      </c>
      <c r="R11" s="12" t="s">
        <v>64</v>
      </c>
      <c r="T11" s="12" t="s">
        <v>115</v>
      </c>
      <c r="U11" s="2">
        <f>U8/6</f>
        <v>1.1107905733980801</v>
      </c>
      <c r="W11" s="2" t="s">
        <v>32</v>
      </c>
      <c r="X11" s="2">
        <f>(U11*X10^3 + U12*X10^4 + (X10-U4)^3*U13+(U10*X10))*U14</f>
        <v>3.1534161264779276E-3</v>
      </c>
      <c r="Y11" s="2">
        <f t="shared" si="11"/>
        <v>0</v>
      </c>
      <c r="Z11" s="2">
        <f t="shared" si="12"/>
        <v>0</v>
      </c>
      <c r="AA11" s="2">
        <f t="shared" si="2"/>
        <v>0</v>
      </c>
      <c r="AB11" s="2">
        <f t="shared" si="0"/>
        <v>0</v>
      </c>
      <c r="AC11" s="2">
        <f t="shared" si="1"/>
        <v>0</v>
      </c>
      <c r="AD11" s="2">
        <f t="shared" si="3"/>
        <v>0</v>
      </c>
    </row>
    <row r="12" spans="2:31">
      <c r="B12" s="8"/>
      <c r="C12" s="8"/>
      <c r="D12" s="8"/>
      <c r="E12" s="8"/>
      <c r="F12" s="1">
        <f t="shared" si="4"/>
        <v>0</v>
      </c>
      <c r="G12" s="1">
        <f t="shared" si="5"/>
        <v>0</v>
      </c>
      <c r="H12" s="1">
        <f t="shared" si="6"/>
        <v>0</v>
      </c>
      <c r="I12" s="1">
        <f t="shared" si="7"/>
        <v>0</v>
      </c>
      <c r="J12" s="1">
        <f t="shared" si="8"/>
        <v>0</v>
      </c>
      <c r="K12" s="1">
        <f t="shared" si="9"/>
        <v>0</v>
      </c>
      <c r="L12" s="1">
        <f t="shared" si="10"/>
        <v>0</v>
      </c>
      <c r="M12" s="2" t="s">
        <v>20</v>
      </c>
      <c r="N12" s="2" t="s">
        <v>21</v>
      </c>
      <c r="O12" s="2">
        <f>SUM(AD4:AD35)</f>
        <v>5465.6223999999984</v>
      </c>
      <c r="P12" s="2" t="s">
        <v>13</v>
      </c>
      <c r="Q12" s="2">
        <f t="shared" si="13"/>
        <v>5.4656223999999979E-9</v>
      </c>
      <c r="R12" s="12" t="s">
        <v>64</v>
      </c>
      <c r="T12" s="12" t="s">
        <v>116</v>
      </c>
      <c r="U12" s="2">
        <f>Q3*U2*U3/24</f>
        <v>4.202603999999998E-2</v>
      </c>
      <c r="X12" s="2">
        <f>X11*1000</f>
        <v>3.1534161264779277</v>
      </c>
      <c r="Y12" s="2">
        <f t="shared" si="11"/>
        <v>0</v>
      </c>
      <c r="Z12" s="2">
        <f t="shared" si="12"/>
        <v>0</v>
      </c>
      <c r="AA12" s="2">
        <f t="shared" si="2"/>
        <v>0</v>
      </c>
      <c r="AB12" s="2">
        <f t="shared" si="0"/>
        <v>0</v>
      </c>
      <c r="AC12" s="2">
        <f t="shared" si="1"/>
        <v>0</v>
      </c>
      <c r="AD12" s="2">
        <f t="shared" si="3"/>
        <v>0</v>
      </c>
    </row>
    <row r="13" spans="2:31">
      <c r="B13" s="8"/>
      <c r="C13" s="8"/>
      <c r="D13" s="8"/>
      <c r="E13" s="8"/>
      <c r="F13" s="1">
        <f t="shared" si="4"/>
        <v>0</v>
      </c>
      <c r="G13" s="1">
        <f t="shared" si="5"/>
        <v>0</v>
      </c>
      <c r="H13" s="1">
        <f t="shared" si="6"/>
        <v>0</v>
      </c>
      <c r="I13" s="1">
        <f t="shared" si="7"/>
        <v>0</v>
      </c>
      <c r="J13" s="1">
        <f t="shared" si="8"/>
        <v>0</v>
      </c>
      <c r="K13" s="1">
        <f t="shared" si="9"/>
        <v>0</v>
      </c>
      <c r="L13" s="1">
        <f t="shared" si="10"/>
        <v>0</v>
      </c>
      <c r="T13" s="12" t="s">
        <v>117</v>
      </c>
      <c r="U13" s="2">
        <f>U7/6</f>
        <v>0.66675854905525334</v>
      </c>
      <c r="X13" s="2">
        <f>(U11*X10^3 + U12*X10^4 +(U10*X10))*U14</f>
        <v>2.3648473934940223E-3</v>
      </c>
      <c r="Y13" s="2">
        <f t="shared" si="11"/>
        <v>0</v>
      </c>
      <c r="Z13" s="2">
        <f t="shared" si="12"/>
        <v>0</v>
      </c>
      <c r="AA13" s="2">
        <f t="shared" si="2"/>
        <v>0</v>
      </c>
      <c r="AB13" s="2">
        <f t="shared" si="0"/>
        <v>0</v>
      </c>
      <c r="AC13" s="2">
        <f t="shared" si="1"/>
        <v>0</v>
      </c>
      <c r="AD13" s="2">
        <f t="shared" si="3"/>
        <v>0</v>
      </c>
    </row>
    <row r="14" spans="2:31">
      <c r="B14" s="8"/>
      <c r="C14" s="8"/>
      <c r="D14" s="8"/>
      <c r="E14" s="8"/>
      <c r="F14" s="1">
        <f t="shared" si="4"/>
        <v>0</v>
      </c>
      <c r="G14" s="1">
        <f t="shared" si="5"/>
        <v>0</v>
      </c>
      <c r="H14" s="1">
        <f t="shared" si="6"/>
        <v>0</v>
      </c>
      <c r="I14" s="1">
        <f t="shared" si="7"/>
        <v>0</v>
      </c>
      <c r="J14" s="1">
        <f t="shared" si="8"/>
        <v>0</v>
      </c>
      <c r="K14" s="1">
        <f t="shared" si="9"/>
        <v>0</v>
      </c>
      <c r="L14" s="1">
        <f t="shared" si="10"/>
        <v>0</v>
      </c>
      <c r="T14" s="12" t="s">
        <v>118</v>
      </c>
      <c r="U14" s="2">
        <f>Q11/(O23*(Q10*Q11-Q9^2))</f>
        <v>3.8941007021137432E-2</v>
      </c>
      <c r="X14" s="2">
        <f>X13*1000</f>
        <v>2.3648473934940224</v>
      </c>
      <c r="Y14" s="2">
        <f t="shared" si="11"/>
        <v>0</v>
      </c>
      <c r="Z14" s="2">
        <f t="shared" si="12"/>
        <v>0</v>
      </c>
      <c r="AA14" s="2">
        <f t="shared" si="2"/>
        <v>0</v>
      </c>
      <c r="AB14" s="2">
        <f t="shared" si="0"/>
        <v>0</v>
      </c>
      <c r="AC14" s="2">
        <f t="shared" si="1"/>
        <v>0</v>
      </c>
      <c r="AD14" s="2">
        <f t="shared" si="3"/>
        <v>0</v>
      </c>
    </row>
    <row r="15" spans="2:31">
      <c r="B15" s="8"/>
      <c r="C15" s="8"/>
      <c r="D15" s="8"/>
      <c r="E15" s="8"/>
      <c r="F15" s="1">
        <f t="shared" si="4"/>
        <v>0</v>
      </c>
      <c r="G15" s="1">
        <f t="shared" si="5"/>
        <v>0</v>
      </c>
      <c r="H15" s="1">
        <f t="shared" si="6"/>
        <v>0</v>
      </c>
      <c r="I15" s="1">
        <f t="shared" si="7"/>
        <v>0</v>
      </c>
      <c r="J15" s="1">
        <f t="shared" si="8"/>
        <v>0</v>
      </c>
      <c r="K15" s="1">
        <f t="shared" si="9"/>
        <v>0</v>
      </c>
      <c r="L15" s="1">
        <f t="shared" si="10"/>
        <v>0</v>
      </c>
      <c r="N15" s="12"/>
      <c r="P15" s="12"/>
      <c r="Q15" s="12"/>
      <c r="R15" s="12"/>
      <c r="S15" s="12"/>
      <c r="T15" s="12"/>
      <c r="U15" s="12"/>
      <c r="Y15" s="2">
        <f t="shared" si="11"/>
        <v>0</v>
      </c>
      <c r="Z15" s="2">
        <f t="shared" si="12"/>
        <v>0</v>
      </c>
      <c r="AA15" s="2">
        <f t="shared" si="2"/>
        <v>0</v>
      </c>
      <c r="AB15" s="2">
        <f t="shared" si="0"/>
        <v>0</v>
      </c>
      <c r="AC15" s="2">
        <f t="shared" si="1"/>
        <v>0</v>
      </c>
      <c r="AD15" s="2">
        <f t="shared" si="3"/>
        <v>0</v>
      </c>
    </row>
    <row r="16" spans="2:31">
      <c r="B16" s="8"/>
      <c r="C16" s="8"/>
      <c r="D16" s="8"/>
      <c r="E16" s="8"/>
      <c r="F16" s="1">
        <f t="shared" si="4"/>
        <v>0</v>
      </c>
      <c r="G16" s="1">
        <f t="shared" si="5"/>
        <v>0</v>
      </c>
      <c r="H16" s="1">
        <f t="shared" si="6"/>
        <v>0</v>
      </c>
      <c r="I16" s="1">
        <f t="shared" si="7"/>
        <v>0</v>
      </c>
      <c r="J16" s="1">
        <f t="shared" si="8"/>
        <v>0</v>
      </c>
      <c r="K16" s="1">
        <f t="shared" si="9"/>
        <v>0</v>
      </c>
      <c r="L16" s="1">
        <f t="shared" si="10"/>
        <v>0</v>
      </c>
      <c r="N16" s="13"/>
      <c r="O16" s="13"/>
      <c r="Y16" s="2">
        <f t="shared" si="11"/>
        <v>0</v>
      </c>
      <c r="Z16" s="2">
        <f t="shared" si="12"/>
        <v>0</v>
      </c>
      <c r="AA16" s="2">
        <f t="shared" si="2"/>
        <v>0</v>
      </c>
      <c r="AB16" s="2">
        <f t="shared" si="0"/>
        <v>0</v>
      </c>
      <c r="AC16" s="2">
        <f t="shared" si="1"/>
        <v>0</v>
      </c>
      <c r="AD16" s="2">
        <f t="shared" si="3"/>
        <v>0</v>
      </c>
    </row>
    <row r="17" spans="2:30">
      <c r="B17" s="8"/>
      <c r="C17" s="8"/>
      <c r="D17" s="8"/>
      <c r="E17" s="8"/>
      <c r="F17" s="1">
        <f t="shared" si="4"/>
        <v>0</v>
      </c>
      <c r="G17" s="1">
        <f t="shared" si="5"/>
        <v>0</v>
      </c>
      <c r="H17" s="1">
        <f t="shared" si="6"/>
        <v>0</v>
      </c>
      <c r="I17" s="1">
        <f t="shared" si="7"/>
        <v>0</v>
      </c>
      <c r="J17" s="1">
        <f t="shared" si="8"/>
        <v>0</v>
      </c>
      <c r="K17" s="1">
        <f t="shared" si="9"/>
        <v>0</v>
      </c>
      <c r="L17" s="1">
        <f t="shared" si="10"/>
        <v>0</v>
      </c>
      <c r="Y17" s="2">
        <f t="shared" si="11"/>
        <v>0</v>
      </c>
      <c r="Z17" s="2">
        <f t="shared" si="12"/>
        <v>0</v>
      </c>
      <c r="AA17" s="2">
        <f t="shared" si="2"/>
        <v>0</v>
      </c>
      <c r="AB17" s="2">
        <f t="shared" si="0"/>
        <v>0</v>
      </c>
      <c r="AC17" s="2">
        <f t="shared" si="1"/>
        <v>0</v>
      </c>
      <c r="AD17" s="2">
        <f t="shared" si="3"/>
        <v>0</v>
      </c>
    </row>
    <row r="18" spans="2:30">
      <c r="B18" s="8"/>
      <c r="C18" s="8"/>
      <c r="D18" s="8"/>
      <c r="E18" s="8"/>
      <c r="F18" s="1">
        <f t="shared" si="4"/>
        <v>0</v>
      </c>
      <c r="G18" s="1">
        <f t="shared" si="5"/>
        <v>0</v>
      </c>
      <c r="H18" s="1">
        <f t="shared" si="6"/>
        <v>0</v>
      </c>
      <c r="I18" s="1">
        <f t="shared" si="7"/>
        <v>0</v>
      </c>
      <c r="J18" s="1">
        <f t="shared" si="8"/>
        <v>0</v>
      </c>
      <c r="K18" s="1">
        <f t="shared" si="9"/>
        <v>0</v>
      </c>
      <c r="L18" s="1">
        <f t="shared" si="10"/>
        <v>0</v>
      </c>
      <c r="T18" s="23" t="s">
        <v>41</v>
      </c>
      <c r="U18" s="23"/>
      <c r="Y18" s="2">
        <f t="shared" si="11"/>
        <v>0</v>
      </c>
      <c r="Z18" s="2">
        <f t="shared" si="12"/>
        <v>0</v>
      </c>
      <c r="AA18" s="2">
        <f t="shared" si="2"/>
        <v>0</v>
      </c>
      <c r="AB18" s="2">
        <f t="shared" si="0"/>
        <v>0</v>
      </c>
      <c r="AC18" s="2">
        <f t="shared" si="1"/>
        <v>0</v>
      </c>
      <c r="AD18" s="2">
        <f t="shared" si="3"/>
        <v>0</v>
      </c>
    </row>
    <row r="19" spans="2:30">
      <c r="B19" s="8"/>
      <c r="C19" s="8"/>
      <c r="D19" s="8"/>
      <c r="E19" s="8"/>
      <c r="F19" s="1">
        <f t="shared" si="4"/>
        <v>0</v>
      </c>
      <c r="G19" s="1">
        <f t="shared" si="5"/>
        <v>0</v>
      </c>
      <c r="H19" s="1">
        <f t="shared" si="6"/>
        <v>0</v>
      </c>
      <c r="I19" s="1">
        <f t="shared" si="7"/>
        <v>0</v>
      </c>
      <c r="J19" s="1">
        <f t="shared" si="8"/>
        <v>0</v>
      </c>
      <c r="K19" s="1">
        <f t="shared" si="9"/>
        <v>0</v>
      </c>
      <c r="L19" s="1">
        <f t="shared" si="10"/>
        <v>0</v>
      </c>
      <c r="T19" s="2" t="s">
        <v>51</v>
      </c>
      <c r="U19" s="14">
        <v>6.5</v>
      </c>
      <c r="V19" s="2" t="s">
        <v>15</v>
      </c>
      <c r="Y19" s="2">
        <f t="shared" si="11"/>
        <v>0</v>
      </c>
      <c r="Z19" s="2">
        <f t="shared" si="12"/>
        <v>0</v>
      </c>
      <c r="AA19" s="2">
        <f t="shared" si="2"/>
        <v>0</v>
      </c>
      <c r="AB19" s="2">
        <f t="shared" si="0"/>
        <v>0</v>
      </c>
      <c r="AC19" s="2">
        <f t="shared" si="1"/>
        <v>0</v>
      </c>
      <c r="AD19" s="2">
        <f t="shared" si="3"/>
        <v>0</v>
      </c>
    </row>
    <row r="20" spans="2:30">
      <c r="B20" s="8"/>
      <c r="C20" s="8"/>
      <c r="D20" s="8"/>
      <c r="E20" s="8"/>
      <c r="F20" s="1">
        <f t="shared" si="4"/>
        <v>0</v>
      </c>
      <c r="G20" s="1">
        <f t="shared" si="5"/>
        <v>0</v>
      </c>
      <c r="H20" s="1">
        <f t="shared" si="6"/>
        <v>0</v>
      </c>
      <c r="I20" s="1">
        <f t="shared" si="7"/>
        <v>0</v>
      </c>
      <c r="J20" s="1">
        <f t="shared" si="8"/>
        <v>0</v>
      </c>
      <c r="K20" s="1">
        <f t="shared" si="9"/>
        <v>0</v>
      </c>
      <c r="L20" s="1">
        <f t="shared" si="10"/>
        <v>0</v>
      </c>
      <c r="N20" s="23" t="s">
        <v>35</v>
      </c>
      <c r="O20" s="23"/>
      <c r="T20" s="2" t="s">
        <v>42</v>
      </c>
      <c r="U20" s="14">
        <v>12.7</v>
      </c>
      <c r="V20" s="2" t="s">
        <v>15</v>
      </c>
      <c r="Y20" s="2">
        <f t="shared" si="11"/>
        <v>0</v>
      </c>
      <c r="Z20" s="2">
        <f t="shared" si="12"/>
        <v>0</v>
      </c>
      <c r="AA20" s="2">
        <f t="shared" si="2"/>
        <v>0</v>
      </c>
      <c r="AB20" s="2">
        <f t="shared" si="0"/>
        <v>0</v>
      </c>
      <c r="AC20" s="2">
        <f t="shared" si="1"/>
        <v>0</v>
      </c>
      <c r="AD20" s="2">
        <f t="shared" si="3"/>
        <v>0</v>
      </c>
    </row>
    <row r="21" spans="2:30">
      <c r="B21" s="8"/>
      <c r="C21" s="8"/>
      <c r="D21" s="8"/>
      <c r="E21" s="8"/>
      <c r="F21" s="1">
        <f t="shared" si="4"/>
        <v>0</v>
      </c>
      <c r="G21" s="1">
        <f t="shared" si="5"/>
        <v>0</v>
      </c>
      <c r="H21" s="1">
        <f t="shared" si="6"/>
        <v>0</v>
      </c>
      <c r="I21" s="1">
        <f t="shared" si="7"/>
        <v>0</v>
      </c>
      <c r="J21" s="1">
        <f t="shared" si="8"/>
        <v>0</v>
      </c>
      <c r="K21" s="1">
        <f t="shared" si="9"/>
        <v>0</v>
      </c>
      <c r="L21" s="1">
        <f t="shared" si="10"/>
        <v>0</v>
      </c>
      <c r="N21" s="2" t="s">
        <v>50</v>
      </c>
      <c r="O21" s="14">
        <v>-3.21</v>
      </c>
      <c r="P21" s="2" t="s">
        <v>54</v>
      </c>
      <c r="T21" s="2" t="s">
        <v>57</v>
      </c>
      <c r="U21" s="15">
        <v>-2.2000000000000002</v>
      </c>
      <c r="V21" s="2" t="s">
        <v>15</v>
      </c>
      <c r="Y21" s="2">
        <f t="shared" si="11"/>
        <v>0</v>
      </c>
      <c r="Z21" s="2">
        <f t="shared" si="12"/>
        <v>0</v>
      </c>
      <c r="AA21" s="2">
        <f t="shared" si="2"/>
        <v>0</v>
      </c>
      <c r="AB21" s="2">
        <f t="shared" si="0"/>
        <v>0</v>
      </c>
      <c r="AC21" s="2">
        <f t="shared" si="1"/>
        <v>0</v>
      </c>
      <c r="AD21" s="2">
        <f t="shared" si="3"/>
        <v>0</v>
      </c>
    </row>
    <row r="22" spans="2:30">
      <c r="B22" s="8"/>
      <c r="C22" s="8"/>
      <c r="D22" s="8"/>
      <c r="E22" s="8"/>
      <c r="F22" s="1">
        <f t="shared" si="4"/>
        <v>0</v>
      </c>
      <c r="G22" s="1">
        <f t="shared" si="5"/>
        <v>0</v>
      </c>
      <c r="H22" s="1">
        <f t="shared" si="6"/>
        <v>0</v>
      </c>
      <c r="I22" s="1">
        <f t="shared" si="7"/>
        <v>0</v>
      </c>
      <c r="J22" s="1">
        <f t="shared" si="8"/>
        <v>0</v>
      </c>
      <c r="K22" s="1">
        <f t="shared" si="9"/>
        <v>0</v>
      </c>
      <c r="L22" s="1">
        <f t="shared" si="10"/>
        <v>0</v>
      </c>
      <c r="N22" s="2" t="s">
        <v>36</v>
      </c>
      <c r="O22" s="14">
        <v>0</v>
      </c>
      <c r="P22" s="2" t="s">
        <v>54</v>
      </c>
      <c r="T22" s="2" t="s">
        <v>58</v>
      </c>
      <c r="U22" s="15">
        <v>8.9</v>
      </c>
      <c r="V22" s="2" t="s">
        <v>15</v>
      </c>
      <c r="Y22" s="2">
        <f t="shared" si="11"/>
        <v>0</v>
      </c>
      <c r="Z22" s="2">
        <f t="shared" si="12"/>
        <v>0</v>
      </c>
      <c r="AA22" s="2">
        <f t="shared" si="2"/>
        <v>0</v>
      </c>
      <c r="AB22" s="2">
        <f t="shared" si="0"/>
        <v>0</v>
      </c>
      <c r="AC22" s="2">
        <f t="shared" si="1"/>
        <v>0</v>
      </c>
      <c r="AD22" s="2">
        <f t="shared" si="3"/>
        <v>0</v>
      </c>
    </row>
    <row r="23" spans="2:30">
      <c r="B23" s="8"/>
      <c r="C23" s="8"/>
      <c r="D23" s="8"/>
      <c r="E23" s="8"/>
      <c r="F23" s="1">
        <f t="shared" si="4"/>
        <v>0</v>
      </c>
      <c r="G23" s="1">
        <f t="shared" si="5"/>
        <v>0</v>
      </c>
      <c r="H23" s="1">
        <f t="shared" si="6"/>
        <v>0</v>
      </c>
      <c r="I23" s="1">
        <f t="shared" si="7"/>
        <v>0</v>
      </c>
      <c r="J23" s="1">
        <f t="shared" si="8"/>
        <v>0</v>
      </c>
      <c r="K23" s="1">
        <f t="shared" si="9"/>
        <v>0</v>
      </c>
      <c r="L23" s="1">
        <f t="shared" si="10"/>
        <v>0</v>
      </c>
      <c r="N23" s="2" t="s">
        <v>23</v>
      </c>
      <c r="O23" s="14">
        <f>68.9*10^9</f>
        <v>68900000000</v>
      </c>
      <c r="P23" s="2" t="s">
        <v>60</v>
      </c>
      <c r="T23" s="2" t="s">
        <v>55</v>
      </c>
      <c r="U23" s="2">
        <f>1000^4*((O21*O11-O22*O9))/(O11*O10-O9*O9)</f>
        <v>-8612543581.8579445</v>
      </c>
      <c r="V23" s="12" t="s">
        <v>59</v>
      </c>
      <c r="W23" s="12"/>
      <c r="X23" s="12"/>
      <c r="Y23" s="2">
        <f t="shared" si="11"/>
        <v>0</v>
      </c>
      <c r="Z23" s="2">
        <f t="shared" si="12"/>
        <v>0</v>
      </c>
      <c r="AA23" s="2">
        <f t="shared" si="2"/>
        <v>0</v>
      </c>
      <c r="AB23" s="2">
        <f t="shared" si="0"/>
        <v>0</v>
      </c>
      <c r="AC23" s="2">
        <f t="shared" si="1"/>
        <v>0</v>
      </c>
      <c r="AD23" s="2">
        <f t="shared" si="3"/>
        <v>0</v>
      </c>
    </row>
    <row r="24" spans="2:30">
      <c r="B24" s="8"/>
      <c r="C24" s="8"/>
      <c r="D24" s="8"/>
      <c r="E24" s="8"/>
      <c r="F24" s="1">
        <f t="shared" si="4"/>
        <v>0</v>
      </c>
      <c r="G24" s="1">
        <f t="shared" si="5"/>
        <v>0</v>
      </c>
      <c r="H24" s="1">
        <f t="shared" si="6"/>
        <v>0</v>
      </c>
      <c r="I24" s="1">
        <f t="shared" si="7"/>
        <v>0</v>
      </c>
      <c r="J24" s="1">
        <f t="shared" si="8"/>
        <v>0</v>
      </c>
      <c r="K24" s="1">
        <f t="shared" si="9"/>
        <v>0</v>
      </c>
      <c r="L24" s="1">
        <f t="shared" si="10"/>
        <v>0</v>
      </c>
      <c r="N24" s="12" t="s">
        <v>65</v>
      </c>
      <c r="O24" s="2">
        <v>0.3</v>
      </c>
      <c r="P24" s="12" t="s">
        <v>53</v>
      </c>
      <c r="T24" s="12" t="s">
        <v>56</v>
      </c>
      <c r="U24" s="2">
        <f>1000^4*((O22*O10-O21*O9))/(O11*O10-O9*O9)</f>
        <v>-5056991308.2244129</v>
      </c>
      <c r="V24" s="2" t="s">
        <v>59</v>
      </c>
      <c r="Y24" s="2">
        <f t="shared" si="11"/>
        <v>0</v>
      </c>
      <c r="Z24" s="2">
        <f t="shared" si="12"/>
        <v>0</v>
      </c>
      <c r="AA24" s="2">
        <f t="shared" si="2"/>
        <v>0</v>
      </c>
      <c r="AB24" s="2">
        <f t="shared" si="0"/>
        <v>0</v>
      </c>
      <c r="AC24" s="2">
        <f t="shared" si="1"/>
        <v>0</v>
      </c>
      <c r="AD24" s="2">
        <f t="shared" si="3"/>
        <v>0</v>
      </c>
    </row>
    <row r="25" spans="2:30">
      <c r="B25" s="8"/>
      <c r="C25" s="8"/>
      <c r="D25" s="8"/>
      <c r="E25" s="8"/>
      <c r="F25" s="1">
        <f t="shared" si="4"/>
        <v>0</v>
      </c>
      <c r="G25" s="1">
        <f t="shared" si="5"/>
        <v>0</v>
      </c>
      <c r="H25" s="1">
        <f t="shared" si="6"/>
        <v>0</v>
      </c>
      <c r="I25" s="1">
        <f t="shared" si="7"/>
        <v>0</v>
      </c>
      <c r="J25" s="1">
        <f t="shared" si="8"/>
        <v>0</v>
      </c>
      <c r="K25" s="1">
        <f t="shared" si="9"/>
        <v>0</v>
      </c>
      <c r="L25" s="1">
        <f t="shared" si="10"/>
        <v>0</v>
      </c>
      <c r="T25" s="2" t="s">
        <v>52</v>
      </c>
      <c r="U25" s="2">
        <f>((O21*O11-O22*O9)*U22+(O22*O10-O21*O9)*U21)/(O11*O10-O9*O9)</f>
        <v>-6.5526257000442012E-2</v>
      </c>
      <c r="Y25" s="2">
        <f t="shared" si="11"/>
        <v>0</v>
      </c>
      <c r="Z25" s="2">
        <f t="shared" si="12"/>
        <v>0</v>
      </c>
      <c r="AA25" s="2">
        <f t="shared" si="2"/>
        <v>0</v>
      </c>
      <c r="AB25" s="2">
        <f t="shared" si="0"/>
        <v>0</v>
      </c>
      <c r="AC25" s="2">
        <f t="shared" si="1"/>
        <v>0</v>
      </c>
      <c r="AD25" s="2">
        <f t="shared" si="3"/>
        <v>0</v>
      </c>
    </row>
    <row r="26" spans="2:30">
      <c r="B26" s="8"/>
      <c r="C26" s="8"/>
      <c r="D26" s="8"/>
      <c r="E26" s="8"/>
      <c r="F26" s="1">
        <f t="shared" si="4"/>
        <v>0</v>
      </c>
      <c r="G26" s="1">
        <f t="shared" si="5"/>
        <v>0</v>
      </c>
      <c r="H26" s="1">
        <f t="shared" si="6"/>
        <v>0</v>
      </c>
      <c r="I26" s="1">
        <f t="shared" si="7"/>
        <v>0</v>
      </c>
      <c r="J26" s="1">
        <f t="shared" si="8"/>
        <v>0</v>
      </c>
      <c r="K26" s="1">
        <f t="shared" si="9"/>
        <v>0</v>
      </c>
      <c r="L26" s="1">
        <f t="shared" si="10"/>
        <v>0</v>
      </c>
      <c r="U26" s="2">
        <f>((U23*U22/1000)+(U24*U21)/1000)/1000^2</f>
        <v>-65.526257000441987</v>
      </c>
      <c r="V26" s="12" t="s">
        <v>61</v>
      </c>
      <c r="W26" s="12"/>
      <c r="X26" s="12"/>
      <c r="Y26" s="2">
        <f t="shared" si="11"/>
        <v>0</v>
      </c>
      <c r="Z26" s="2">
        <f t="shared" si="12"/>
        <v>0</v>
      </c>
      <c r="AA26" s="2">
        <f t="shared" si="2"/>
        <v>0</v>
      </c>
      <c r="AB26" s="2">
        <f t="shared" si="0"/>
        <v>0</v>
      </c>
      <c r="AC26" s="2">
        <f t="shared" si="1"/>
        <v>0</v>
      </c>
      <c r="AD26" s="2">
        <f t="shared" si="3"/>
        <v>0</v>
      </c>
    </row>
    <row r="27" spans="2:30">
      <c r="B27" s="8"/>
      <c r="C27" s="8"/>
      <c r="D27" s="8"/>
      <c r="E27" s="8"/>
      <c r="F27" s="1">
        <f t="shared" si="4"/>
        <v>0</v>
      </c>
      <c r="G27" s="1">
        <f t="shared" si="5"/>
        <v>0</v>
      </c>
      <c r="H27" s="1">
        <f t="shared" si="6"/>
        <v>0</v>
      </c>
      <c r="I27" s="1">
        <f t="shared" si="7"/>
        <v>0</v>
      </c>
      <c r="J27" s="1">
        <f t="shared" si="8"/>
        <v>0</v>
      </c>
      <c r="K27" s="1">
        <f t="shared" si="9"/>
        <v>0</v>
      </c>
      <c r="L27" s="1">
        <f t="shared" si="10"/>
        <v>0</v>
      </c>
      <c r="Y27" s="2">
        <f t="shared" si="11"/>
        <v>0</v>
      </c>
      <c r="Z27" s="2">
        <f t="shared" si="12"/>
        <v>0</v>
      </c>
      <c r="AA27" s="2">
        <f t="shared" si="2"/>
        <v>0</v>
      </c>
      <c r="AB27" s="2">
        <f t="shared" si="0"/>
        <v>0</v>
      </c>
      <c r="AC27" s="2">
        <f t="shared" si="1"/>
        <v>0</v>
      </c>
      <c r="AD27" s="2">
        <f t="shared" si="3"/>
        <v>0</v>
      </c>
    </row>
    <row r="28" spans="2:30">
      <c r="B28" s="8"/>
      <c r="C28" s="8"/>
      <c r="D28" s="8"/>
      <c r="E28" s="8"/>
      <c r="F28" s="1">
        <f t="shared" si="4"/>
        <v>0</v>
      </c>
      <c r="G28" s="1">
        <f t="shared" si="5"/>
        <v>0</v>
      </c>
      <c r="H28" s="1">
        <f t="shared" si="6"/>
        <v>0</v>
      </c>
      <c r="I28" s="1">
        <f t="shared" si="7"/>
        <v>0</v>
      </c>
      <c r="J28" s="1">
        <f t="shared" si="8"/>
        <v>0</v>
      </c>
      <c r="K28" s="1">
        <f t="shared" si="9"/>
        <v>0</v>
      </c>
      <c r="L28" s="1">
        <f t="shared" si="10"/>
        <v>0</v>
      </c>
      <c r="Y28" s="2">
        <f t="shared" si="11"/>
        <v>0</v>
      </c>
      <c r="Z28" s="2">
        <f t="shared" si="12"/>
        <v>0</v>
      </c>
      <c r="AA28" s="2">
        <f t="shared" si="2"/>
        <v>0</v>
      </c>
      <c r="AB28" s="2">
        <f t="shared" si="0"/>
        <v>0</v>
      </c>
      <c r="AC28" s="2">
        <f t="shared" si="1"/>
        <v>0</v>
      </c>
      <c r="AD28" s="2">
        <f t="shared" si="3"/>
        <v>0</v>
      </c>
    </row>
    <row r="29" spans="2:30">
      <c r="B29" s="8"/>
      <c r="C29" s="8"/>
      <c r="D29" s="8"/>
      <c r="E29" s="8"/>
      <c r="F29" s="1">
        <f t="shared" si="4"/>
        <v>0</v>
      </c>
      <c r="G29" s="1">
        <f t="shared" si="5"/>
        <v>0</v>
      </c>
      <c r="H29" s="1">
        <f t="shared" si="6"/>
        <v>0</v>
      </c>
      <c r="I29" s="1">
        <f t="shared" si="7"/>
        <v>0</v>
      </c>
      <c r="J29" s="1">
        <f t="shared" si="8"/>
        <v>0</v>
      </c>
      <c r="K29" s="1">
        <f t="shared" si="9"/>
        <v>0</v>
      </c>
      <c r="L29" s="1">
        <f t="shared" si="10"/>
        <v>0</v>
      </c>
      <c r="N29" s="2" t="s">
        <v>37</v>
      </c>
      <c r="O29" s="2">
        <f>ATAN( -(O22*O10-O21*O9)/(O21*O11-O22*O9) )</f>
        <v>-0.53092915895002402</v>
      </c>
      <c r="P29" s="2" t="s">
        <v>40</v>
      </c>
      <c r="W29" s="2" t="s">
        <v>53</v>
      </c>
      <c r="X29" s="2" t="s">
        <v>15</v>
      </c>
      <c r="Y29" s="2">
        <f t="shared" si="11"/>
        <v>0</v>
      </c>
      <c r="Z29" s="2">
        <f t="shared" si="12"/>
        <v>0</v>
      </c>
      <c r="AA29" s="2">
        <f t="shared" si="2"/>
        <v>0</v>
      </c>
      <c r="AB29" s="2">
        <f t="shared" si="0"/>
        <v>0</v>
      </c>
      <c r="AC29" s="2">
        <f t="shared" si="1"/>
        <v>0</v>
      </c>
      <c r="AD29" s="2">
        <f t="shared" si="3"/>
        <v>0</v>
      </c>
    </row>
    <row r="30" spans="2:30">
      <c r="B30" s="8"/>
      <c r="C30" s="8"/>
      <c r="D30" s="8"/>
      <c r="E30" s="8"/>
      <c r="F30" s="1">
        <f t="shared" si="4"/>
        <v>0</v>
      </c>
      <c r="G30" s="1">
        <f t="shared" si="5"/>
        <v>0</v>
      </c>
      <c r="H30" s="1">
        <f t="shared" si="6"/>
        <v>0</v>
      </c>
      <c r="I30" s="1">
        <f t="shared" si="7"/>
        <v>0</v>
      </c>
      <c r="J30" s="1">
        <f t="shared" si="8"/>
        <v>0</v>
      </c>
      <c r="K30" s="1">
        <f t="shared" si="9"/>
        <v>0</v>
      </c>
      <c r="L30" s="1">
        <f t="shared" si="10"/>
        <v>0</v>
      </c>
      <c r="O30" s="2">
        <f>O29*180/PI()</f>
        <v>-30.420000028266813</v>
      </c>
      <c r="P30" s="2" t="s">
        <v>38</v>
      </c>
      <c r="T30" s="2" t="s">
        <v>79</v>
      </c>
      <c r="U30" s="2">
        <f>Q11/(O23*(Q11*Q10-Q9*Q9))</f>
        <v>3.8941007021137432E-2</v>
      </c>
      <c r="V30" s="2" t="s">
        <v>80</v>
      </c>
      <c r="W30" s="2">
        <f>-U30*10.28*0.312/2</f>
        <v>-6.2448914139657669E-2</v>
      </c>
      <c r="X30" s="2">
        <f>W30/1000^2</f>
        <v>-6.2448914139657665E-8</v>
      </c>
      <c r="Y30" s="2">
        <f t="shared" si="11"/>
        <v>0</v>
      </c>
      <c r="Z30" s="2">
        <f t="shared" si="12"/>
        <v>0</v>
      </c>
      <c r="AA30" s="2">
        <f t="shared" si="2"/>
        <v>0</v>
      </c>
      <c r="AB30" s="2">
        <f t="shared" si="0"/>
        <v>0</v>
      </c>
      <c r="AC30" s="2">
        <f t="shared" si="1"/>
        <v>0</v>
      </c>
      <c r="AD30" s="2">
        <f t="shared" si="3"/>
        <v>0</v>
      </c>
    </row>
    <row r="31" spans="2:30">
      <c r="B31" s="8"/>
      <c r="C31" s="8"/>
      <c r="D31" s="8"/>
      <c r="E31" s="8"/>
      <c r="F31" s="1">
        <f t="shared" si="4"/>
        <v>0</v>
      </c>
      <c r="G31" s="1">
        <f t="shared" si="5"/>
        <v>0</v>
      </c>
      <c r="H31" s="1">
        <f t="shared" si="6"/>
        <v>0</v>
      </c>
      <c r="I31" s="1">
        <f t="shared" si="7"/>
        <v>0</v>
      </c>
      <c r="J31" s="1">
        <f t="shared" si="8"/>
        <v>0</v>
      </c>
      <c r="K31" s="1">
        <f t="shared" si="9"/>
        <v>0</v>
      </c>
      <c r="L31" s="1">
        <f t="shared" si="10"/>
        <v>0</v>
      </c>
      <c r="N31" s="2" t="s">
        <v>62</v>
      </c>
      <c r="O31" s="2">
        <f>(O23*(Q11*Q10-Q9^2))/(O21*Q11-O22*Q9)</f>
        <v>-7.9999595177823775</v>
      </c>
      <c r="P31" s="2" t="s">
        <v>53</v>
      </c>
      <c r="Q31" s="2">
        <f>O31*1000</f>
        <v>-7999.9595177823776</v>
      </c>
      <c r="R31" s="2" t="s">
        <v>15</v>
      </c>
      <c r="V31" s="2" t="s">
        <v>81</v>
      </c>
      <c r="W31" s="2">
        <f>U30*10.28/6</f>
        <v>6.6718925362882125E-2</v>
      </c>
      <c r="X31" s="2">
        <f>W31/1000^3</f>
        <v>6.6718925362882128E-11</v>
      </c>
      <c r="Y31" s="2">
        <f t="shared" si="11"/>
        <v>0</v>
      </c>
      <c r="Z31" s="2">
        <f t="shared" si="12"/>
        <v>0</v>
      </c>
      <c r="AA31" s="2">
        <f t="shared" si="2"/>
        <v>0</v>
      </c>
      <c r="AB31" s="2">
        <f t="shared" si="0"/>
        <v>0</v>
      </c>
      <c r="AC31" s="2">
        <f t="shared" si="1"/>
        <v>0</v>
      </c>
      <c r="AD31" s="2">
        <f t="shared" si="3"/>
        <v>0</v>
      </c>
    </row>
    <row r="32" spans="2:30">
      <c r="B32" s="8"/>
      <c r="C32" s="8"/>
      <c r="D32" s="8"/>
      <c r="E32" s="8"/>
      <c r="F32" s="1">
        <f t="shared" si="4"/>
        <v>0</v>
      </c>
      <c r="G32" s="1">
        <f t="shared" si="5"/>
        <v>0</v>
      </c>
      <c r="H32" s="1">
        <f t="shared" si="6"/>
        <v>0</v>
      </c>
      <c r="I32" s="1">
        <f t="shared" si="7"/>
        <v>0</v>
      </c>
      <c r="J32" s="1">
        <f t="shared" si="8"/>
        <v>0</v>
      </c>
      <c r="K32" s="1">
        <f t="shared" si="9"/>
        <v>0</v>
      </c>
      <c r="L32" s="1">
        <f t="shared" si="10"/>
        <v>0</v>
      </c>
      <c r="N32" s="2" t="s">
        <v>63</v>
      </c>
      <c r="O32" s="2">
        <f>(O23*(Q11*Q10-Q9^2))/(O22*Q10-O21*Q9)</f>
        <v>-13.624702080848911</v>
      </c>
      <c r="P32" s="12" t="s">
        <v>53</v>
      </c>
      <c r="Q32" s="2">
        <f>O32*1000</f>
        <v>-13624.702080848911</v>
      </c>
      <c r="R32" s="2" t="s">
        <v>15</v>
      </c>
      <c r="Y32" s="2">
        <f t="shared" si="11"/>
        <v>0</v>
      </c>
      <c r="Z32" s="2">
        <f t="shared" si="12"/>
        <v>0</v>
      </c>
      <c r="AA32" s="2">
        <f t="shared" si="2"/>
        <v>0</v>
      </c>
      <c r="AB32" s="2">
        <f t="shared" si="0"/>
        <v>0</v>
      </c>
      <c r="AC32" s="2">
        <f t="shared" si="1"/>
        <v>0</v>
      </c>
      <c r="AD32" s="2">
        <f t="shared" si="3"/>
        <v>0</v>
      </c>
    </row>
    <row r="33" spans="2:30">
      <c r="B33" s="8"/>
      <c r="C33" s="8"/>
      <c r="D33" s="8"/>
      <c r="E33" s="8"/>
      <c r="F33" s="1">
        <f t="shared" si="4"/>
        <v>0</v>
      </c>
      <c r="G33" s="1">
        <f t="shared" si="5"/>
        <v>0</v>
      </c>
      <c r="H33" s="1">
        <f t="shared" si="6"/>
        <v>0</v>
      </c>
      <c r="I33" s="1">
        <f t="shared" si="7"/>
        <v>0</v>
      </c>
      <c r="J33" s="1">
        <f t="shared" si="8"/>
        <v>0</v>
      </c>
      <c r="K33" s="1">
        <f t="shared" si="9"/>
        <v>0</v>
      </c>
      <c r="L33" s="1">
        <f t="shared" si="10"/>
        <v>0</v>
      </c>
      <c r="N33" s="12" t="s">
        <v>68</v>
      </c>
      <c r="O33" s="2">
        <f>(-1/O31)*0.5</f>
        <v>6.250031626892559E-2</v>
      </c>
      <c r="P33" s="12" t="s">
        <v>70</v>
      </c>
      <c r="Q33" s="2">
        <f>O33*1000</f>
        <v>62.500316268925587</v>
      </c>
      <c r="R33" s="2" t="s">
        <v>71</v>
      </c>
      <c r="T33" s="2" t="s">
        <v>82</v>
      </c>
      <c r="U33" s="2">
        <f>-Q9/(O23*(Q11*Q10-Q9*Q9))</f>
        <v>2.2864828742836529E-2</v>
      </c>
      <c r="V33" s="2" t="s">
        <v>80</v>
      </c>
      <c r="W33" s="2">
        <f>-U33*10.28*0.312/2</f>
        <v>-3.6667868558312083E-2</v>
      </c>
      <c r="X33" s="2">
        <f t="shared" ref="X33" si="14">W33/1000^2</f>
        <v>-3.6667868558312085E-8</v>
      </c>
      <c r="Y33" s="2">
        <f t="shared" si="11"/>
        <v>0</v>
      </c>
      <c r="Z33" s="2">
        <f t="shared" si="12"/>
        <v>0</v>
      </c>
      <c r="AA33" s="2">
        <f t="shared" si="2"/>
        <v>0</v>
      </c>
      <c r="AB33" s="2">
        <f t="shared" si="0"/>
        <v>0</v>
      </c>
      <c r="AC33" s="2">
        <f t="shared" si="1"/>
        <v>0</v>
      </c>
      <c r="AD33" s="2">
        <f t="shared" si="3"/>
        <v>0</v>
      </c>
    </row>
    <row r="34" spans="2:30">
      <c r="B34" s="8"/>
      <c r="C34" s="8"/>
      <c r="D34" s="8"/>
      <c r="E34" s="8"/>
      <c r="F34" s="1">
        <f t="shared" si="4"/>
        <v>0</v>
      </c>
      <c r="G34" s="1">
        <f t="shared" si="5"/>
        <v>0</v>
      </c>
      <c r="H34" s="1">
        <f t="shared" si="6"/>
        <v>0</v>
      </c>
      <c r="I34" s="1">
        <f t="shared" si="7"/>
        <v>0</v>
      </c>
      <c r="J34" s="1">
        <f t="shared" si="8"/>
        <v>0</v>
      </c>
      <c r="K34" s="1">
        <f t="shared" si="9"/>
        <v>0</v>
      </c>
      <c r="L34" s="1">
        <f t="shared" si="10"/>
        <v>0</v>
      </c>
      <c r="N34" s="12" t="s">
        <v>69</v>
      </c>
      <c r="O34" s="2">
        <f>(-1/O32)*0.5</f>
        <v>3.6698050132252628E-2</v>
      </c>
      <c r="P34" s="12" t="s">
        <v>70</v>
      </c>
      <c r="Q34" s="2">
        <f>O34*1000</f>
        <v>36.698050132252625</v>
      </c>
      <c r="R34" s="12" t="s">
        <v>71</v>
      </c>
      <c r="V34" s="12" t="s">
        <v>81</v>
      </c>
      <c r="W34" s="2">
        <f>U33*10.28/6</f>
        <v>3.917507324605992E-2</v>
      </c>
      <c r="X34" s="2">
        <f>W34/1000^3</f>
        <v>3.9175073246059917E-11</v>
      </c>
      <c r="Y34" s="2">
        <f t="shared" si="11"/>
        <v>0</v>
      </c>
      <c r="Z34" s="2">
        <f t="shared" si="12"/>
        <v>0</v>
      </c>
      <c r="AA34" s="2">
        <f t="shared" si="2"/>
        <v>0</v>
      </c>
      <c r="AB34" s="2">
        <f t="shared" si="0"/>
        <v>0</v>
      </c>
      <c r="AC34" s="2">
        <f t="shared" si="1"/>
        <v>0</v>
      </c>
      <c r="AD34" s="2">
        <f t="shared" si="3"/>
        <v>0</v>
      </c>
    </row>
    <row r="35" spans="2:30">
      <c r="B35" s="8"/>
      <c r="C35" s="8"/>
      <c r="D35" s="8"/>
      <c r="E35" s="8"/>
      <c r="F35" s="1">
        <f t="shared" si="4"/>
        <v>0</v>
      </c>
      <c r="G35" s="1">
        <f t="shared" si="5"/>
        <v>0</v>
      </c>
      <c r="H35" s="1">
        <f t="shared" si="6"/>
        <v>0</v>
      </c>
      <c r="I35" s="1">
        <f t="shared" si="7"/>
        <v>0</v>
      </c>
      <c r="J35" s="1">
        <f t="shared" si="8"/>
        <v>0</v>
      </c>
      <c r="K35" s="1">
        <f t="shared" si="9"/>
        <v>0</v>
      </c>
      <c r="L35" s="1">
        <f t="shared" si="10"/>
        <v>0</v>
      </c>
      <c r="N35" s="12" t="s">
        <v>66</v>
      </c>
      <c r="O35" s="2">
        <f>O33*O24^2</f>
        <v>5.6250284642033032E-3</v>
      </c>
      <c r="P35" s="12" t="s">
        <v>53</v>
      </c>
      <c r="Y35" s="2">
        <f t="shared" si="11"/>
        <v>0</v>
      </c>
      <c r="Z35" s="2">
        <f t="shared" si="12"/>
        <v>0</v>
      </c>
      <c r="AA35" s="2">
        <f t="shared" si="2"/>
        <v>0</v>
      </c>
      <c r="AB35" s="2">
        <f t="shared" si="0"/>
        <v>0</v>
      </c>
      <c r="AC35" s="2">
        <f t="shared" si="1"/>
        <v>0</v>
      </c>
      <c r="AD35" s="2">
        <f t="shared" si="3"/>
        <v>0</v>
      </c>
    </row>
    <row r="36" spans="2:30">
      <c r="N36" s="12" t="s">
        <v>67</v>
      </c>
      <c r="O36" s="2">
        <f>O34*O24^2</f>
        <v>3.3028245119027366E-3</v>
      </c>
      <c r="P36" s="12" t="s">
        <v>53</v>
      </c>
    </row>
    <row r="37" spans="2:30">
      <c r="V37" s="2" t="s">
        <v>83</v>
      </c>
      <c r="W37" s="2">
        <v>306</v>
      </c>
      <c r="X37" s="2" t="s">
        <v>15</v>
      </c>
      <c r="Y37" s="12">
        <f>W37/1000</f>
        <v>0.30599999999999999</v>
      </c>
      <c r="Z37" s="2" t="s">
        <v>53</v>
      </c>
    </row>
    <row r="38" spans="2:30">
      <c r="V38" s="12" t="s">
        <v>32</v>
      </c>
      <c r="W38" s="2">
        <f>X30*W37^2+X31*W37^3</f>
        <v>-3.9357947760256624E-3</v>
      </c>
      <c r="Y38" s="2">
        <f>W30*Y37^2+W31*Y37^3</f>
        <v>-3.9357947760256633E-3</v>
      </c>
    </row>
    <row r="39" spans="2:30">
      <c r="V39" s="12" t="s">
        <v>85</v>
      </c>
      <c r="W39" s="2">
        <f>X33*W37^2+X34*W37^3</f>
        <v>-2.3109642098348821E-3</v>
      </c>
      <c r="Y39" s="2">
        <f>W33*Y37^2+W34*Y37^3</f>
        <v>-2.3109642098348817E-3</v>
      </c>
    </row>
  </sheetData>
  <mergeCells count="5">
    <mergeCell ref="N20:O20"/>
    <mergeCell ref="T18:U18"/>
    <mergeCell ref="B2:E2"/>
    <mergeCell ref="F2:J2"/>
    <mergeCell ref="Y2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CDF0-863A-4B0F-8EEC-005766D5F9F8}">
  <dimension ref="B2:D10"/>
  <sheetViews>
    <sheetView tabSelected="1" workbookViewId="0">
      <selection activeCell="B12" sqref="B12"/>
    </sheetView>
  </sheetViews>
  <sheetFormatPr defaultRowHeight="15"/>
  <sheetData>
    <row r="2" spans="2:4">
      <c r="B2" t="s">
        <v>107</v>
      </c>
      <c r="C2" s="26">
        <v>2</v>
      </c>
      <c r="D2" t="s">
        <v>53</v>
      </c>
    </row>
    <row r="3" spans="2:4">
      <c r="B3" t="s">
        <v>119</v>
      </c>
      <c r="C3" s="26">
        <v>1</v>
      </c>
      <c r="D3" t="s">
        <v>53</v>
      </c>
    </row>
    <row r="4" spans="2:4">
      <c r="B4" t="s">
        <v>120</v>
      </c>
      <c r="C4" s="26">
        <v>9000</v>
      </c>
      <c r="D4" t="s">
        <v>124</v>
      </c>
    </row>
    <row r="5" spans="2:4">
      <c r="B5" t="s">
        <v>121</v>
      </c>
      <c r="C5" s="26">
        <v>30000</v>
      </c>
      <c r="D5" t="s">
        <v>125</v>
      </c>
    </row>
    <row r="7" spans="2:4">
      <c r="B7" t="s">
        <v>123</v>
      </c>
      <c r="C7">
        <f>C2+C3</f>
        <v>3</v>
      </c>
      <c r="D7" t="s">
        <v>53</v>
      </c>
    </row>
    <row r="8" spans="2:4">
      <c r="B8" t="s">
        <v>122</v>
      </c>
      <c r="C8">
        <f>C4/C7</f>
        <v>3000</v>
      </c>
      <c r="D8" t="s">
        <v>124</v>
      </c>
    </row>
    <row r="10" spans="2:4">
      <c r="B10" t="s">
        <v>126</v>
      </c>
      <c r="C10">
        <f>(1/(C5*2))*(C8^2*C7^3/3+C8*C4*(C2^2-C7^2)+C4^2*(C7-C2))</f>
        <v>450</v>
      </c>
      <c r="D10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C47C-2DB5-41EB-897C-E00A092F2D10}">
  <dimension ref="A3:AC38"/>
  <sheetViews>
    <sheetView zoomScaleNormal="100" workbookViewId="0">
      <selection activeCell="I35" sqref="I35"/>
    </sheetView>
  </sheetViews>
  <sheetFormatPr defaultRowHeight="15"/>
  <cols>
    <col min="1" max="1" width="9.7109375" bestFit="1" customWidth="1"/>
    <col min="2" max="2" width="15.28515625" customWidth="1"/>
    <col min="3" max="6" width="9.7109375" bestFit="1" customWidth="1"/>
    <col min="14" max="14" width="10" bestFit="1" customWidth="1"/>
    <col min="15" max="15" width="9.7109375" bestFit="1" customWidth="1"/>
  </cols>
  <sheetData>
    <row r="3" spans="2:15">
      <c r="K3" t="s">
        <v>89</v>
      </c>
      <c r="N3" t="s">
        <v>90</v>
      </c>
    </row>
    <row r="4" spans="2:15">
      <c r="J4" t="s">
        <v>91</v>
      </c>
      <c r="K4" t="s">
        <v>32</v>
      </c>
      <c r="L4">
        <v>4.0199999999999996</v>
      </c>
      <c r="N4">
        <f>6.38*10^-5</f>
        <v>6.3800000000000006E-5</v>
      </c>
      <c r="O4">
        <f>-6.81*10^-8</f>
        <v>-6.8099999999999994E-8</v>
      </c>
    </row>
    <row r="5" spans="2:15">
      <c r="C5" s="2" t="s">
        <v>23</v>
      </c>
      <c r="D5" s="14">
        <f>68.9*10^9</f>
        <v>68900000000</v>
      </c>
      <c r="J5" t="s">
        <v>92</v>
      </c>
      <c r="K5" t="s">
        <v>85</v>
      </c>
      <c r="L5">
        <v>2.4</v>
      </c>
      <c r="N5">
        <f>3.8*10^-5</f>
        <v>3.8000000000000002E-5</v>
      </c>
      <c r="O5">
        <f>-4.06*10^-8</f>
        <v>-4.06E-8</v>
      </c>
    </row>
    <row r="9" spans="2:15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</row>
    <row r="10" spans="2:15">
      <c r="B10">
        <v>1</v>
      </c>
      <c r="C10" s="17">
        <f>200*10^-6</f>
        <v>1.9999999999999998E-4</v>
      </c>
      <c r="D10" s="17">
        <f>-111*10^-6</f>
        <v>-1.11E-4</v>
      </c>
      <c r="E10" s="17">
        <f>C10*$D$5</f>
        <v>13779999.999999998</v>
      </c>
      <c r="F10" s="17">
        <f>D10*$D$5</f>
        <v>-7647900</v>
      </c>
      <c r="G10" s="17">
        <f>E10/10^6</f>
        <v>13.779999999999998</v>
      </c>
      <c r="H10" s="17">
        <f>F10/10^6</f>
        <v>-7.6478999999999999</v>
      </c>
    </row>
    <row r="11" spans="2:15">
      <c r="B11">
        <v>2</v>
      </c>
      <c r="C11" s="17">
        <f>401*10^-6</f>
        <v>4.0099999999999999E-4</v>
      </c>
      <c r="D11" s="17">
        <f>-212*10^-6</f>
        <v>-2.12E-4</v>
      </c>
      <c r="E11" s="17">
        <f>C11*$D$5</f>
        <v>27628900</v>
      </c>
      <c r="F11" s="17">
        <f>D11*$D$5</f>
        <v>-14606800</v>
      </c>
      <c r="G11" s="17">
        <f>E11/10^6</f>
        <v>27.628900000000002</v>
      </c>
      <c r="H11" s="17">
        <f>F11/10^6</f>
        <v>-14.6068</v>
      </c>
    </row>
    <row r="13" spans="2:15">
      <c r="B13">
        <v>0.5</v>
      </c>
      <c r="C13">
        <f>183.21/10^6</f>
        <v>1.8321E-4</v>
      </c>
      <c r="D13" s="16">
        <f>-136/10^6</f>
        <v>-1.36E-4</v>
      </c>
      <c r="E13">
        <f>C13*$D$5</f>
        <v>12623169</v>
      </c>
      <c r="F13">
        <f>D13*$D$5</f>
        <v>-9370400</v>
      </c>
      <c r="G13" s="18">
        <f>E13/10^6</f>
        <v>12.623169000000001</v>
      </c>
      <c r="H13" s="18">
        <f>F13/10^6</f>
        <v>-9.3704000000000001</v>
      </c>
    </row>
    <row r="14" spans="2:15">
      <c r="B14">
        <v>1</v>
      </c>
      <c r="C14">
        <f>311.13/10^6</f>
        <v>3.1113000000000001E-4</v>
      </c>
      <c r="D14">
        <f>-240/10^6</f>
        <v>-2.4000000000000001E-4</v>
      </c>
      <c r="E14">
        <f>C14*$D$5</f>
        <v>21436857</v>
      </c>
      <c r="F14">
        <f>D14*$D$5</f>
        <v>-16536000</v>
      </c>
      <c r="G14" s="18">
        <f>E14/10^6</f>
        <v>21.436857</v>
      </c>
      <c r="H14" s="18">
        <f>F14/10^6</f>
        <v>-16.536000000000001</v>
      </c>
      <c r="O14">
        <f>42*N17</f>
        <v>6.1764705882352944</v>
      </c>
    </row>
    <row r="17" spans="1:29">
      <c r="M17" t="s">
        <v>98</v>
      </c>
      <c r="N17">
        <f>10/68</f>
        <v>0.14705882352941177</v>
      </c>
    </row>
    <row r="18" spans="1:29">
      <c r="G18" t="s">
        <v>15</v>
      </c>
    </row>
    <row r="19" spans="1:29">
      <c r="E19" t="s">
        <v>72</v>
      </c>
      <c r="F19" t="s">
        <v>86</v>
      </c>
      <c r="G19" t="s">
        <v>87</v>
      </c>
      <c r="H19" t="s">
        <v>88</v>
      </c>
      <c r="M19" t="s">
        <v>4</v>
      </c>
      <c r="N19" t="s">
        <v>97</v>
      </c>
    </row>
    <row r="20" spans="1:29">
      <c r="E20">
        <v>0</v>
      </c>
      <c r="G20">
        <v>1.5</v>
      </c>
      <c r="H20">
        <v>0</v>
      </c>
      <c r="J20">
        <v>1.7</v>
      </c>
      <c r="AC20" t="s">
        <v>107</v>
      </c>
    </row>
    <row r="21" spans="1:29">
      <c r="E21">
        <v>1</v>
      </c>
      <c r="G21">
        <v>4.5999999999999996</v>
      </c>
      <c r="H21">
        <f>G21-G20</f>
        <v>3.0999999999999996</v>
      </c>
      <c r="J21">
        <v>4.9000000000000004</v>
      </c>
      <c r="K21">
        <f>J21-J20</f>
        <v>3.2</v>
      </c>
    </row>
    <row r="22" spans="1:29">
      <c r="E22">
        <v>2</v>
      </c>
      <c r="G22">
        <v>7.7</v>
      </c>
      <c r="H22">
        <f>G22-G20</f>
        <v>6.2</v>
      </c>
      <c r="J22">
        <v>8</v>
      </c>
      <c r="K22">
        <f>J22-J20</f>
        <v>6.3</v>
      </c>
      <c r="N22">
        <f>15*N17</f>
        <v>2.2058823529411766</v>
      </c>
    </row>
    <row r="23" spans="1:29">
      <c r="C23">
        <f>LOG(C24)</f>
        <v>2.2253092817258628</v>
      </c>
      <c r="D23">
        <f t="shared" ref="D23:I23" si="0">LOG(D24)</f>
        <v>2.3180633349627615</v>
      </c>
      <c r="E23">
        <f t="shared" si="0"/>
        <v>2.459392487759231</v>
      </c>
      <c r="F23">
        <f t="shared" si="0"/>
        <v>2.7573960287930244</v>
      </c>
      <c r="G23">
        <f t="shared" si="0"/>
        <v>2.9542425094393248</v>
      </c>
      <c r="H23">
        <f t="shared" si="0"/>
        <v>3.8743658357300488</v>
      </c>
      <c r="I23">
        <f t="shared" si="0"/>
        <v>4.7494270991217489</v>
      </c>
    </row>
    <row r="24" spans="1:29">
      <c r="B24" t="s">
        <v>99</v>
      </c>
      <c r="C24">
        <v>168</v>
      </c>
      <c r="D24">
        <v>208</v>
      </c>
      <c r="E24">
        <v>288</v>
      </c>
      <c r="F24">
        <v>572</v>
      </c>
      <c r="G24">
        <v>900</v>
      </c>
      <c r="H24">
        <v>7488</v>
      </c>
      <c r="I24">
        <v>56160</v>
      </c>
    </row>
    <row r="25" spans="1:29">
      <c r="B25" t="s">
        <v>99</v>
      </c>
      <c r="C25">
        <v>168</v>
      </c>
      <c r="D25">
        <v>208</v>
      </c>
      <c r="E25">
        <v>288</v>
      </c>
      <c r="F25">
        <v>572</v>
      </c>
      <c r="G25">
        <v>900</v>
      </c>
      <c r="H25">
        <v>7488</v>
      </c>
      <c r="I25">
        <v>56160</v>
      </c>
    </row>
    <row r="26" spans="1:29">
      <c r="B26" t="s">
        <v>93</v>
      </c>
      <c r="C26">
        <v>2</v>
      </c>
      <c r="D26">
        <v>3</v>
      </c>
      <c r="E26">
        <v>4</v>
      </c>
      <c r="F26">
        <v>5</v>
      </c>
      <c r="G26">
        <v>7</v>
      </c>
      <c r="M26">
        <v>168</v>
      </c>
      <c r="N26">
        <v>2224</v>
      </c>
      <c r="O26">
        <v>6212</v>
      </c>
      <c r="P26">
        <v>17472</v>
      </c>
      <c r="Q26">
        <v>234</v>
      </c>
    </row>
    <row r="27" spans="1:29">
      <c r="A27">
        <f>C27</f>
        <v>4.1676000000000002</v>
      </c>
      <c r="B27" t="s">
        <v>96</v>
      </c>
      <c r="C27">
        <v>4.1676000000000002</v>
      </c>
      <c r="D27">
        <v>4.1748000000000003</v>
      </c>
      <c r="E27">
        <v>4.1837</v>
      </c>
      <c r="F27">
        <v>4.1841999999999997</v>
      </c>
      <c r="G27">
        <v>4.1847000000000003</v>
      </c>
      <c r="H27">
        <v>4.1863999999999999</v>
      </c>
      <c r="I27">
        <v>4.1870000000000003</v>
      </c>
      <c r="M27">
        <v>2</v>
      </c>
      <c r="N27">
        <v>4</v>
      </c>
      <c r="O27">
        <v>6</v>
      </c>
      <c r="Q27">
        <v>3</v>
      </c>
    </row>
    <row r="28" spans="1:29">
      <c r="B28" t="s">
        <v>95</v>
      </c>
      <c r="C28">
        <v>2.3763000000000001</v>
      </c>
      <c r="D28">
        <v>2.3792</v>
      </c>
      <c r="E28">
        <v>2.3843999999999999</v>
      </c>
      <c r="F28">
        <v>2.3847999999999998</v>
      </c>
      <c r="G28">
        <v>2.3849999999999998</v>
      </c>
      <c r="H28">
        <v>2.3856000000000002</v>
      </c>
      <c r="I28">
        <v>2.3858000000000001</v>
      </c>
      <c r="M28">
        <v>2.9329999999999998E-3</v>
      </c>
      <c r="N28">
        <v>2.9489999999999998E-3</v>
      </c>
      <c r="O28">
        <v>2.9493000000000002E-3</v>
      </c>
      <c r="P28">
        <v>2.9510000000000001E-3</v>
      </c>
      <c r="Q28">
        <v>2.9510000000000001E-3</v>
      </c>
    </row>
    <row r="29" spans="1:29">
      <c r="A29">
        <f>C29</f>
        <v>63.542999999999999</v>
      </c>
      <c r="B29" t="s">
        <v>106</v>
      </c>
      <c r="C29">
        <v>63.542999999999999</v>
      </c>
      <c r="D29">
        <v>65.988</v>
      </c>
      <c r="E29">
        <v>67.516999999999996</v>
      </c>
      <c r="F29">
        <v>70.855000000000004</v>
      </c>
      <c r="G29">
        <v>73.031000000000006</v>
      </c>
      <c r="H29">
        <v>87.587999999999994</v>
      </c>
      <c r="I29">
        <v>110.54</v>
      </c>
      <c r="M29">
        <v>1.6509999999999999E-3</v>
      </c>
      <c r="N29">
        <v>1.6570000000000001E-3</v>
      </c>
      <c r="O29">
        <v>1.6570000000000001E-3</v>
      </c>
      <c r="P29">
        <v>1.6577E-3</v>
      </c>
      <c r="Q29">
        <v>1.6577E-3</v>
      </c>
    </row>
    <row r="30" spans="1:29">
      <c r="A30">
        <f>C30</f>
        <v>20.253</v>
      </c>
      <c r="B30" t="s">
        <v>105</v>
      </c>
      <c r="C30">
        <f>20.253</f>
        <v>20.253</v>
      </c>
      <c r="D30">
        <v>24.010999999999999</v>
      </c>
      <c r="E30">
        <v>20.114999999999998</v>
      </c>
      <c r="F30">
        <v>20.045000000000002</v>
      </c>
      <c r="G30">
        <v>20.058</v>
      </c>
      <c r="H30">
        <v>20.055</v>
      </c>
      <c r="I30">
        <v>20.055</v>
      </c>
      <c r="M30">
        <f>5.12*10^7</f>
        <v>51200000</v>
      </c>
      <c r="N30">
        <f>5.445*10^7</f>
        <v>54450000</v>
      </c>
      <c r="O30">
        <f>5.871*10^7</f>
        <v>58710000.000000007</v>
      </c>
      <c r="P30">
        <f>7.7859*10^7</f>
        <v>77859000</v>
      </c>
      <c r="Q30">
        <f>7.7859*10^7</f>
        <v>77859000</v>
      </c>
    </row>
    <row r="31" spans="1:29">
      <c r="B31" t="s">
        <v>91</v>
      </c>
      <c r="M31">
        <f>1.057*10^7</f>
        <v>10570000</v>
      </c>
      <c r="N31">
        <f>1.033*10^7</f>
        <v>10330000</v>
      </c>
      <c r="O31">
        <f>1.0371*10^7</f>
        <v>10371000</v>
      </c>
      <c r="P31">
        <f>1.0363*10^7</f>
        <v>10363000</v>
      </c>
      <c r="Q31">
        <f>1.0363*10^7</f>
        <v>10363000</v>
      </c>
    </row>
    <row r="32" spans="1:29">
      <c r="A32">
        <f>C32</f>
        <v>-15.895</v>
      </c>
      <c r="B32" t="s">
        <v>94</v>
      </c>
      <c r="C32">
        <v>-15.895</v>
      </c>
      <c r="D32">
        <v>-15.928000000000001</v>
      </c>
      <c r="E32">
        <v>-15.944000000000001</v>
      </c>
      <c r="F32">
        <v>-15.943</v>
      </c>
      <c r="G32">
        <v>-15.943</v>
      </c>
      <c r="H32">
        <v>-15.942</v>
      </c>
      <c r="I32">
        <v>-15.942</v>
      </c>
      <c r="M32">
        <f>-3.76*10^5</f>
        <v>-376000</v>
      </c>
      <c r="N32">
        <f>-1.199*10^5</f>
        <v>-119900</v>
      </c>
      <c r="O32">
        <f>-82433</f>
        <v>-82433</v>
      </c>
      <c r="P32">
        <f>-83174</f>
        <v>-83174</v>
      </c>
    </row>
    <row r="33" spans="1:17">
      <c r="M33">
        <f>-1.371*10^7</f>
        <v>-13710000</v>
      </c>
      <c r="N33">
        <f>-1.375*10^7</f>
        <v>-13750000</v>
      </c>
      <c r="O33">
        <f>-1.3753*10^7</f>
        <v>-13753000</v>
      </c>
      <c r="P33">
        <f>-1.3753*10^7</f>
        <v>-13753000</v>
      </c>
      <c r="Q33">
        <f>-1.3753*10^7</f>
        <v>-13753000</v>
      </c>
    </row>
    <row r="34" spans="1:17">
      <c r="B34" t="s">
        <v>104</v>
      </c>
      <c r="M34">
        <f>1.005*10^5</f>
        <v>100499.99999999999</v>
      </c>
      <c r="N34">
        <f>13127</f>
        <v>13127</v>
      </c>
      <c r="O34">
        <f>601</f>
        <v>601</v>
      </c>
      <c r="P34">
        <v>0.31</v>
      </c>
    </row>
    <row r="35" spans="1:17">
      <c r="A35">
        <v>40000000</v>
      </c>
      <c r="B35" t="s">
        <v>103</v>
      </c>
      <c r="C35">
        <f>$A$35*C29/$A$29</f>
        <v>40000000</v>
      </c>
      <c r="D35">
        <f t="shared" ref="D35:F35" si="1">$A$35*D29/$A$29</f>
        <v>41539115.24479486</v>
      </c>
      <c r="E35">
        <f t="shared" si="1"/>
        <v>42501613.080905847</v>
      </c>
      <c r="F35">
        <f t="shared" si="1"/>
        <v>44602867.349668726</v>
      </c>
      <c r="G35">
        <f t="shared" ref="G35" si="2">$A$35*G29/$A$29</f>
        <v>45972648.442786776</v>
      </c>
      <c r="I35" t="e" cm="1">
        <f t="array" ref="I35">aver</f>
        <v>#NAME?</v>
      </c>
    </row>
    <row r="36" spans="1:17">
      <c r="A36">
        <f>2.15*10^7</f>
        <v>21500000</v>
      </c>
      <c r="B36" t="s">
        <v>100</v>
      </c>
      <c r="C36">
        <f>$A$36*C30/$A$30</f>
        <v>21500000</v>
      </c>
      <c r="D36">
        <f t="shared" ref="D36:F36" si="3">$A$36*D30/$A$30</f>
        <v>25489384.288747344</v>
      </c>
      <c r="E36">
        <f t="shared" si="3"/>
        <v>21353503.184713371</v>
      </c>
      <c r="F36">
        <f t="shared" si="3"/>
        <v>21279193.205944803</v>
      </c>
      <c r="G36">
        <f t="shared" ref="G36" si="4">$A$36*G30/$A$30</f>
        <v>21292993.630573247</v>
      </c>
    </row>
    <row r="37" spans="1:17">
      <c r="A37">
        <f>1.58*10^7</f>
        <v>15800000</v>
      </c>
      <c r="B37" t="s">
        <v>101</v>
      </c>
      <c r="C37">
        <f>$A$37*C32/$A$32</f>
        <v>15800000</v>
      </c>
      <c r="D37">
        <f t="shared" ref="D37:F37" si="5">$A$37*D32/$A$32</f>
        <v>15832802.768166091</v>
      </c>
      <c r="E37">
        <f t="shared" si="5"/>
        <v>15848707.140610255</v>
      </c>
      <c r="F37">
        <f t="shared" si="5"/>
        <v>15847713.117332496</v>
      </c>
      <c r="G37">
        <f t="shared" ref="G37" si="6">$A$37*G32/$A$32</f>
        <v>15847713.117332496</v>
      </c>
    </row>
    <row r="38" spans="1:17">
      <c r="A38">
        <v>12312312</v>
      </c>
      <c r="B38" t="s">
        <v>102</v>
      </c>
      <c r="C38">
        <f>$A$38*C27/$A$27</f>
        <v>12312312</v>
      </c>
      <c r="D38">
        <f t="shared" ref="D38:F38" si="7">$A$38*D27/$A$27</f>
        <v>12333582.910452059</v>
      </c>
      <c r="E38">
        <f t="shared" si="7"/>
        <v>12359876.119205298</v>
      </c>
      <c r="F38">
        <f t="shared" si="7"/>
        <v>12361353.265764467</v>
      </c>
      <c r="G38">
        <f t="shared" ref="G38" si="8">$A$38*G27/$A$27</f>
        <v>12362830.412323641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39EA5D5-E16D-4E27-B7C7-B5147372F7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Sheet1!C25:F25</xm:f>
              <xm:sqref>H25</xm:sqref>
            </x14:sparkline>
          </x14:sparklines>
        </x14:sparklineGroup>
        <x14:sparklineGroup displayEmptyCellsAs="gap" xr2:uid="{042DAF65-3C25-4A68-8081-C638AE77C5B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Sheet1!C24:F24</xm:f>
              <xm:sqref>H24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96E5-2114-48AB-AEEF-857595950602}">
  <dimension ref="B19:N28"/>
  <sheetViews>
    <sheetView workbookViewId="0">
      <selection activeCell="C28" sqref="C28"/>
    </sheetView>
  </sheetViews>
  <sheetFormatPr defaultRowHeight="15"/>
  <cols>
    <col min="2" max="2" width="24.140625" customWidth="1"/>
    <col min="3" max="3" width="11" bestFit="1" customWidth="1"/>
    <col min="6" max="6" width="2.7109375" customWidth="1"/>
    <col min="7" max="7" width="16.140625" customWidth="1"/>
    <col min="11" max="11" width="16.28515625" customWidth="1"/>
  </cols>
  <sheetData>
    <row r="19" spans="2:14">
      <c r="B19" s="24" t="s">
        <v>22</v>
      </c>
      <c r="C19" s="24"/>
      <c r="G19" s="25" t="s">
        <v>28</v>
      </c>
      <c r="H19" s="25"/>
      <c r="K19" s="25" t="s">
        <v>29</v>
      </c>
      <c r="L19" s="25"/>
    </row>
    <row r="20" spans="2:14">
      <c r="B20" s="6" t="s">
        <v>26</v>
      </c>
      <c r="C20" s="10">
        <v>0.4</v>
      </c>
      <c r="G20" t="s">
        <v>30</v>
      </c>
      <c r="H20">
        <f>C21*C20+C26*C27</f>
        <v>160.36000000000001</v>
      </c>
      <c r="I20" t="s">
        <v>27</v>
      </c>
      <c r="K20" t="s">
        <v>30</v>
      </c>
      <c r="L20">
        <f>C21*C27/(C21*C26+C27*C20)</f>
        <v>0.99900099900099892</v>
      </c>
      <c r="M20" t="s">
        <v>27</v>
      </c>
    </row>
    <row r="21" spans="2:14">
      <c r="B21" s="6" t="s">
        <v>23</v>
      </c>
      <c r="C21" s="10">
        <v>400</v>
      </c>
      <c r="D21" t="s">
        <v>27</v>
      </c>
      <c r="G21" t="s">
        <v>31</v>
      </c>
      <c r="H21">
        <f>C20*C22+C26*C28</f>
        <v>0</v>
      </c>
      <c r="I21" t="s">
        <v>27</v>
      </c>
      <c r="K21" t="s">
        <v>31</v>
      </c>
      <c r="M21" t="s">
        <v>27</v>
      </c>
      <c r="N21" t="s">
        <v>32</v>
      </c>
    </row>
    <row r="22" spans="2:14">
      <c r="B22" s="6" t="s">
        <v>24</v>
      </c>
      <c r="C22" s="10"/>
      <c r="D22" t="s">
        <v>27</v>
      </c>
    </row>
    <row r="25" spans="2:14">
      <c r="B25" s="24" t="s">
        <v>25</v>
      </c>
      <c r="C25" s="24"/>
    </row>
    <row r="26" spans="2:14">
      <c r="B26" s="6" t="s">
        <v>26</v>
      </c>
      <c r="C26" s="6">
        <f>1-C20</f>
        <v>0.6</v>
      </c>
    </row>
    <row r="27" spans="2:14">
      <c r="B27" s="6" t="s">
        <v>23</v>
      </c>
      <c r="C27" s="10">
        <v>0.6</v>
      </c>
      <c r="D27" t="s">
        <v>27</v>
      </c>
    </row>
    <row r="28" spans="2:14">
      <c r="B28" s="6" t="s">
        <v>24</v>
      </c>
      <c r="C28" s="10"/>
      <c r="D28" t="s">
        <v>27</v>
      </c>
    </row>
  </sheetData>
  <mergeCells count="4">
    <mergeCell ref="B19:C19"/>
    <mergeCell ref="B25:C25"/>
    <mergeCell ref="G19:H19"/>
    <mergeCell ref="K19:L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cross section (2)</vt:lpstr>
      <vt:lpstr>Beam cross section</vt:lpstr>
      <vt:lpstr>Energy cons</vt:lpstr>
      <vt:lpstr>Sheet1</vt:lpstr>
      <vt:lpstr>Composites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Kriel</dc:creator>
  <cp:lastModifiedBy>Jc Kriel</cp:lastModifiedBy>
  <dcterms:created xsi:type="dcterms:W3CDTF">2023-04-25T13:19:08Z</dcterms:created>
  <dcterms:modified xsi:type="dcterms:W3CDTF">2023-05-04T11:34:33Z</dcterms:modified>
</cp:coreProperties>
</file>