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2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" yWindow="460" windowWidth="33600" windowHeight="15640" tabRatio="500" firstSheet="1" activeTab="7" autoFilterDateGrouping="1"/>
  </bookViews>
  <sheets>
    <sheet name="Portfolio Valor" sheetId="1" state="visible" r:id="rId1"/>
    <sheet name="Performance" sheetId="2" state="visible" r:id="rId2"/>
    <sheet name="Einzeltitel" sheetId="3" state="visible" r:id="rId3"/>
    <sheet name="Top Ten" sheetId="4" state="visible" r:id="rId4"/>
    <sheet name="Diagramm Anlageklassen" sheetId="5" state="visible" r:id="rId5"/>
    <sheet name="Currencies" sheetId="6" state="visible" r:id="rId6"/>
    <sheet name="Währungen" sheetId="7" state="visible" r:id="rId7"/>
    <sheet name="kumulative Ertraege" sheetId="8" state="visible" r:id="rId8"/>
    <sheet name="Valor" sheetId="9" state="visible" r:id="rId9"/>
    <sheet name="Wertentwicklung Tabelle" sheetId="10" state="visible" r:id="rId10"/>
    <sheet name="historische Wertentwicklung" sheetId="11" state="visible" r:id="rId11"/>
    <sheet name="Risikokennzahlen" sheetId="12" state="visible" r:id="rId12"/>
    <sheet name="Risikokennzahlen alt" sheetId="13" state="visible" r:id="rId13"/>
  </sheets>
  <externalReferences>
    <externalReference r:id="rId14"/>
    <externalReference r:id="rId15"/>
  </externalReferences>
  <definedNames>
    <definedName name="Abfrage_von_Kurse" localSheetId="12" hidden="1">'Risikokennzahlen alt'!#REF!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0.00\ %"/>
    <numFmt numFmtId="165" formatCode="0.000000000000000"/>
    <numFmt numFmtId="166" formatCode="0.000000000000000000"/>
    <numFmt numFmtId="167" formatCode="0.0000000000%"/>
    <numFmt numFmtId="168" formatCode="0.00000%"/>
    <numFmt numFmtId="169" formatCode="0.0000%"/>
    <numFmt numFmtId="170" formatCode="0.0000000%"/>
    <numFmt numFmtId="171" formatCode="_(&quot;$&quot;* #,##0.00_);_(&quot;$&quot;* \(#,##0.00\);_(&quot;$&quot;* &quot;-&quot;??_);_(@_)"/>
  </numFmts>
  <fonts count="41">
    <font>
      <name val="Calibri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24"/>
    </font>
    <font>
      <name val="Calibri"/>
      <family val="2"/>
      <color rgb="FF000000"/>
      <sz val="18"/>
    </font>
    <font>
      <name val="Calibri"/>
      <family val="2"/>
      <color rgb="FF000000"/>
      <sz val="12"/>
    </font>
    <font>
      <name val="Calibri"/>
      <family val="2"/>
      <color rgb="FF333333"/>
      <sz val="10"/>
    </font>
    <font>
      <name val="Calibri"/>
      <family val="2"/>
      <i val="1"/>
      <color rgb="FF808080"/>
      <sz val="10"/>
    </font>
    <font>
      <name val="Calibri"/>
      <family val="2"/>
      <color rgb="FF0000EE"/>
      <sz val="10"/>
      <u val="single"/>
    </font>
    <font>
      <name val="Calibri"/>
      <family val="2"/>
      <color rgb="FF006600"/>
      <sz val="10"/>
    </font>
    <font>
      <name val="Calibri"/>
      <family val="2"/>
      <color rgb="FF996600"/>
      <sz val="10"/>
    </font>
    <font>
      <name val="Calibri"/>
      <family val="2"/>
      <color rgb="FFCC0000"/>
      <sz val="10"/>
    </font>
    <font>
      <name val="Calibri"/>
      <family val="2"/>
      <b val="1"/>
      <color rgb="FFFFFFFF"/>
      <sz val="10"/>
    </font>
    <font>
      <name val="Calibri"/>
      <family val="2"/>
      <b val="1"/>
      <color rgb="FF000000"/>
      <sz val="10"/>
    </font>
    <font>
      <name val="Calibri"/>
      <family val="2"/>
      <color rgb="FFFFFFFF"/>
      <sz val="10"/>
    </font>
    <font>
      <name val="Calibri"/>
      <family val="2"/>
      <b val="1"/>
      <color rgb="FF000000"/>
      <sz val="11"/>
    </font>
    <font>
      <name val="Arial"/>
      <family val="2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MS Sans Serif"/>
      <family val="2"/>
      <sz val="10"/>
    </font>
    <font>
      <name val="Calibri"/>
      <charset val="1"/>
      <family val="2"/>
      <b val="1"/>
      <color rgb="FF000000"/>
      <sz val="10"/>
    </font>
    <font>
      <name val="Verdana"/>
      <charset val="1"/>
      <family val="2"/>
      <color rgb="FF000000"/>
      <sz val="11"/>
    </font>
    <font>
      <name val="Calibri"/>
      <charset val="1"/>
      <family val="2"/>
      <color rgb="FF000000"/>
      <sz val="10"/>
    </font>
    <font>
      <name val="Verdana"/>
      <charset val="1"/>
      <family val="2"/>
      <b val="1"/>
      <color rgb="FF000000"/>
      <sz val="10"/>
    </font>
    <font>
      <name val="Verdana"/>
      <charset val="1"/>
      <family val="2"/>
      <b val="1"/>
      <color rgb="FF000000"/>
      <sz val="11"/>
    </font>
    <font>
      <name val="Calibri"/>
      <charset val="1"/>
      <family val="2"/>
      <color theme="0"/>
      <sz val="10"/>
    </font>
    <font>
      <name val="Calibri"/>
      <charset val="1"/>
      <family val="2"/>
      <color rgb="FF000000"/>
      <sz val="9"/>
    </font>
    <font>
      <name val="Calibri"/>
      <charset val="1"/>
      <family val="2"/>
      <color rgb="FF000000"/>
      <sz val="11"/>
    </font>
    <font>
      <name val="CorporateS-Regular"/>
      <family val="3"/>
      <color theme="1"/>
      <sz val="14"/>
    </font>
    <font>
      <name val="CorporateS-Regular"/>
      <family val="3"/>
      <color theme="1"/>
      <sz val="11"/>
    </font>
    <font>
      <name val="CorporateS-Regular"/>
      <family val="3"/>
      <b val="1"/>
      <sz val="10"/>
    </font>
    <font>
      <name val="CorporateS-Regular"/>
      <family val="3"/>
      <color rgb="FF000000"/>
      <sz val="10"/>
    </font>
    <font>
      <name val="CorporateS-Regular"/>
      <family val="3"/>
      <sz val="10"/>
    </font>
    <font>
      <name val="Calibri"/>
      <family val="2"/>
      <b val="1"/>
      <color rgb="FFFF0000"/>
      <sz val="12"/>
      <scheme val="minor"/>
    </font>
    <font>
      <name val="Arial"/>
      <family val="2"/>
      <color rgb="FF000000"/>
      <sz val="10"/>
    </font>
    <font>
      <name val="Arial"/>
      <family val="2"/>
      <b val="1"/>
      <color rgb="FF000000"/>
      <sz val="16"/>
      <u val="single"/>
    </font>
    <font>
      <name val="Consolas"/>
      <family val="3"/>
      <color rgb="FF222222"/>
      <sz val="9"/>
    </font>
    <font>
      <name val="Arial"/>
      <family val="2"/>
      <color rgb="FFFFFFFF"/>
      <sz val="10"/>
    </font>
    <font>
      <name val="Arial"/>
      <family val="2"/>
      <b val="1"/>
      <color rgb="FFFFFFFF"/>
      <sz val="16"/>
    </font>
    <font>
      <name val="Arial"/>
      <family val="2"/>
      <color rgb="FF000000"/>
      <sz val="14"/>
    </font>
    <font>
      <name val="Arial"/>
      <family val="2"/>
      <color rgb="FF000000"/>
      <sz val="14"/>
    </font>
    <font>
      <name val="Arial"/>
      <family val="2"/>
      <color rgb="FF000000"/>
      <sz val="12"/>
    </font>
  </fonts>
  <fills count="19">
    <fill>
      <patternFill/>
    </fill>
    <fill>
      <patternFill patternType="gray125"/>
    </fill>
    <fill>
      <patternFill patternType="solid">
        <fgColor rgb="FFFFFFCC"/>
        <bgColor rgb="FFEFF3E9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78787"/>
      </patternFill>
    </fill>
    <fill>
      <patternFill patternType="solid">
        <fgColor rgb="FFDDDDDD"/>
        <bgColor rgb="FFEFF3E9"/>
      </patternFill>
    </fill>
    <fill>
      <patternFill patternType="solid">
        <fgColor rgb="FFFFF200"/>
        <bgColor rgb="FFFFFF38"/>
      </patternFill>
    </fill>
    <fill>
      <patternFill patternType="solid">
        <fgColor rgb="FFFFD320"/>
        <bgColor rgb="FFFFFF0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E6E6E6"/>
        <bgColor rgb="FFE6E6E6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9">
    <xf numFmtId="0" fontId="16" fillId="0" borderId="0"/>
    <xf numFmtId="0" fontId="2" fillId="0" borderId="0"/>
    <xf numFmtId="0" fontId="3" fillId="0" borderId="0"/>
    <xf numFmtId="0" fontId="4" fillId="0" borderId="0"/>
    <xf numFmtId="0" fontId="16" fillId="0" borderId="0"/>
    <xf numFmtId="0" fontId="5" fillId="2" borderId="1"/>
    <xf numFmtId="0" fontId="6" fillId="0" borderId="0"/>
    <xf numFmtId="0" fontId="7" fillId="0" borderId="0"/>
    <xf numFmtId="0" fontId="16" fillId="0" borderId="0"/>
    <xf numFmtId="0" fontId="8" fillId="3" borderId="0"/>
    <xf numFmtId="0" fontId="9" fillId="2" borderId="0"/>
    <xf numFmtId="0" fontId="10" fillId="4" borderId="0"/>
    <xf numFmtId="0" fontId="10" fillId="0" borderId="0"/>
    <xf numFmtId="0" fontId="11" fillId="5" borderId="0"/>
    <xf numFmtId="0" fontId="12" fillId="0" borderId="0"/>
    <xf numFmtId="0" fontId="13" fillId="6" borderId="0"/>
    <xf numFmtId="0" fontId="13" fillId="7" borderId="0"/>
    <xf numFmtId="0" fontId="12" fillId="8" borderId="0"/>
    <xf numFmtId="0" fontId="16" fillId="0" borderId="0"/>
    <xf numFmtId="0" fontId="16" fillId="0" borderId="0"/>
    <xf numFmtId="0" fontId="16" fillId="0" borderId="0"/>
    <xf numFmtId="0" fontId="16" fillId="0" borderId="0" applyAlignment="1">
      <alignment horizontal="left"/>
    </xf>
    <xf numFmtId="0" fontId="14" fillId="0" borderId="0" applyAlignment="1">
      <alignment horizontal="left"/>
    </xf>
    <xf numFmtId="0" fontId="14" fillId="0" borderId="0"/>
    <xf numFmtId="0" fontId="1" fillId="0" borderId="0"/>
    <xf numFmtId="9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/>
    <xf numFmtId="171" fontId="15" fillId="0" borderId="0"/>
    <xf numFmtId="43" fontId="15" fillId="0" borderId="0"/>
    <xf numFmtId="9" fontId="1" fillId="0" borderId="0"/>
    <xf numFmtId="9" fontId="16" fillId="0" borderId="0"/>
  </cellStyleXfs>
  <cellXfs count="95">
    <xf numFmtId="0" fontId="0" fillId="0" borderId="0" pivotButton="0" quotePrefix="0" xfId="0"/>
    <xf numFmtId="164" fontId="0" fillId="0" borderId="0" pivotButton="0" quotePrefix="0" xfId="0"/>
    <xf numFmtId="0" fontId="0" fillId="9" borderId="0" pivotButton="0" quotePrefix="0" xfId="0"/>
    <xf numFmtId="164" fontId="0" fillId="9" borderId="0" pivotButton="0" quotePrefix="0" xfId="0"/>
    <xf numFmtId="10" fontId="1" fillId="0" borderId="0" pivotButton="0" quotePrefix="0" xfId="26"/>
    <xf numFmtId="49" fontId="19" fillId="10" borderId="2" applyAlignment="1" pivotButton="0" quotePrefix="0" xfId="28">
      <alignment horizontal="left" vertical="top" wrapText="1"/>
    </xf>
    <xf numFmtId="0" fontId="19" fillId="10" borderId="2" applyAlignment="1" pivotButton="0" quotePrefix="0" xfId="28">
      <alignment horizontal="left" vertical="top" wrapText="1"/>
    </xf>
    <xf numFmtId="0" fontId="20" fillId="0" borderId="0" applyAlignment="1" pivotButton="0" quotePrefix="0" xfId="28">
      <alignment horizontal="left" vertical="top" wrapText="1"/>
    </xf>
    <xf numFmtId="49" fontId="21" fillId="11" borderId="0" applyAlignment="1" pivotButton="0" quotePrefix="0" xfId="28">
      <alignment horizontal="left" vertical="center"/>
    </xf>
    <xf numFmtId="10" fontId="21" fillId="11" borderId="0" applyAlignment="1" pivotButton="0" quotePrefix="0" xfId="28">
      <alignment horizontal="right" vertical="center"/>
    </xf>
    <xf numFmtId="14" fontId="21" fillId="12" borderId="0" applyAlignment="1" pivotButton="0" quotePrefix="0" xfId="28">
      <alignment horizontal="right" vertical="center"/>
    </xf>
    <xf numFmtId="0" fontId="21" fillId="13" borderId="0" applyAlignment="1" pivotButton="0" quotePrefix="0" xfId="28">
      <alignment horizontal="left" vertical="center"/>
    </xf>
    <xf numFmtId="10" fontId="21" fillId="12" borderId="0" applyAlignment="1" pivotButton="0" quotePrefix="0" xfId="28">
      <alignment horizontal="right" vertical="center"/>
    </xf>
    <xf numFmtId="0" fontId="20" fillId="0" borderId="0" pivotButton="0" quotePrefix="0" xfId="28"/>
    <xf numFmtId="49" fontId="21" fillId="12" borderId="0" applyAlignment="1" pivotButton="0" quotePrefix="0" xfId="28">
      <alignment horizontal="left" vertical="center"/>
    </xf>
    <xf numFmtId="0" fontId="21" fillId="11" borderId="0" applyAlignment="1" pivotButton="0" quotePrefix="0" xfId="28">
      <alignment horizontal="left" vertical="center"/>
    </xf>
    <xf numFmtId="0" fontId="22" fillId="0" borderId="0" pivotButton="0" quotePrefix="0" xfId="28"/>
    <xf numFmtId="49" fontId="19" fillId="10" borderId="0" applyAlignment="1" pivotButton="0" quotePrefix="0" xfId="28">
      <alignment horizontal="left" vertical="center"/>
    </xf>
    <xf numFmtId="10" fontId="19" fillId="10" borderId="0" applyAlignment="1" pivotButton="0" quotePrefix="0" xfId="28">
      <alignment horizontal="right" vertical="center"/>
    </xf>
    <xf numFmtId="10" fontId="19" fillId="10" borderId="0" applyAlignment="1" pivotButton="0" quotePrefix="0" xfId="28">
      <alignment horizontal="left" vertical="center"/>
    </xf>
    <xf numFmtId="0" fontId="23" fillId="0" borderId="0" pivotButton="0" quotePrefix="0" xfId="28"/>
    <xf numFmtId="0" fontId="19" fillId="10" borderId="0" applyAlignment="1" pivotButton="0" quotePrefix="0" xfId="28">
      <alignment vertical="center"/>
    </xf>
    <xf numFmtId="10" fontId="19" fillId="10" borderId="0" applyAlignment="1" pivotButton="0" quotePrefix="0" xfId="28">
      <alignment vertical="center"/>
    </xf>
    <xf numFmtId="9" fontId="20" fillId="0" borderId="0" pivotButton="0" quotePrefix="0" xfId="37"/>
    <xf numFmtId="0" fontId="21" fillId="0" borderId="0" pivotButton="0" quotePrefix="0" xfId="28"/>
    <xf numFmtId="4" fontId="24" fillId="0" borderId="0" pivotButton="0" quotePrefix="0" xfId="28"/>
    <xf numFmtId="10" fontId="21" fillId="0" borderId="0" pivotButton="0" quotePrefix="0" xfId="28"/>
    <xf numFmtId="3" fontId="20" fillId="0" borderId="0" pivotButton="0" quotePrefix="0" xfId="28"/>
    <xf numFmtId="0" fontId="25" fillId="0" borderId="0" pivotButton="0" quotePrefix="0" xfId="28"/>
    <xf numFmtId="0" fontId="26" fillId="0" borderId="0" pivotButton="0" quotePrefix="0" xfId="28"/>
    <xf numFmtId="4" fontId="1" fillId="0" borderId="0" pivotButton="0" quotePrefix="0" xfId="26"/>
    <xf numFmtId="0" fontId="15" fillId="0" borderId="0" pivotButton="0" quotePrefix="0" xfId="28"/>
    <xf numFmtId="10" fontId="15" fillId="0" borderId="0" pivotButton="0" quotePrefix="0" xfId="28"/>
    <xf numFmtId="49" fontId="15" fillId="0" borderId="0" pivotButton="0" quotePrefix="0" xfId="28"/>
    <xf numFmtId="0" fontId="15" fillId="14" borderId="3" pivotButton="0" quotePrefix="0" xfId="34"/>
    <xf numFmtId="0" fontId="15" fillId="0" borderId="0" pivotButton="0" quotePrefix="0" xfId="34"/>
    <xf numFmtId="0" fontId="15" fillId="0" borderId="3" pivotButton="0" quotePrefix="0" xfId="34"/>
    <xf numFmtId="14" fontId="15" fillId="15" borderId="3" pivotButton="0" quotePrefix="0" xfId="34"/>
    <xf numFmtId="10" fontId="15" fillId="16" borderId="3" pivotButton="0" quotePrefix="0" xfId="34"/>
    <xf numFmtId="14" fontId="15" fillId="0" borderId="3" pivotButton="0" quotePrefix="0" xfId="34"/>
    <xf numFmtId="0" fontId="27" fillId="0" borderId="0" applyAlignment="1" pivotButton="0" quotePrefix="0" xfId="29">
      <alignment vertical="center"/>
    </xf>
    <xf numFmtId="0" fontId="28" fillId="0" borderId="0" applyAlignment="1" pivotButton="0" quotePrefix="0" xfId="29">
      <alignment vertical="center"/>
    </xf>
    <xf numFmtId="0" fontId="28" fillId="0" borderId="0" applyAlignment="1" pivotButton="0" quotePrefix="0" xfId="29">
      <alignment vertical="center" wrapText="1"/>
    </xf>
    <xf numFmtId="0" fontId="29" fillId="0" borderId="0" applyAlignment="1" pivotButton="0" quotePrefix="0" xfId="29">
      <alignment horizontal="center" vertical="center" wrapText="1"/>
    </xf>
    <xf numFmtId="0" fontId="30" fillId="0" borderId="0" applyAlignment="1" pivotButton="0" quotePrefix="0" xfId="29">
      <alignment horizontal="left" vertical="center" wrapText="1"/>
    </xf>
    <xf numFmtId="10" fontId="31" fillId="0" borderId="0" applyAlignment="1" pivotButton="0" quotePrefix="0" xfId="29">
      <alignment horizontal="right" vertical="center" wrapText="1"/>
    </xf>
    <xf numFmtId="2" fontId="30" fillId="0" borderId="0" applyAlignment="1" pivotButton="0" quotePrefix="0" xfId="29">
      <alignment horizontal="right" vertical="center" wrapText="1"/>
    </xf>
    <xf numFmtId="10" fontId="30" fillId="0" borderId="0" applyAlignment="1" pivotButton="0" quotePrefix="0" xfId="29">
      <alignment horizontal="right" vertical="center" wrapText="1"/>
    </xf>
    <xf numFmtId="2" fontId="31" fillId="0" borderId="0" applyAlignment="1" pivotButton="0" quotePrefix="0" xfId="29">
      <alignment horizontal="right" vertical="center" wrapText="1"/>
    </xf>
    <xf numFmtId="0" fontId="0" fillId="0" borderId="0" pivotButton="0" quotePrefix="0" xfId="29"/>
    <xf numFmtId="0" fontId="1" fillId="0" borderId="0" applyAlignment="1" pivotButton="0" quotePrefix="0" xfId="26">
      <alignment horizontal="left"/>
    </xf>
    <xf numFmtId="0" fontId="17" fillId="0" borderId="0" pivotButton="0" quotePrefix="0" xfId="29"/>
    <xf numFmtId="0" fontId="0" fillId="0" borderId="4" pivotButton="0" quotePrefix="0" xfId="29"/>
    <xf numFmtId="0" fontId="1" fillId="0" borderId="4" pivotButton="0" quotePrefix="0" xfId="29"/>
    <xf numFmtId="0" fontId="1" fillId="0" borderId="0" pivotButton="0" quotePrefix="0" xfId="26"/>
    <xf numFmtId="10" fontId="1" fillId="0" borderId="0" pivotButton="0" quotePrefix="0" xfId="29"/>
    <xf numFmtId="0" fontId="32" fillId="0" borderId="0" applyAlignment="1" pivotButton="0" quotePrefix="0" xfId="26">
      <alignment horizontal="left"/>
    </xf>
    <xf numFmtId="0" fontId="1" fillId="0" borderId="0" pivotButton="0" quotePrefix="0" xfId="29"/>
    <xf numFmtId="0" fontId="35" fillId="0" borderId="0" pivotButton="0" quotePrefix="0" xfId="0"/>
    <xf numFmtId="0" fontId="33" fillId="17" borderId="0" applyAlignment="1" pivotButton="0" quotePrefix="0" xfId="0">
      <alignment horizontal="center"/>
    </xf>
    <xf numFmtId="0" fontId="38" fillId="17" borderId="0" pivotButton="0" quotePrefix="0" xfId="0"/>
    <xf numFmtId="0" fontId="38" fillId="17" borderId="0" applyAlignment="1" pivotButton="0" quotePrefix="0" xfId="0">
      <alignment horizontal="left"/>
    </xf>
    <xf numFmtId="4" fontId="38" fillId="17" borderId="0" applyAlignment="1" pivotButton="0" quotePrefix="0" xfId="0">
      <alignment horizontal="right"/>
    </xf>
    <xf numFmtId="0" fontId="38" fillId="17" borderId="0" applyAlignment="1" pivotButton="0" quotePrefix="0" xfId="0">
      <alignment horizontal="right"/>
    </xf>
    <xf numFmtId="2" fontId="39" fillId="17" borderId="0" applyAlignment="1" pivotButton="0" quotePrefix="0" xfId="0">
      <alignment horizontal="right"/>
    </xf>
    <xf numFmtId="0" fontId="39" fillId="17" borderId="0" pivotButton="0" quotePrefix="0" xfId="0"/>
    <xf numFmtId="0" fontId="39" fillId="17" borderId="0" applyAlignment="1" pivotButton="0" quotePrefix="0" xfId="0">
      <alignment horizontal="right"/>
    </xf>
    <xf numFmtId="10" fontId="0" fillId="0" borderId="0" pivotButton="0" quotePrefix="0" xfId="0"/>
    <xf numFmtId="0" fontId="0" fillId="0" borderId="0" pivotButton="0" quotePrefix="0" xfId="0"/>
    <xf numFmtId="0" fontId="4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10" fontId="0" fillId="0" borderId="0" applyAlignment="1" pivotButton="0" quotePrefix="0" xfId="0">
      <alignment horizontal="right"/>
    </xf>
    <xf numFmtId="165" fontId="1" fillId="0" borderId="0" pivotButton="0" quotePrefix="0" xfId="29"/>
    <xf numFmtId="166" fontId="1" fillId="0" borderId="0" pivotButton="0" quotePrefix="0" xfId="29"/>
    <xf numFmtId="167" fontId="1" fillId="0" borderId="0" pivotButton="0" quotePrefix="0" xfId="29"/>
    <xf numFmtId="168" fontId="1" fillId="0" borderId="0" pivotButton="0" quotePrefix="0" xfId="29"/>
    <xf numFmtId="168" fontId="1" fillId="0" borderId="0" pivotButton="0" quotePrefix="0" xfId="26"/>
    <xf numFmtId="169" fontId="1" fillId="0" borderId="0" pivotButton="0" quotePrefix="0" xfId="26"/>
    <xf numFmtId="170" fontId="1" fillId="0" borderId="0" pivotButton="0" quotePrefix="0" xfId="29"/>
    <xf numFmtId="10" fontId="16" fillId="0" borderId="0" pivotButton="0" quotePrefix="0" xfId="38"/>
    <xf numFmtId="166" fontId="0" fillId="0" borderId="0" pivotButton="0" quotePrefix="0" xfId="0"/>
    <xf numFmtId="0" fontId="33" fillId="17" borderId="0" pivotButton="0" quotePrefix="0" xfId="0"/>
    <xf numFmtId="0" fontId="34" fillId="17" borderId="0" applyAlignment="1" pivotButton="0" quotePrefix="0" xfId="0">
      <alignment horizontal="center"/>
    </xf>
    <xf numFmtId="0" fontId="33" fillId="17" borderId="0" pivotButton="0" quotePrefix="0" xfId="0"/>
    <xf numFmtId="0" fontId="36" fillId="18" borderId="5" applyAlignment="1" pivotButton="0" quotePrefix="0" xfId="0">
      <alignment horizontal="left" vertical="center" wrapText="1"/>
    </xf>
    <xf numFmtId="0" fontId="0" fillId="0" borderId="6" pivotButton="0" quotePrefix="0" xfId="0"/>
    <xf numFmtId="0" fontId="36" fillId="18" borderId="7" applyAlignment="1" pivotButton="0" quotePrefix="0" xfId="0">
      <alignment horizontal="right" vertical="center" wrapText="1"/>
    </xf>
    <xf numFmtId="0" fontId="0" fillId="0" borderId="7" pivotButton="0" quotePrefix="0" xfId="0"/>
    <xf numFmtId="0" fontId="37" fillId="18" borderId="8" applyAlignment="1" pivotButton="0" quotePrefix="0" xfId="0">
      <alignment horizontal="left" vertical="center" wrapText="1"/>
    </xf>
    <xf numFmtId="0" fontId="0" fillId="0" borderId="9" pivotButton="0" quotePrefix="0" xfId="0"/>
    <xf numFmtId="4" fontId="37" fillId="18" borderId="10" applyAlignment="1" pivotButton="0" quotePrefix="0" xfId="0">
      <alignment horizontal="right" vertical="center" wrapText="1"/>
    </xf>
    <xf numFmtId="0" fontId="0" fillId="0" borderId="10" pivotButton="0" quotePrefix="0" xfId="0"/>
  </cellXfs>
  <cellStyles count="39">
    <cellStyle name="Normal" xfId="0" builtinId="0"/>
    <cellStyle name="Heading" xfId="1"/>
    <cellStyle name="Heading 1" xfId="2"/>
    <cellStyle name="Heading 2" xfId="3"/>
    <cellStyle name="Text" xfId="4"/>
    <cellStyle name="Note" xfId="5"/>
    <cellStyle name="Footnote" xfId="6"/>
    <cellStyle name="Hyperlink" xfId="7"/>
    <cellStyle name="Status" xfId="8"/>
    <cellStyle name="Good" xfId="9"/>
    <cellStyle name="Neutral" xfId="10"/>
    <cellStyle name="Bad" xfId="11"/>
    <cellStyle name="Warning" xfId="12"/>
    <cellStyle name="Error" xfId="13"/>
    <cellStyle name="Accent" xfId="14"/>
    <cellStyle name="Accent 1" xfId="15"/>
    <cellStyle name="Accent 2" xfId="16"/>
    <cellStyle name="Accent 3" xfId="17"/>
    <cellStyle name="Pivot-Tabelle Ecke" xfId="18"/>
    <cellStyle name="Pivot-Tabelle Wert" xfId="19"/>
    <cellStyle name="Pivot-Tabelle Feld" xfId="20"/>
    <cellStyle name="Pivot-Tabelle Kategorie" xfId="21"/>
    <cellStyle name="Pivot-Tabelle Titel" xfId="22"/>
    <cellStyle name="Pivot-Tabelle Ergebnis" xfId="23"/>
    <cellStyle name="Standard 2" xfId="24"/>
    <cellStyle name="Prozent 2" xfId="25"/>
    <cellStyle name="Standard 10" xfId="26"/>
    <cellStyle name="Standard 3" xfId="27"/>
    <cellStyle name="Standard 4" xfId="28"/>
    <cellStyle name="Standard 4 2" xfId="29"/>
    <cellStyle name="Standard 4 2 2" xfId="30"/>
    <cellStyle name="Standard 5" xfId="31"/>
    <cellStyle name="Standard 6" xfId="32"/>
    <cellStyle name="Standard 7" xfId="33"/>
    <cellStyle name="Standard 8" xfId="34"/>
    <cellStyle name="Währung 2" xfId="35"/>
    <cellStyle name="Währung 3" xfId="36"/>
    <cellStyle name="Prozent 3" xfId="37"/>
    <cellStyle name="Per cent" xfId="38" builtinId="5"/>
  </cellStyles>
  <dxfs count="38"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2" formatCode="0.00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2" formatCode="0.00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alignment horizontal="right" vertical="bottom"/>
    </dxf>
    <dxf>
      <font>
        <name val="Arial"/>
        <strike val="0"/>
        <outline val="0"/>
        <shadow val="0"/>
        <condense val="0"/>
        <color rgb="FF000000"/>
        <extend val="0"/>
        <sz val="14"/>
        <vertAlign val="baseline"/>
      </font>
      <numFmt numFmtId="0" formatCode="General"/>
      <fill>
        <patternFill patternType="solid">
          <fgColor indexed="64"/>
          <bgColor theme="0"/>
        </patternFill>
      </fill>
      <border outline="0">
        <left/>
        <right/>
        <top/>
        <bottom/>
        <diagonal/>
      </border>
      <protection locked="1" hidden="0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fill>
        <patternFill>
          <fgColor indexed="64"/>
          <bgColor indexed="65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right" vertical="bottom"/>
      <protection locked="1" hidden="0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fill>
        <patternFill>
          <fgColor indexed="64"/>
          <bgColor indexed="65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numFmt numFmtId="14" formatCode="0.00%"/>
      <alignment horizontal="right" vertical="bottom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alignment horizontal="right" vertical="bottom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alignment horizontal="right" vertical="bottom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alignment horizontal="right" vertical="bottom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Arial"/>
        <strike val="0"/>
        <outline val="0"/>
        <shadow val="0"/>
        <condense val="0"/>
        <color rgb="FF000000"/>
        <extend val="0"/>
        <sz val="12"/>
        <vertAlign val="baseline"/>
      </font>
      <numFmt numFmtId="4" formatCode="#,##0.00"/>
      <fill>
        <patternFill>
          <fgColor indexed="64"/>
          <bgColor indexed="65"/>
        </patternFill>
      </fill>
      <alignment horizontal="right" vertical="bottom"/>
      <protection locked="1" hidden="0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left" vertical="bottom"/>
      <protection locked="1" hidden="0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right" vertical="bottom"/>
      <border outline="0">
        <left/>
        <right/>
        <top/>
        <bottom/>
        <diagonal/>
      </border>
      <protection locked="1" hidden="0"/>
    </dxf>
    <dxf>
      <alignment horizontal="right" vertical="bottom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border outline="0">
        <left/>
        <right/>
        <top/>
        <bottom/>
        <diagonal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EFF3E9"/>
      <rgbColor rgb="FF660066"/>
      <rgbColor rgb="FFFF8080"/>
      <rgbColor rgb="FF0066CC"/>
      <rgbColor rgb="FFDDDDDD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CC"/>
      <rgbColor rgb="FF3366FF"/>
      <rgbColor rgb="FF33CCCC"/>
      <rgbColor rgb="FF98B855"/>
      <rgbColor rgb="FFFFCC00"/>
      <rgbColor rgb="FFE8A202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externalLink" Target="/xl/externalLinks/externalLink1.xml" Id="rId14" /><Relationship Type="http://schemas.openxmlformats.org/officeDocument/2006/relationships/externalLink" Target="/xl/externalLinks/externalLink2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400"/>
            </a:pPr>
            <a:r>
              <a:rPr lang="en-US" sz="1400" b="0">
                <a:latin typeface="CorporateS-Regular" pitchFamily="50" charset="0"/>
              </a:rPr>
              <a:t>Anlageklassen</a:t>
            </a:r>
          </a:p>
        </rich>
      </tx>
      <layout>
        <manualLayout>
          <xMode val="edge"/>
          <yMode val="edge"/>
          <wMode val="factor"/>
          <hMode val="factor"/>
          <x val="0.3296182098765432"/>
          <y val="0.01085470085470086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2446194444444444"/>
          <y val="0.1668303418803419"/>
          <w val="0.4794030864197531"/>
          <h val="0.6637888888888889"/>
        </manualLayout>
      </layout>
      <pieChart>
        <varyColors val="1"/>
        <ser>
          <idx val="0"/>
          <order val="0"/>
          <spPr>
            <a:ln w="12700">
              <a:solidFill>
                <a:schemeClr val="bg1"/>
              </a:solidFill>
              <a:prstDash val="solid"/>
            </a:ln>
            <a:sp3d/>
          </spPr>
          <dPt>
            <idx val="0"/>
            <bubble3D val="0"/>
            <spPr>
              <a:solidFill>
                <a:srgbClr val="FFC000"/>
              </a:solidFill>
              <a:ln w="12700">
                <a:solidFill>
                  <a:schemeClr val="bg1"/>
                </a:solidFill>
                <a:prstDash val="solid"/>
              </a:ln>
              <a:sp3d/>
            </spPr>
          </dPt>
          <dPt>
            <idx val="1"/>
            <bubble3D val="0"/>
            <spPr>
              <a:solidFill>
                <a:schemeClr val="accent6">
                  <a:lumMod val="50000"/>
                </a:schemeClr>
              </a:solidFill>
              <a:ln w="12700">
                <a:solidFill>
                  <a:schemeClr val="bg1"/>
                </a:solidFill>
                <a:prstDash val="solid"/>
              </a:ln>
              <a:sp3d/>
            </spPr>
          </dPt>
          <dPt>
            <idx val="2"/>
            <bubble3D val="0"/>
            <spPr>
              <a:solidFill>
                <a:schemeClr val="bg2">
                  <a:lumMod val="75000"/>
                </a:schemeClr>
              </a:solidFill>
              <a:ln w="12700">
                <a:solidFill>
                  <a:schemeClr val="bg1"/>
                </a:solidFill>
                <a:prstDash val="solid"/>
              </a:ln>
              <a:sp3d/>
            </spPr>
          </dPt>
          <dPt>
            <idx val="3"/>
            <bubble3D val="0"/>
            <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bg1"/>
                </a:solidFill>
                <a:prstDash val="solid"/>
              </a:ln>
              <a:sp3d/>
            </spPr>
          </dPt>
          <dPt>
            <idx val="4"/>
            <bubble3D val="0"/>
            <spPr>
              <a:solidFill>
                <a:schemeClr val="accent6">
                  <a:lumMod val="40000"/>
                  <a:lumOff val="60000"/>
                </a:schemeClr>
              </a:solidFill>
              <a:ln w="12700">
                <a:solidFill>
                  <a:schemeClr val="bg1"/>
                </a:solidFill>
                <a:prstDash val="solid"/>
              </a:ln>
              <a:sp3d/>
            </spPr>
          </dPt>
          <dLbls>
            <numFmt formatCode="0.00%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750">
                    <a:latin typeface="CorporateS-Regular" pitchFamily="50" charset="0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'Diagramm Anlageklassen'!$A$1:$A$8</f>
              <strCache>
                <ptCount val="8"/>
                <pt idx="0">
                  <v>Cash</v>
                </pt>
                <pt idx="1">
                  <v>Metalle</v>
                </pt>
                <pt idx="2">
                  <v>Bergbau</v>
                </pt>
                <pt idx="3">
                  <v>Energie</v>
                </pt>
                <pt idx="4">
                  <v>Agrar</v>
                </pt>
                <pt idx="5">
                  <v>Wasser</v>
                </pt>
                <pt idx="6">
                  <v>Perspektiven</v>
                </pt>
                <pt idx="7">
                  <v>Gelegenheiten</v>
                </pt>
              </strCache>
            </strRef>
          </cat>
          <val>
            <numRef>
              <f>'Diagramm Anlageklassen'!$B$1:$B$8</f>
              <numCache>
                <formatCode>0.00%</formatCode>
                <ptCount val="8"/>
                <pt idx="0">
                  <v>0.01801845305410897</v>
                </pt>
                <pt idx="1">
                  <v>0.2107316789560695</v>
                </pt>
                <pt idx="2">
                  <v>0.1637419472121821</v>
                </pt>
                <pt idx="3">
                  <v>0.1592676117917888</v>
                </pt>
                <pt idx="4">
                  <v>0.04502887561979484</v>
                </pt>
                <pt idx="5">
                  <v>0.0449949134519726</v>
                </pt>
                <pt idx="6">
                  <v>0.2471541626048264</v>
                </pt>
                <pt idx="7">
                  <v>0.1110623573092569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0"/>
        </dLbls>
        <firstSliceAng val="0"/>
      </pieChart>
    </plotArea>
    <legend>
      <legendPos val="b"/>
      <layout>
        <manualLayout>
          <xMode val="edge"/>
          <yMode val="edge"/>
          <wMode val="factor"/>
          <hMode val="factor"/>
          <x val="0.008636489485514593"/>
          <y val="0.8529844822028826"/>
          <w val="0.9748873456790124"/>
          <h val="0.1049102564102564"/>
        </manualLayout>
      </layout>
      <overlay val="0"/>
      <txPr>
        <a:bodyPr/>
        <a:lstStyle/>
        <a:p>
          <a:pPr>
            <a:defRPr sz="750">
              <a:latin typeface="CorporateS-Regular" pitchFamily="50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pivotSource>
    <name>[Muster.xlsx]Risikokennzahlen alt!PivotTable1</name>
    <fmtId val="2"/>
  </pivotSource>
  <chart>
    <title>
      <tx>
        <rich>
          <a:bodyPr/>
          <a:lstStyle/>
          <a:p>
            <a:r>
              <a:rPr lang="en-GB"/>
              <a:t>None</a:t>
            </a:r>
          </a:p>
        </rich>
      </tx>
      <overlay val="0"/>
    </title>
    <pivotFmts>
      <pivotFmt>
        <idx val="0"/>
        <marker>
          <symbol val="none"/>
          <spPr>
            <a:ln>
              <a:prstDash val="solid"/>
            </a:ln>
          </spPr>
        </marker>
      </pivotFmt>
      <pivotFmt>
        <idx val="1"/>
        <marker>
          <symbol val="none"/>
          <spPr>
            <a:ln>
              <a:prstDash val="solid"/>
            </a:ln>
          </spPr>
        </marker>
      </pivotFmt>
      <pivotFmt>
        <idx val="2"/>
        <marker>
          <symbol val="none"/>
          <spPr>
            <a:ln>
              <a:prstDash val="solid"/>
            </a:ln>
          </spPr>
        </marker>
      </pivotFmt>
      <pivotFmt>
        <idx val="3"/>
        <marker>
          <symbol val="none"/>
          <spPr>
            <a:ln>
              <a:prstDash val="solid"/>
            </a:ln>
          </spPr>
        </marker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'Risikokennzahlen alt'!$B$55</f>
              <strCache>
                <ptCount val="1"/>
                <pt idx="0">
                  <v>Ergebnis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'Risikokennzahlen alt'!$A$56:$A$93</f>
              <strCache>
                <ptCount val="37"/>
                <pt idx="0">
                  <v>2017-07-31</v>
                </pt>
                <pt idx="1">
                  <v>2017-08-31</v>
                </pt>
                <pt idx="2">
                  <v>2017-09-30</v>
                </pt>
                <pt idx="3">
                  <v>2017-10-31</v>
                </pt>
                <pt idx="4">
                  <v>2017-11-30</v>
                </pt>
                <pt idx="5">
                  <v>2017-12-31</v>
                </pt>
                <pt idx="6">
                  <v>2018-01-31</v>
                </pt>
                <pt idx="7">
                  <v>2018-02-28</v>
                </pt>
                <pt idx="8">
                  <v>2018-03-31</v>
                </pt>
                <pt idx="9">
                  <v>2018-04-30</v>
                </pt>
                <pt idx="10">
                  <v>2018-05-31</v>
                </pt>
                <pt idx="11">
                  <v>2018-06-30</v>
                </pt>
                <pt idx="12">
                  <v>2018-07-31</v>
                </pt>
                <pt idx="13">
                  <v>2018-08-31</v>
                </pt>
                <pt idx="14">
                  <v>2018-09-30</v>
                </pt>
                <pt idx="15">
                  <v>2018-10-31</v>
                </pt>
                <pt idx="16">
                  <v>2018-11-30</v>
                </pt>
                <pt idx="17">
                  <v>2018-12-31</v>
                </pt>
                <pt idx="18">
                  <v>2019-01-31</v>
                </pt>
                <pt idx="19">
                  <v>2019-02-28</v>
                </pt>
                <pt idx="20">
                  <v>2019-03-31</v>
                </pt>
                <pt idx="21">
                  <v>2019-04-30</v>
                </pt>
                <pt idx="22">
                  <v>2019-05-31</v>
                </pt>
                <pt idx="23">
                  <v>2019-06-30</v>
                </pt>
                <pt idx="24">
                  <v>2019-07-31</v>
                </pt>
                <pt idx="25">
                  <v>2019-08-31</v>
                </pt>
                <pt idx="26">
                  <v>2019-09-30</v>
                </pt>
                <pt idx="27">
                  <v>2019-10-31</v>
                </pt>
                <pt idx="28">
                  <v>2019-11-30</v>
                </pt>
                <pt idx="29">
                  <v>2019-12-31</v>
                </pt>
                <pt idx="30">
                  <v>2020-01-31</v>
                </pt>
                <pt idx="31">
                  <v>2020-02-29</v>
                </pt>
                <pt idx="32">
                  <v>2020-03-31</v>
                </pt>
                <pt idx="33">
                  <v>2020-04-30</v>
                </pt>
                <pt idx="34">
                  <v>2020-05-31</v>
                </pt>
                <pt idx="35">
                  <v>2020-06-30</v>
                </pt>
                <pt idx="36">
                  <v>2020-07-31</v>
                </pt>
              </strCache>
            </strRef>
          </cat>
          <val>
            <numRef>
              <f>'Risikokennzahlen alt'!$B$56:$B$93</f>
              <numCache>
                <formatCode>0.00%</formatCode>
                <ptCount val="37"/>
                <pt idx="1">
                  <v>-0.01646250567113871</v>
                </pt>
                <pt idx="2">
                  <v>0.02115321252059313</v>
                </pt>
                <pt idx="3">
                  <v>0.03884873515745987</v>
                </pt>
                <pt idx="4">
                  <v>-0.01161634985712496</v>
                </pt>
                <pt idx="5">
                  <v>0.01464395701087288</v>
                </pt>
                <pt idx="6">
                  <v>-0.01511397423191277</v>
                </pt>
                <pt idx="7">
                  <v>0.0003144654088051029</v>
                </pt>
                <pt idx="8">
                  <v>-0.003206538824269219</v>
                </pt>
                <pt idx="9">
                  <v>0.05506496783146221</v>
                </pt>
                <pt idx="10">
                  <v>0.03718538889221019</v>
                </pt>
                <pt idx="11">
                  <v>-0.01193152343074541</v>
                </pt>
                <pt idx="12">
                  <v>-0.02893478007233683</v>
                </pt>
                <pt idx="13">
                  <v>0.006307821698906541</v>
                </pt>
                <pt idx="14">
                  <v>-0.007999522416572166</v>
                </pt>
                <pt idx="15">
                  <v>0.01558644761388941</v>
                </pt>
                <pt idx="16">
                  <v>-0.04864896894998803</v>
                </pt>
                <pt idx="17">
                  <v>-0.07598878853939593</v>
                </pt>
                <pt idx="18">
                  <v>0.05797101449275359</v>
                </pt>
                <pt idx="19">
                  <v>0.02351067218859508</v>
                </pt>
                <pt idx="20">
                  <v>0.01960906374501996</v>
                </pt>
                <pt idx="21">
                  <v>0.00311374320776616</v>
                </pt>
                <pt idx="22">
                  <v>-0.04443091905051741</v>
                </pt>
                <pt idx="23">
                  <v>0.01414012738853502</v>
                </pt>
                <pt idx="24">
                  <v>0.01249842984549685</v>
                </pt>
                <pt idx="25">
                  <v>-0.0384591526580238</v>
                </pt>
                <pt idx="26">
                  <v>0.02967550480614169</v>
                </pt>
                <pt idx="27">
                  <v>-0.006139966167533476</v>
                </pt>
                <pt idx="28">
                  <v>0.01077980205509682</v>
                </pt>
                <pt idx="29">
                  <v>0.03255581888486964</v>
                </pt>
                <pt idx="30">
                  <v>-0.07284368204880406</v>
                </pt>
                <pt idx="31">
                  <v>-0.05804560260586317</v>
                </pt>
                <pt idx="32">
                  <v>-0.2366000414966457</v>
                </pt>
                <pt idx="33">
                  <v>-0.03034970103279575</v>
                </pt>
                <pt idx="34">
                  <v>0.1125852564701485</v>
                </pt>
                <pt idx="35">
                  <v>0.03149143432986228</v>
                </pt>
                <pt idx="36">
                  <v>-0.0068387201823659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0771968"/>
        <axId val="150786048"/>
      </barChart>
      <catAx>
        <axId val="15077196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0786048"/>
        <crosses val="autoZero"/>
        <auto val="1"/>
        <lblAlgn val="ctr"/>
        <lblOffset val="100"/>
        <noMultiLvlLbl val="0"/>
      </catAx>
      <valAx>
        <axId val="15078604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507719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pivotSource>
    <name>[Muster.xlsx]Risikokennzahlen alt!PivotTable2</name>
    <fmtId val="2"/>
  </pivotSource>
  <chart>
    <title>
      <tx>
        <rich>
          <a:bodyPr/>
          <a:lstStyle/>
          <a:p>
            <a:r>
              <a:rPr lang="en-GB"/>
              <a:t>None</a:t>
            </a:r>
          </a:p>
        </rich>
      </tx>
      <overlay val="0"/>
    </title>
    <pivotFmts>
      <pivotFmt>
        <idx val="0"/>
        <marker>
          <symbol val="none"/>
          <spPr>
            <a:ln>
              <a:prstDash val="solid"/>
            </a:ln>
          </spPr>
        </marker>
      </pivotFmt>
      <pivotFmt>
        <idx val="1"/>
        <marker>
          <symbol val="none"/>
          <spPr>
            <a:ln>
              <a:prstDash val="solid"/>
            </a:ln>
          </spPr>
        </marker>
      </pivotFmt>
      <pivotFmt>
        <idx val="2"/>
        <marker>
          <symbol val="none"/>
          <spPr>
            <a:ln>
              <a:prstDash val="solid"/>
            </a:ln>
          </spPr>
        </marker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'Risikokennzahlen alt'!$B$101</f>
              <strCache>
                <ptCount val="1"/>
                <pt idx="0">
                  <v>Ergebnis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'Risikokennzahlen alt'!$A$102:$A$139</f>
              <strCache>
                <ptCount val="37"/>
                <pt idx="0">
                  <v>2017-07-31</v>
                </pt>
                <pt idx="1">
                  <v>2017-08-31</v>
                </pt>
                <pt idx="2">
                  <v>2017-09-30</v>
                </pt>
                <pt idx="3">
                  <v>2017-10-31</v>
                </pt>
                <pt idx="4">
                  <v>2017-11-30</v>
                </pt>
                <pt idx="5">
                  <v>2017-12-31</v>
                </pt>
                <pt idx="6">
                  <v>2018-01-31</v>
                </pt>
                <pt idx="7">
                  <v>2018-02-28</v>
                </pt>
                <pt idx="8">
                  <v>2018-03-31</v>
                </pt>
                <pt idx="9">
                  <v>2018-04-30</v>
                </pt>
                <pt idx="10">
                  <v>2018-05-31</v>
                </pt>
                <pt idx="11">
                  <v>2018-06-30</v>
                </pt>
                <pt idx="12">
                  <v>2018-07-31</v>
                </pt>
                <pt idx="13">
                  <v>2018-08-31</v>
                </pt>
                <pt idx="14">
                  <v>2018-09-30</v>
                </pt>
                <pt idx="15">
                  <v>2018-10-31</v>
                </pt>
                <pt idx="16">
                  <v>2018-11-30</v>
                </pt>
                <pt idx="17">
                  <v>2018-12-31</v>
                </pt>
                <pt idx="18">
                  <v>2019-01-31</v>
                </pt>
                <pt idx="19">
                  <v>2019-02-28</v>
                </pt>
                <pt idx="20">
                  <v>2019-03-31</v>
                </pt>
                <pt idx="21">
                  <v>2019-04-30</v>
                </pt>
                <pt idx="22">
                  <v>2019-05-31</v>
                </pt>
                <pt idx="23">
                  <v>2019-06-30</v>
                </pt>
                <pt idx="24">
                  <v>2019-07-31</v>
                </pt>
                <pt idx="25">
                  <v>2019-08-31</v>
                </pt>
                <pt idx="26">
                  <v>2019-09-30</v>
                </pt>
                <pt idx="27">
                  <v>2019-10-31</v>
                </pt>
                <pt idx="28">
                  <v>2019-11-30</v>
                </pt>
                <pt idx="29">
                  <v>2019-12-31</v>
                </pt>
                <pt idx="30">
                  <v>2020-01-31</v>
                </pt>
                <pt idx="31">
                  <v>2020-02-29</v>
                </pt>
                <pt idx="32">
                  <v>2020-03-31</v>
                </pt>
                <pt idx="33">
                  <v>2020-04-30</v>
                </pt>
                <pt idx="34">
                  <v>2020-05-31</v>
                </pt>
                <pt idx="35">
                  <v>2020-06-30</v>
                </pt>
                <pt idx="36">
                  <v>2020-07-31</v>
                </pt>
              </strCache>
            </strRef>
          </cat>
          <val>
            <numRef>
              <f>'Risikokennzahlen alt'!$B$102:$B$139</f>
              <numCache>
                <formatCode>General</formatCode>
                <ptCount val="37"/>
                <pt idx="0">
                  <v>-0.33</v>
                </pt>
                <pt idx="1">
                  <v>-0.33</v>
                </pt>
                <pt idx="2">
                  <v>-0.33</v>
                </pt>
                <pt idx="3">
                  <v>-0.33</v>
                </pt>
                <pt idx="4">
                  <v>-0.33</v>
                </pt>
                <pt idx="5">
                  <v>-0.33</v>
                </pt>
                <pt idx="6">
                  <v>-0.33</v>
                </pt>
                <pt idx="7">
                  <v>-0.33</v>
                </pt>
                <pt idx="8">
                  <v>-0.33</v>
                </pt>
                <pt idx="9">
                  <v>-0.33</v>
                </pt>
                <pt idx="10">
                  <v>-0.32</v>
                </pt>
                <pt idx="11">
                  <v>-0.32</v>
                </pt>
                <pt idx="12">
                  <v>-0.32</v>
                </pt>
                <pt idx="13">
                  <v>-0.32</v>
                </pt>
                <pt idx="14">
                  <v>-0.32</v>
                </pt>
                <pt idx="15">
                  <v>-0.32</v>
                </pt>
                <pt idx="16">
                  <v>-0.32</v>
                </pt>
                <pt idx="17">
                  <v>-0.31</v>
                </pt>
                <pt idx="18">
                  <v>-0.31</v>
                </pt>
                <pt idx="19">
                  <v>-0.31</v>
                </pt>
                <pt idx="20">
                  <v>-0.31</v>
                </pt>
                <pt idx="21">
                  <v>-0.31</v>
                </pt>
                <pt idx="22">
                  <v>-0.32</v>
                </pt>
                <pt idx="23">
                  <v>-0.35</v>
                </pt>
                <pt idx="24">
                  <v>-0.37</v>
                </pt>
                <pt idx="25">
                  <v>-0.43</v>
                </pt>
                <pt idx="26">
                  <v>-0.42</v>
                </pt>
                <pt idx="27">
                  <v>-0.39</v>
                </pt>
                <pt idx="28">
                  <v>-0.4</v>
                </pt>
                <pt idx="29">
                  <v>-0.38</v>
                </pt>
                <pt idx="30">
                  <v>-0.39</v>
                </pt>
                <pt idx="31">
                  <v>-0.42</v>
                </pt>
                <pt idx="32">
                  <v>-0.36</v>
                </pt>
                <pt idx="33">
                  <v>-0.26</v>
                </pt>
                <pt idx="34">
                  <v>-0.31</v>
                </pt>
                <pt idx="35">
                  <v>-0.42</v>
                </pt>
                <pt idx="36">
                  <v>-0.46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0797696"/>
        <axId val="150824064"/>
      </barChart>
      <catAx>
        <axId val="15079769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0824064"/>
        <crosses val="autoZero"/>
        <auto val="1"/>
        <lblAlgn val="ctr"/>
        <lblOffset val="100"/>
        <noMultiLvlLbl val="0"/>
      </catAx>
      <valAx>
        <axId val="150824064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079769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400" b="0"/>
            </a:pPr>
            <a:r>
              <a:rPr lang="de-LI" sz="1400" b="0">
                <a:latin typeface="CorporateS-Regular" pitchFamily="50" charset="0"/>
              </a:rPr>
              <a:t>Währungsanteile</a:t>
            </a:r>
          </a:p>
        </rich>
      </tx>
      <layout>
        <manualLayout>
          <xMode val="edge"/>
          <yMode val="edge"/>
          <wMode val="factor"/>
          <hMode val="factor"/>
          <x val="0.259397086233786"/>
          <y val="0.00448194199822122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2524589506172839"/>
          <y val="0.1614029914529914"/>
          <w val="0.479403086419753"/>
          <h val="0.6637888888888888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bg2">
                  <a:lumMod val="75000"/>
                </a:schemeClr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FBAD2C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bg2">
                  <a:lumMod val="50000"/>
                </a:schemeClr>
              </a:solidFill>
              <a:ln>
                <a:prstDash val="solid"/>
              </a:ln>
            </spPr>
          </dPt>
          <dPt>
            <idx val="3"/>
            <bubble3D val="0"/>
            <explosion val="6"/>
            <spPr>
              <a:solidFill>
                <a:sysClr val="window" lastClr="FFFFFF">
                  <a:lumMod val="95000"/>
                </a:sysClr>
              </a:solidFill>
              <a:ln>
                <a:prstDash val="solid"/>
              </a:ln>
            </spPr>
          </dPt>
          <dPt>
            <idx val="4"/>
            <bubble3D val="0"/>
            <spPr>
              <a:ln>
                <a:prstDash val="solid"/>
              </a:ln>
            </spPr>
          </dPt>
          <dLbls>
            <dLbl>
              <idx val="0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1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2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3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4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5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6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7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numFmt formatCode="0.00%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750">
                    <a:latin typeface="CorporateS-Regular" pitchFamily="50" charset="0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Währungen!$A$2:$A$9</f>
              <strCache>
                <ptCount val="8"/>
                <pt idx="0">
                  <v>CHF</v>
                </pt>
                <pt idx="1">
                  <v>EUR</v>
                </pt>
                <pt idx="2">
                  <v>GBP</v>
                </pt>
                <pt idx="3">
                  <v>USD</v>
                </pt>
                <pt idx="4">
                  <v>JPY</v>
                </pt>
                <pt idx="5">
                  <v>SEK</v>
                </pt>
                <pt idx="6">
                  <v>RUB</v>
                </pt>
                <pt idx="7">
                  <v>NOK</v>
                </pt>
              </strCache>
            </strRef>
          </cat>
          <val>
            <numRef>
              <f>Währungen!$B$2:$B$9</f>
              <numCache>
                <formatCode>0.00%</formatCode>
                <ptCount val="8"/>
                <pt idx="0">
                  <v>0.06980455886946157</v>
                </pt>
                <pt idx="1">
                  <v>0.5398973458372399</v>
                </pt>
                <pt idx="2">
                  <v>0.06999825497342295</v>
                </pt>
                <pt idx="3">
                  <v>0.1999010743109789</v>
                </pt>
                <pt idx="4">
                  <v>0.018037444216015</v>
                </pt>
                <pt idx="5">
                  <v>0.02983102253313733</v>
                </pt>
                <pt idx="6">
                  <v>0.04206932397838516</v>
                </pt>
                <pt idx="7">
                  <v>0.03046097528135897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0"/>
        </dLbls>
        <firstSliceAng val="65"/>
      </pieChart>
    </plotArea>
    <legend>
      <legendPos val="b"/>
      <layout>
        <manualLayout>
          <xMode val="edge"/>
          <yMode val="edge"/>
          <wMode val="factor"/>
          <hMode val="factor"/>
          <x val="0.03625377643504532"/>
          <y val="0.8120888587312384"/>
          <w val="0.9380407407407407"/>
          <h val="0.1808932398916454"/>
        </manualLayout>
      </layout>
      <overlay val="0"/>
      <txPr>
        <a:bodyPr/>
        <a:lstStyle/>
        <a:p>
          <a:pPr>
            <a:defRPr sz="750">
              <a:latin typeface="CorporateS-Regular" pitchFamily="50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latin typeface="Arial"/>
              </a:defRPr>
            </a:pPr>
            <a:r>
              <a:rPr lang="de-DE" sz="1800" b="0" strike="noStrike" spc="-1">
                <a:latin typeface="Arial"/>
              </a:rPr>
              <a:t>Historische Wertentwicklung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Valor!$C$12</f>
              <strCache>
                <ptCount val="1"/>
                <pt idx="0">
                  <v>Entwicklung</v>
                </pt>
              </strCache>
            </strRef>
          </tx>
          <spPr>
            <a:solidFill>
              <a:srgbClr val="E8A20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multiLvlStrRef>
              <multiLvlStrCache>
                <lvl>
                  <pt idx="0">
                    <v>2016-09-30</v>
                  </pt>
                  <pt idx="1">
                    <v>2017-09-30</v>
                  </pt>
                  <pt idx="2">
                    <v>2018-09-30</v>
                  </pt>
                  <pt idx="3">
                    <v>2019-09-30</v>
                  </pt>
                  <pt idx="4">
                    <v>2020-09-30</v>
                  </pt>
                </lvl>
                <lvl>
                  <pt idx="0">
                    <v>2015-09-30</v>
                  </pt>
                  <pt idx="1">
                    <v>2016-09-30</v>
                  </pt>
                  <pt idx="2">
                    <v>2017-09-30</v>
                  </pt>
                  <pt idx="3">
                    <v>2018-09-30</v>
                  </pt>
                  <pt idx="4">
                    <v>2019-09-30</v>
                  </pt>
                </lvl>
              </multiLvlStrCache>
              <f>Valor!$A$13:$B$17</f>
            </multiLvlStrRef>
          </cat>
          <val>
            <numRef>
              <f>Valor!$C$13:$C$17</f>
              <numCache>
                <formatCode>0.00\ %</formatCode>
                <ptCount val="5"/>
                <pt idx="0">
                  <v>0.1656973146887761</v>
                </pt>
                <pt idx="1">
                  <v>0.1058386411889596</v>
                </pt>
                <pt idx="2">
                  <v>-0.02975904771047333</v>
                </pt>
                <pt idx="3">
                  <v>0.07470070248342742</v>
                </pt>
                <pt idx="4">
                  <v>0.2122997606334009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49136128"/>
        <axId val="149137664"/>
      </barChart>
      <catAx>
        <axId val="1491361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>None</a:t>
            </a:r>
            <a:endParaRPr lang="en-US"/>
          </a:p>
        </txPr>
        <crossAx val="149137664"/>
        <crosses val="autoZero"/>
        <auto val="1"/>
        <lblAlgn val="ctr"/>
        <lblOffset val="100"/>
        <noMultiLvlLbl val="1"/>
      </catAx>
      <valAx>
        <axId val="149137664"/>
        <scaling>
          <orientation val="minMax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0.00\ %" sourceLinked="1"/>
        <majorTickMark val="out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>None</a:t>
            </a:r>
            <a:endParaRPr lang="en-US"/>
          </a:p>
        </txPr>
        <crossAx val="14913612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von historische Wertentwicklung 5 Jahre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'historische Wertentwicklung'!$B$2</f>
              <strCache>
                <ptCount val="1"/>
                <pt idx="0">
                  <v>Valor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'historische Wertentwicklung'!$A$3:$A$63</f>
              <strCache>
                <ptCount val="61"/>
                <pt idx="0">
                  <v>2015-09-30</v>
                </pt>
                <pt idx="1">
                  <v>2015-10-31</v>
                </pt>
                <pt idx="2">
                  <v>2015-11-30</v>
                </pt>
                <pt idx="3">
                  <v>2015-12-31</v>
                </pt>
                <pt idx="4">
                  <v>2016-01-31</v>
                </pt>
                <pt idx="5">
                  <v>2016-02-29</v>
                </pt>
                <pt idx="6">
                  <v>2016-03-31</v>
                </pt>
                <pt idx="7">
                  <v>2016-04-30</v>
                </pt>
                <pt idx="8">
                  <v>2016-05-31</v>
                </pt>
                <pt idx="9">
                  <v>2016-06-30</v>
                </pt>
                <pt idx="10">
                  <v>2016-07-31</v>
                </pt>
                <pt idx="11">
                  <v>2016-08-31</v>
                </pt>
                <pt idx="12">
                  <v>2016-09-30</v>
                </pt>
                <pt idx="13">
                  <v>2016-10-31</v>
                </pt>
                <pt idx="14">
                  <v>2016-11-30</v>
                </pt>
                <pt idx="15">
                  <v>2016-12-31</v>
                </pt>
                <pt idx="16">
                  <v>2017-01-31</v>
                </pt>
                <pt idx="17">
                  <v>2017-02-28</v>
                </pt>
                <pt idx="18">
                  <v>2017-03-31</v>
                </pt>
                <pt idx="19">
                  <v>2017-04-30</v>
                </pt>
                <pt idx="20">
                  <v>2017-05-31</v>
                </pt>
                <pt idx="21">
                  <v>2017-06-30</v>
                </pt>
                <pt idx="22">
                  <v>2017-07-31</v>
                </pt>
                <pt idx="23">
                  <v>2017-08-31</v>
                </pt>
                <pt idx="24">
                  <v>2017-09-30</v>
                </pt>
                <pt idx="25">
                  <v>2017-10-31</v>
                </pt>
                <pt idx="26">
                  <v>2017-11-30</v>
                </pt>
                <pt idx="27">
                  <v>2017-12-31</v>
                </pt>
                <pt idx="28">
                  <v>2018-01-31</v>
                </pt>
                <pt idx="29">
                  <v>2018-02-28</v>
                </pt>
                <pt idx="30">
                  <v>2018-03-31</v>
                </pt>
                <pt idx="31">
                  <v>2018-04-30</v>
                </pt>
                <pt idx="32">
                  <v>2018-05-31</v>
                </pt>
                <pt idx="33">
                  <v>2018-06-30</v>
                </pt>
                <pt idx="34">
                  <v>2018-07-31</v>
                </pt>
                <pt idx="35">
                  <v>2018-08-31</v>
                </pt>
                <pt idx="36">
                  <v>2018-09-30</v>
                </pt>
                <pt idx="37">
                  <v>2018-10-31</v>
                </pt>
                <pt idx="38">
                  <v>2018-11-30</v>
                </pt>
                <pt idx="39">
                  <v>2018-12-31</v>
                </pt>
                <pt idx="40">
                  <v>2019-01-31</v>
                </pt>
                <pt idx="41">
                  <v>2019-02-28</v>
                </pt>
                <pt idx="42">
                  <v>2019-03-31</v>
                </pt>
                <pt idx="43">
                  <v>2019-04-30</v>
                </pt>
                <pt idx="44">
                  <v>2019-05-31</v>
                </pt>
                <pt idx="45">
                  <v>2019-06-30</v>
                </pt>
                <pt idx="46">
                  <v>2019-07-31</v>
                </pt>
                <pt idx="47">
                  <v>2019-08-31</v>
                </pt>
                <pt idx="48">
                  <v>2019-09-30</v>
                </pt>
                <pt idx="49">
                  <v>2019-10-31</v>
                </pt>
                <pt idx="50">
                  <v>2019-11-30</v>
                </pt>
                <pt idx="51">
                  <v>2019-12-31</v>
                </pt>
                <pt idx="52">
                  <v>2020-01-31</v>
                </pt>
                <pt idx="53">
                  <v>2020-02-29</v>
                </pt>
                <pt idx="54">
                  <v>2020-03-31</v>
                </pt>
                <pt idx="55">
                  <v>2020-04-30</v>
                </pt>
                <pt idx="56">
                  <v>2020-05-31</v>
                </pt>
                <pt idx="57">
                  <v>2020-06-30</v>
                </pt>
                <pt idx="58">
                  <v>2020-07-31</v>
                </pt>
                <pt idx="59">
                  <v>2020-08-31</v>
                </pt>
                <pt idx="60">
                  <v>2020-09-30</v>
                </pt>
              </strCache>
            </strRef>
          </cat>
          <val>
            <numRef>
              <f>'historische Wertentwicklung'!$B$3:$B$63</f>
              <numCache>
                <formatCode>General</formatCode>
                <ptCount val="61"/>
                <pt idx="0">
                  <v>80.81</v>
                </pt>
                <pt idx="1">
                  <v>85.91</v>
                </pt>
                <pt idx="2">
                  <v>84.81999999999999</v>
                </pt>
                <pt idx="3">
                  <v>81.72</v>
                </pt>
                <pt idx="4">
                  <v>77.15000000000001</v>
                </pt>
                <pt idx="5">
                  <v>80.5</v>
                </pt>
                <pt idx="6">
                  <v>83.39</v>
                </pt>
                <pt idx="7">
                  <v>87.53</v>
                </pt>
                <pt idx="8">
                  <v>85.03</v>
                </pt>
                <pt idx="9">
                  <v>88.98999999999999</v>
                </pt>
                <pt idx="10">
                  <v>95.34999999999999</v>
                </pt>
                <pt idx="11">
                  <v>94.5</v>
                </pt>
                <pt idx="12">
                  <v>94.2</v>
                </pt>
                <pt idx="13">
                  <v>95.48</v>
                </pt>
                <pt idx="14">
                  <v>99.3</v>
                </pt>
                <pt idx="15">
                  <v>98.52</v>
                </pt>
                <pt idx="16">
                  <v>102.59</v>
                </pt>
                <pt idx="17">
                  <v>106.7</v>
                </pt>
                <pt idx="18">
                  <v>102.34</v>
                </pt>
                <pt idx="19">
                  <v>100.5</v>
                </pt>
                <pt idx="20">
                  <v>97.39</v>
                </pt>
                <pt idx="21">
                  <v>96.56999999999999</v>
                </pt>
                <pt idx="22">
                  <v>100.37</v>
                </pt>
                <pt idx="23">
                  <v>101.15</v>
                </pt>
                <pt idx="24">
                  <v>104.17</v>
                </pt>
                <pt idx="25">
                  <v>110.72</v>
                </pt>
                <pt idx="26">
                  <v>110.33</v>
                </pt>
                <pt idx="27">
                  <v>112.15</v>
                </pt>
                <pt idx="28">
                  <v>113.13</v>
                </pt>
                <pt idx="29">
                  <v>111.58</v>
                </pt>
                <pt idx="30">
                  <v>106.62</v>
                </pt>
                <pt idx="31">
                  <v>109.07</v>
                </pt>
                <pt idx="32">
                  <v>113.3</v>
                </pt>
                <pt idx="33">
                  <v>107.99</v>
                </pt>
                <pt idx="34">
                  <v>107.04</v>
                </pt>
                <pt idx="35">
                  <v>101.71</v>
                </pt>
                <pt idx="36">
                  <v>101.07</v>
                </pt>
                <pt idx="37">
                  <v>94.86</v>
                </pt>
                <pt idx="38">
                  <v>98.5</v>
                </pt>
                <pt idx="39">
                  <v>93.06</v>
                </pt>
                <pt idx="40">
                  <v>98.39</v>
                </pt>
                <pt idx="41">
                  <v>103.75</v>
                </pt>
                <pt idx="42">
                  <v>103.83</v>
                </pt>
                <pt idx="43">
                  <v>103.98</v>
                </pt>
                <pt idx="44">
                  <v>100.99</v>
                </pt>
                <pt idx="45">
                  <v>102.67</v>
                </pt>
                <pt idx="46">
                  <v>105.93</v>
                </pt>
                <pt idx="47">
                  <v>103.29</v>
                </pt>
                <pt idx="48">
                  <v>108.62</v>
                </pt>
                <pt idx="49">
                  <v>110.3</v>
                </pt>
                <pt idx="50">
                  <v>111.53</v>
                </pt>
                <pt idx="51">
                  <v>114.28</v>
                </pt>
                <pt idx="52">
                  <v>118.52</v>
                </pt>
                <pt idx="53">
                  <v>121.91</v>
                </pt>
                <pt idx="54">
                  <v>97.68000000000001</v>
                </pt>
                <pt idx="55">
                  <v>112.65</v>
                </pt>
                <pt idx="56">
                  <v>114.87</v>
                </pt>
                <pt idx="57">
                  <v>119.95</v>
                </pt>
                <pt idx="58">
                  <v>129.65</v>
                </pt>
                <pt idx="59">
                  <v>134.28</v>
                </pt>
                <pt idx="60">
                  <v>131.68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5016335"/>
        <axId val="1655104095"/>
      </lineChart>
      <catAx>
        <axId val="16550163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5104095"/>
        <crosses val="autoZero"/>
        <auto val="1"/>
        <lblAlgn val="ctr"/>
        <lblOffset val="100"/>
        <noMultiLvlLbl val="0"/>
      </catAx>
      <valAx>
        <axId val="1655104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5016335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von historische Wertentwicklung 10 Jahre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'historische Wertentwicklung'!$B$70</f>
              <strCache>
                <ptCount val="1"/>
                <pt idx="0">
                  <v>Valor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'historische Wertentwicklung'!$A$71:$A$191</f>
              <strCache>
                <ptCount val="121"/>
                <pt idx="0">
                  <v>2010-09-30</v>
                </pt>
                <pt idx="1">
                  <v>2010-10-31</v>
                </pt>
                <pt idx="2">
                  <v>2010-11-30</v>
                </pt>
                <pt idx="3">
                  <v>2010-12-31</v>
                </pt>
                <pt idx="4">
                  <v>2011-01-31</v>
                </pt>
                <pt idx="5">
                  <v>2011-02-28</v>
                </pt>
                <pt idx="6">
                  <v>2011-03-31</v>
                </pt>
                <pt idx="7">
                  <v>2011-04-30</v>
                </pt>
                <pt idx="8">
                  <v>2011-05-31</v>
                </pt>
                <pt idx="9">
                  <v>2011-06-30</v>
                </pt>
                <pt idx="10">
                  <v>2011-07-31</v>
                </pt>
                <pt idx="11">
                  <v>2011-08-31</v>
                </pt>
                <pt idx="12">
                  <v>2011-09-30</v>
                </pt>
                <pt idx="13">
                  <v>2011-10-31</v>
                </pt>
                <pt idx="14">
                  <v>2011-11-30</v>
                </pt>
                <pt idx="15">
                  <v>2011-12-31</v>
                </pt>
                <pt idx="16">
                  <v>2012-01-31</v>
                </pt>
                <pt idx="17">
                  <v>2012-02-29</v>
                </pt>
                <pt idx="18">
                  <v>2012-03-31</v>
                </pt>
                <pt idx="19">
                  <v>2012-04-30</v>
                </pt>
                <pt idx="20">
                  <v>2012-05-31</v>
                </pt>
                <pt idx="21">
                  <v>2012-06-30</v>
                </pt>
                <pt idx="22">
                  <v>2012-07-31</v>
                </pt>
                <pt idx="23">
                  <v>2012-08-31</v>
                </pt>
                <pt idx="24">
                  <v>2012-09-30</v>
                </pt>
                <pt idx="25">
                  <v>2012-10-31</v>
                </pt>
                <pt idx="26">
                  <v>2012-11-30</v>
                </pt>
                <pt idx="27">
                  <v>2012-12-31</v>
                </pt>
                <pt idx="28">
                  <v>2013-01-31</v>
                </pt>
                <pt idx="29">
                  <v>2013-02-28</v>
                </pt>
                <pt idx="30">
                  <v>2013-03-31</v>
                </pt>
                <pt idx="31">
                  <v>2013-04-30</v>
                </pt>
                <pt idx="32">
                  <v>2013-05-31</v>
                </pt>
                <pt idx="33">
                  <v>2013-06-30</v>
                </pt>
                <pt idx="34">
                  <v>2013-07-31</v>
                </pt>
                <pt idx="35">
                  <v>2013-08-31</v>
                </pt>
                <pt idx="36">
                  <v>2013-09-30</v>
                </pt>
                <pt idx="37">
                  <v>2013-10-31</v>
                </pt>
                <pt idx="38">
                  <v>2013-11-30</v>
                </pt>
                <pt idx="39">
                  <v>2013-12-31</v>
                </pt>
                <pt idx="40">
                  <v>2014-01-31</v>
                </pt>
                <pt idx="41">
                  <v>2014-02-28</v>
                </pt>
                <pt idx="42">
                  <v>2014-03-31</v>
                </pt>
                <pt idx="43">
                  <v>2014-04-30</v>
                </pt>
                <pt idx="44">
                  <v>2014-05-31</v>
                </pt>
                <pt idx="45">
                  <v>2014-06-30</v>
                </pt>
                <pt idx="46">
                  <v>2014-07-31</v>
                </pt>
                <pt idx="47">
                  <v>2014-08-31</v>
                </pt>
                <pt idx="48">
                  <v>2014-09-30</v>
                </pt>
                <pt idx="49">
                  <v>2014-10-31</v>
                </pt>
                <pt idx="50">
                  <v>2014-11-30</v>
                </pt>
                <pt idx="51">
                  <v>2014-12-31</v>
                </pt>
                <pt idx="52">
                  <v>2015-01-31</v>
                </pt>
                <pt idx="53">
                  <v>2015-02-28</v>
                </pt>
                <pt idx="54">
                  <v>2015-03-31</v>
                </pt>
                <pt idx="55">
                  <v>2015-04-30</v>
                </pt>
                <pt idx="56">
                  <v>2015-05-31</v>
                </pt>
                <pt idx="57">
                  <v>2015-06-30</v>
                </pt>
                <pt idx="58">
                  <v>2015-07-31</v>
                </pt>
                <pt idx="59">
                  <v>2015-08-31</v>
                </pt>
                <pt idx="60">
                  <v>2015-09-30</v>
                </pt>
                <pt idx="61">
                  <v>2015-10-31</v>
                </pt>
                <pt idx="62">
                  <v>2015-11-30</v>
                </pt>
                <pt idx="63">
                  <v>2015-12-31</v>
                </pt>
                <pt idx="64">
                  <v>2016-01-31</v>
                </pt>
                <pt idx="65">
                  <v>2016-02-29</v>
                </pt>
                <pt idx="66">
                  <v>2016-03-31</v>
                </pt>
                <pt idx="67">
                  <v>2016-04-30</v>
                </pt>
                <pt idx="68">
                  <v>2016-05-31</v>
                </pt>
                <pt idx="69">
                  <v>2016-06-30</v>
                </pt>
                <pt idx="70">
                  <v>2016-07-31</v>
                </pt>
                <pt idx="71">
                  <v>2016-08-31</v>
                </pt>
                <pt idx="72">
                  <v>2016-09-30</v>
                </pt>
                <pt idx="73">
                  <v>2016-10-31</v>
                </pt>
                <pt idx="74">
                  <v>2016-11-30</v>
                </pt>
                <pt idx="75">
                  <v>2016-12-31</v>
                </pt>
                <pt idx="76">
                  <v>2017-01-31</v>
                </pt>
                <pt idx="77">
                  <v>2017-02-28</v>
                </pt>
                <pt idx="78">
                  <v>2017-03-31</v>
                </pt>
                <pt idx="79">
                  <v>2017-04-30</v>
                </pt>
                <pt idx="80">
                  <v>2017-05-31</v>
                </pt>
                <pt idx="81">
                  <v>2017-06-30</v>
                </pt>
                <pt idx="82">
                  <v>2017-07-31</v>
                </pt>
                <pt idx="83">
                  <v>2017-08-31</v>
                </pt>
                <pt idx="84">
                  <v>2017-09-30</v>
                </pt>
                <pt idx="85">
                  <v>2017-10-31</v>
                </pt>
                <pt idx="86">
                  <v>2017-11-30</v>
                </pt>
                <pt idx="87">
                  <v>2017-12-31</v>
                </pt>
                <pt idx="88">
                  <v>2018-01-31</v>
                </pt>
                <pt idx="89">
                  <v>2018-02-28</v>
                </pt>
                <pt idx="90">
                  <v>2018-03-31</v>
                </pt>
                <pt idx="91">
                  <v>2018-04-30</v>
                </pt>
                <pt idx="92">
                  <v>2018-05-31</v>
                </pt>
                <pt idx="93">
                  <v>2018-06-30</v>
                </pt>
                <pt idx="94">
                  <v>2018-07-31</v>
                </pt>
                <pt idx="95">
                  <v>2018-08-31</v>
                </pt>
                <pt idx="96">
                  <v>2018-09-30</v>
                </pt>
                <pt idx="97">
                  <v>2018-10-31</v>
                </pt>
                <pt idx="98">
                  <v>2018-11-30</v>
                </pt>
                <pt idx="99">
                  <v>2018-12-31</v>
                </pt>
                <pt idx="100">
                  <v>2019-01-31</v>
                </pt>
                <pt idx="101">
                  <v>2019-02-28</v>
                </pt>
                <pt idx="102">
                  <v>2019-03-31</v>
                </pt>
                <pt idx="103">
                  <v>2019-04-30</v>
                </pt>
                <pt idx="104">
                  <v>2019-05-31</v>
                </pt>
                <pt idx="105">
                  <v>2019-06-30</v>
                </pt>
                <pt idx="106">
                  <v>2019-07-31</v>
                </pt>
                <pt idx="107">
                  <v>2019-08-31</v>
                </pt>
                <pt idx="108">
                  <v>2019-09-30</v>
                </pt>
                <pt idx="109">
                  <v>2019-10-31</v>
                </pt>
                <pt idx="110">
                  <v>2019-11-30</v>
                </pt>
                <pt idx="111">
                  <v>2019-12-31</v>
                </pt>
                <pt idx="112">
                  <v>2020-01-31</v>
                </pt>
                <pt idx="113">
                  <v>2020-02-29</v>
                </pt>
                <pt idx="114">
                  <v>2020-03-31</v>
                </pt>
                <pt idx="115">
                  <v>2020-04-30</v>
                </pt>
                <pt idx="116">
                  <v>2020-05-31</v>
                </pt>
                <pt idx="117">
                  <v>2020-06-30</v>
                </pt>
                <pt idx="118">
                  <v>2020-07-31</v>
                </pt>
                <pt idx="119">
                  <v>2020-08-31</v>
                </pt>
                <pt idx="120">
                  <v>2020-09-30</v>
                </pt>
              </strCache>
            </strRef>
          </cat>
          <val>
            <numRef>
              <f>'historische Wertentwicklung'!$B$71:$B$191</f>
              <numCache>
                <formatCode>General</formatCode>
                <ptCount val="121"/>
                <pt idx="0">
                  <v>138.04</v>
                </pt>
                <pt idx="1">
                  <v>143.14</v>
                </pt>
                <pt idx="2">
                  <v>150.85</v>
                </pt>
                <pt idx="3">
                  <v>158.86</v>
                </pt>
                <pt idx="4">
                  <v>152.51</v>
                </pt>
                <pt idx="5">
                  <v>157.85</v>
                </pt>
                <pt idx="6">
                  <v>156.35</v>
                </pt>
                <pt idx="7">
                  <v>154.41</v>
                </pt>
                <pt idx="8">
                  <v>151.24</v>
                </pt>
                <pt idx="9">
                  <v>142.94</v>
                </pt>
                <pt idx="10">
                  <v>146.46</v>
                </pt>
                <pt idx="11">
                  <v>140.76</v>
                </pt>
                <pt idx="12">
                  <v>125.88</v>
                </pt>
                <pt idx="13">
                  <v>133.11</v>
                </pt>
                <pt idx="14">
                  <v>130.8</v>
                </pt>
                <pt idx="15">
                  <v>129.23</v>
                </pt>
                <pt idx="16">
                  <v>139.99</v>
                </pt>
                <pt idx="17">
                  <v>141.6</v>
                </pt>
                <pt idx="18">
                  <v>135.51</v>
                </pt>
                <pt idx="19">
                  <v>133.87</v>
                </pt>
                <pt idx="20">
                  <v>127</v>
                </pt>
                <pt idx="21">
                  <v>126.45</v>
                </pt>
                <pt idx="22">
                  <v>129.87</v>
                </pt>
                <pt idx="23">
                  <v>132.73</v>
                </pt>
                <pt idx="24">
                  <v>132.67</v>
                </pt>
                <pt idx="25">
                  <v>129.42</v>
                </pt>
                <pt idx="26">
                  <v>128.44</v>
                </pt>
                <pt idx="27">
                  <v>126.78</v>
                </pt>
                <pt idx="28">
                  <v>127.05</v>
                </pt>
                <pt idx="29">
                  <v>126.04</v>
                </pt>
                <pt idx="30">
                  <v>128.96</v>
                </pt>
                <pt idx="31">
                  <v>117.24</v>
                </pt>
                <pt idx="32">
                  <v>119.17</v>
                </pt>
                <pt idx="33">
                  <v>107</v>
                </pt>
                <pt idx="34">
                  <v>111.09</v>
                </pt>
                <pt idx="35">
                  <v>113.96</v>
                </pt>
                <pt idx="36">
                  <v>112.07</v>
                </pt>
                <pt idx="37">
                  <v>111.17</v>
                </pt>
                <pt idx="38">
                  <v>107.55</v>
                </pt>
                <pt idx="39">
                  <v>106.29</v>
                </pt>
                <pt idx="40">
                  <v>107.53</v>
                </pt>
                <pt idx="41">
                  <v>112.49</v>
                </pt>
                <pt idx="42">
                  <v>108.26</v>
                </pt>
                <pt idx="43">
                  <v>107.79</v>
                </pt>
                <pt idx="44">
                  <v>108.59</v>
                </pt>
                <pt idx="45">
                  <v>115.6</v>
                </pt>
                <pt idx="46">
                  <v>117.09</v>
                </pt>
                <pt idx="47">
                  <v>115.82</v>
                </pt>
                <pt idx="48">
                  <v>108.58</v>
                </pt>
                <pt idx="49">
                  <v>103.86</v>
                </pt>
                <pt idx="50">
                  <v>104.6</v>
                </pt>
                <pt idx="51">
                  <v>102.49</v>
                </pt>
                <pt idx="52">
                  <v>115.11</v>
                </pt>
                <pt idx="53">
                  <v>111.93</v>
                </pt>
                <pt idx="54">
                  <v>113.85</v>
                </pt>
                <pt idx="55">
                  <v>114.85</v>
                </pt>
                <pt idx="56">
                  <v>112.77</v>
                </pt>
                <pt idx="57">
                  <v>105.66</v>
                </pt>
                <pt idx="58">
                  <v>92.84999999999999</v>
                </pt>
                <pt idx="59">
                  <v>82.84999999999999</v>
                </pt>
                <pt idx="60">
                  <v>80.81</v>
                </pt>
                <pt idx="61">
                  <v>85.91</v>
                </pt>
                <pt idx="62">
                  <v>84.81999999999999</v>
                </pt>
                <pt idx="63">
                  <v>81.72</v>
                </pt>
                <pt idx="64">
                  <v>77.15000000000001</v>
                </pt>
                <pt idx="65">
                  <v>80.5</v>
                </pt>
                <pt idx="66">
                  <v>83.39</v>
                </pt>
                <pt idx="67">
                  <v>87.53</v>
                </pt>
                <pt idx="68">
                  <v>85.03</v>
                </pt>
                <pt idx="69">
                  <v>88.98999999999999</v>
                </pt>
                <pt idx="70">
                  <v>95.34999999999999</v>
                </pt>
                <pt idx="71">
                  <v>94.5</v>
                </pt>
                <pt idx="72">
                  <v>94.2</v>
                </pt>
                <pt idx="73">
                  <v>95.48</v>
                </pt>
                <pt idx="74">
                  <v>99.3</v>
                </pt>
                <pt idx="75">
                  <v>98.52</v>
                </pt>
                <pt idx="76">
                  <v>102.59</v>
                </pt>
                <pt idx="77">
                  <v>106.7</v>
                </pt>
                <pt idx="78">
                  <v>102.34</v>
                </pt>
                <pt idx="79">
                  <v>100.5</v>
                </pt>
                <pt idx="80">
                  <v>97.39</v>
                </pt>
                <pt idx="81">
                  <v>96.56999999999999</v>
                </pt>
                <pt idx="82">
                  <v>100.37</v>
                </pt>
                <pt idx="83">
                  <v>101.15</v>
                </pt>
                <pt idx="84">
                  <v>104.17</v>
                </pt>
                <pt idx="85">
                  <v>110.72</v>
                </pt>
                <pt idx="86">
                  <v>110.33</v>
                </pt>
                <pt idx="87">
                  <v>112.15</v>
                </pt>
                <pt idx="88">
                  <v>113.13</v>
                </pt>
                <pt idx="89">
                  <v>111.58</v>
                </pt>
                <pt idx="90">
                  <v>106.62</v>
                </pt>
                <pt idx="91">
                  <v>109.07</v>
                </pt>
                <pt idx="92">
                  <v>113.3</v>
                </pt>
                <pt idx="93">
                  <v>107.99</v>
                </pt>
                <pt idx="94">
                  <v>107.04</v>
                </pt>
                <pt idx="95">
                  <v>101.71</v>
                </pt>
                <pt idx="96">
                  <v>101.07</v>
                </pt>
                <pt idx="97">
                  <v>94.86</v>
                </pt>
                <pt idx="98">
                  <v>98.5</v>
                </pt>
                <pt idx="99">
                  <v>93.06</v>
                </pt>
                <pt idx="100">
                  <v>98.39</v>
                </pt>
                <pt idx="101">
                  <v>103.75</v>
                </pt>
                <pt idx="102">
                  <v>103.83</v>
                </pt>
                <pt idx="103">
                  <v>103.98</v>
                </pt>
                <pt idx="104">
                  <v>100.99</v>
                </pt>
                <pt idx="105">
                  <v>102.67</v>
                </pt>
                <pt idx="106">
                  <v>105.93</v>
                </pt>
                <pt idx="107">
                  <v>103.29</v>
                </pt>
                <pt idx="108">
                  <v>108.62</v>
                </pt>
                <pt idx="109">
                  <v>110.3</v>
                </pt>
                <pt idx="110">
                  <v>111.53</v>
                </pt>
                <pt idx="111">
                  <v>114.28</v>
                </pt>
                <pt idx="112">
                  <v>118.52</v>
                </pt>
                <pt idx="113">
                  <v>121.91</v>
                </pt>
                <pt idx="114">
                  <v>97.68000000000001</v>
                </pt>
                <pt idx="115">
                  <v>112.65</v>
                </pt>
                <pt idx="116">
                  <v>114.87</v>
                </pt>
                <pt idx="117">
                  <v>119.95</v>
                </pt>
                <pt idx="118">
                  <v>129.65</v>
                </pt>
                <pt idx="119">
                  <v>134.28</v>
                </pt>
                <pt idx="120">
                  <v>131.68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90008399"/>
        <axId val="1390407167"/>
      </lineChart>
      <catAx>
        <axId val="13900083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90407167"/>
        <crosses val="autoZero"/>
        <auto val="1"/>
        <lblAlgn val="ctr"/>
        <lblOffset val="100"/>
        <noMultiLvlLbl val="0"/>
      </catAx>
      <valAx>
        <axId val="1390407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90008399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Risikokennzahlen Vola CRB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Risikokennzahlen!$B$11</f>
              <strCache>
                <ptCount val="1"/>
                <pt idx="0">
                  <v>Wert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Risikokennzahlen!$A$12:$A$48</f>
              <strCache>
                <ptCount val="37"/>
                <pt idx="0">
                  <v>2017-09-30</v>
                </pt>
                <pt idx="1">
                  <v>2017-10-31</v>
                </pt>
                <pt idx="2">
                  <v>2017-11-30</v>
                </pt>
                <pt idx="3">
                  <v>2017-12-31</v>
                </pt>
                <pt idx="4">
                  <v>2018-01-31</v>
                </pt>
                <pt idx="5">
                  <v>2018-02-28</v>
                </pt>
                <pt idx="6">
                  <v>2018-03-31</v>
                </pt>
                <pt idx="7">
                  <v>2018-04-30</v>
                </pt>
                <pt idx="8">
                  <v>2018-05-31</v>
                </pt>
                <pt idx="9">
                  <v>2018-06-30</v>
                </pt>
                <pt idx="10">
                  <v>2018-07-31</v>
                </pt>
                <pt idx="11">
                  <v>2018-08-31</v>
                </pt>
                <pt idx="12">
                  <v>2018-09-30</v>
                </pt>
                <pt idx="13">
                  <v>2018-10-31</v>
                </pt>
                <pt idx="14">
                  <v>2018-11-30</v>
                </pt>
                <pt idx="15">
                  <v>2018-12-31</v>
                </pt>
                <pt idx="16">
                  <v>2019-01-31</v>
                </pt>
                <pt idx="17">
                  <v>2019-02-28</v>
                </pt>
                <pt idx="18">
                  <v>2019-03-31</v>
                </pt>
                <pt idx="19">
                  <v>2019-04-30</v>
                </pt>
                <pt idx="20">
                  <v>2019-05-31</v>
                </pt>
                <pt idx="21">
                  <v>2019-06-30</v>
                </pt>
                <pt idx="22">
                  <v>2019-07-31</v>
                </pt>
                <pt idx="23">
                  <v>2019-08-31</v>
                </pt>
                <pt idx="24">
                  <v>2019-09-30</v>
                </pt>
                <pt idx="25">
                  <v>2019-10-31</v>
                </pt>
                <pt idx="26">
                  <v>2019-11-30</v>
                </pt>
                <pt idx="27">
                  <v>2019-12-31</v>
                </pt>
                <pt idx="28">
                  <v>2020-01-31</v>
                </pt>
                <pt idx="29">
                  <v>2020-02-29</v>
                </pt>
                <pt idx="30">
                  <v>2020-03-31</v>
                </pt>
                <pt idx="31">
                  <v>2020-04-30</v>
                </pt>
                <pt idx="32">
                  <v>2020-05-31</v>
                </pt>
                <pt idx="33">
                  <v>2020-06-30</v>
                </pt>
                <pt idx="34">
                  <v>2020-07-31</v>
                </pt>
                <pt idx="35">
                  <v>2020-08-31</v>
                </pt>
                <pt idx="36">
                  <v>2020-09-30</v>
                </pt>
              </strCache>
            </strRef>
          </cat>
          <val>
            <numRef>
              <f>Risikokennzahlen!$B$12:$B$48</f>
              <numCache>
                <formatCode>General</formatCode>
                <ptCount val="37"/>
                <pt idx="0">
                  <v>154.96</v>
                </pt>
                <pt idx="1">
                  <v>160.98</v>
                </pt>
                <pt idx="2">
                  <v>159.11</v>
                </pt>
                <pt idx="3">
                  <v>161.44</v>
                </pt>
                <pt idx="4">
                  <v>159</v>
                </pt>
                <pt idx="5">
                  <v>159.05</v>
                </pt>
                <pt idx="6">
                  <v>158.54</v>
                </pt>
                <pt idx="7">
                  <v>167.27</v>
                </pt>
                <pt idx="8">
                  <v>173.49</v>
                </pt>
                <pt idx="9">
                  <v>171.42</v>
                </pt>
                <pt idx="10">
                  <v>166.46</v>
                </pt>
                <pt idx="11">
                  <v>167.51</v>
                </pt>
                <pt idx="12">
                  <v>166.17</v>
                </pt>
                <pt idx="13">
                  <v>168.76</v>
                </pt>
                <pt idx="14">
                  <v>160.55</v>
                </pt>
                <pt idx="15">
                  <v>148.35</v>
                </pt>
                <pt idx="16">
                  <v>156.95</v>
                </pt>
                <pt idx="17">
                  <v>160.64</v>
                </pt>
                <pt idx="18">
                  <v>163.79</v>
                </pt>
                <pt idx="19">
                  <v>164.3</v>
                </pt>
                <pt idx="20">
                  <v>157</v>
                </pt>
                <pt idx="21">
                  <v>159.22</v>
                </pt>
                <pt idx="22">
                  <v>161.21</v>
                </pt>
                <pt idx="23">
                  <v>155.01</v>
                </pt>
                <pt idx="24">
                  <v>159.61</v>
                </pt>
                <pt idx="25">
                  <v>158.63</v>
                </pt>
                <pt idx="26">
                  <v>160.34</v>
                </pt>
                <pt idx="27">
                  <v>165.56</v>
                </pt>
                <pt idx="28">
                  <v>153.5</v>
                </pt>
                <pt idx="29">
                  <v>144.59</v>
                </pt>
                <pt idx="30">
                  <v>110.38</v>
                </pt>
                <pt idx="31">
                  <v>107.03</v>
                </pt>
                <pt idx="32">
                  <v>119.08</v>
                </pt>
                <pt idx="33">
                  <v>122.83</v>
                </pt>
                <pt idx="34">
                  <v>121.99</v>
                </pt>
                <pt idx="35">
                  <v>128.33</v>
                </pt>
                <pt idx="36">
                  <v>124.74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8690671"/>
        <axId val="38253423"/>
      </lineChart>
      <catAx>
        <axId val="3869067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8253423"/>
        <crosses val="autoZero"/>
        <auto val="1"/>
        <lblAlgn val="ctr"/>
        <lblOffset val="100"/>
        <noMultiLvlLbl val="0"/>
      </catAx>
      <valAx>
        <axId val="3825342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8690671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Risikokennzahlen Vola Euribor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Risikokennzahlen!$B$55</f>
              <strCache>
                <ptCount val="1"/>
                <pt idx="0">
                  <v>Wert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Risikokennzahlen!$A$56:$A$92</f>
              <strCache>
                <ptCount val="37"/>
                <pt idx="0">
                  <v>2017-09-30</v>
                </pt>
                <pt idx="1">
                  <v>2017-10-31</v>
                </pt>
                <pt idx="2">
                  <v>2017-11-30</v>
                </pt>
                <pt idx="3">
                  <v>2017-12-31</v>
                </pt>
                <pt idx="4">
                  <v>2018-01-31</v>
                </pt>
                <pt idx="5">
                  <v>2018-02-28</v>
                </pt>
                <pt idx="6">
                  <v>2018-03-31</v>
                </pt>
                <pt idx="7">
                  <v>2018-04-30</v>
                </pt>
                <pt idx="8">
                  <v>2018-05-31</v>
                </pt>
                <pt idx="9">
                  <v>2018-06-30</v>
                </pt>
                <pt idx="10">
                  <v>2018-07-31</v>
                </pt>
                <pt idx="11">
                  <v>2018-08-31</v>
                </pt>
                <pt idx="12">
                  <v>2018-09-30</v>
                </pt>
                <pt idx="13">
                  <v>2018-10-31</v>
                </pt>
                <pt idx="14">
                  <v>2018-11-30</v>
                </pt>
                <pt idx="15">
                  <v>2018-12-31</v>
                </pt>
                <pt idx="16">
                  <v>2019-01-31</v>
                </pt>
                <pt idx="17">
                  <v>2019-02-28</v>
                </pt>
                <pt idx="18">
                  <v>2019-03-31</v>
                </pt>
                <pt idx="19">
                  <v>2019-04-30</v>
                </pt>
                <pt idx="20">
                  <v>2019-05-31</v>
                </pt>
                <pt idx="21">
                  <v>2019-06-30</v>
                </pt>
                <pt idx="22">
                  <v>2019-07-31</v>
                </pt>
                <pt idx="23">
                  <v>2019-08-31</v>
                </pt>
                <pt idx="24">
                  <v>2019-09-30</v>
                </pt>
                <pt idx="25">
                  <v>2019-10-31</v>
                </pt>
                <pt idx="26">
                  <v>2019-11-30</v>
                </pt>
                <pt idx="27">
                  <v>2019-12-31</v>
                </pt>
                <pt idx="28">
                  <v>2020-01-31</v>
                </pt>
                <pt idx="29">
                  <v>2020-02-29</v>
                </pt>
                <pt idx="30">
                  <v>2020-03-31</v>
                </pt>
                <pt idx="31">
                  <v>2020-04-30</v>
                </pt>
                <pt idx="32">
                  <v>2020-05-31</v>
                </pt>
                <pt idx="33">
                  <v>2020-06-30</v>
                </pt>
                <pt idx="34">
                  <v>2020-07-31</v>
                </pt>
                <pt idx="35">
                  <v>2020-08-31</v>
                </pt>
                <pt idx="36">
                  <v>2020-09-30</v>
                </pt>
              </strCache>
            </strRef>
          </cat>
          <val>
            <numRef>
              <f>Risikokennzahlen!$B$56:$B$92</f>
              <numCache>
                <formatCode>General</formatCode>
                <ptCount val="37"/>
                <pt idx="0">
                  <v>-0.33</v>
                </pt>
                <pt idx="1">
                  <v>-0.33</v>
                </pt>
                <pt idx="2">
                  <v>-0.33</v>
                </pt>
                <pt idx="3">
                  <v>-0.33</v>
                </pt>
                <pt idx="4">
                  <v>-0.33</v>
                </pt>
                <pt idx="5">
                  <v>-0.33</v>
                </pt>
                <pt idx="6">
                  <v>-0.33</v>
                </pt>
                <pt idx="7">
                  <v>-0.33</v>
                </pt>
                <pt idx="8">
                  <v>-0.32</v>
                </pt>
                <pt idx="9">
                  <v>-0.32</v>
                </pt>
                <pt idx="10">
                  <v>-0.32</v>
                </pt>
                <pt idx="11">
                  <v>-0.32</v>
                </pt>
                <pt idx="12">
                  <v>-0.32</v>
                </pt>
                <pt idx="13">
                  <v>-0.32</v>
                </pt>
                <pt idx="14">
                  <v>-0.32</v>
                </pt>
                <pt idx="15">
                  <v>-0.31</v>
                </pt>
                <pt idx="16">
                  <v>-0.31</v>
                </pt>
                <pt idx="17">
                  <v>-0.31</v>
                </pt>
                <pt idx="18">
                  <v>-0.31</v>
                </pt>
                <pt idx="19">
                  <v>-0.31</v>
                </pt>
                <pt idx="20">
                  <v>-0.32</v>
                </pt>
                <pt idx="21">
                  <v>-0.35</v>
                </pt>
                <pt idx="22">
                  <v>-0.37</v>
                </pt>
                <pt idx="23">
                  <v>-0.43</v>
                </pt>
                <pt idx="24">
                  <v>-0.42</v>
                </pt>
                <pt idx="25">
                  <v>-0.39</v>
                </pt>
                <pt idx="26">
                  <v>-0.4</v>
                </pt>
                <pt idx="27">
                  <v>-0.38</v>
                </pt>
                <pt idx="28">
                  <v>-0.39</v>
                </pt>
                <pt idx="29">
                  <v>-0.42</v>
                </pt>
                <pt idx="30">
                  <v>-0.36</v>
                </pt>
                <pt idx="31">
                  <v>-0.26</v>
                </pt>
                <pt idx="32">
                  <v>-0.31</v>
                </pt>
                <pt idx="33">
                  <v>-0.42</v>
                </pt>
                <pt idx="34">
                  <v>-0.46</v>
                </pt>
                <pt idx="35">
                  <v>-0.48</v>
                </pt>
                <pt idx="36">
                  <v>-0.49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4108527"/>
        <axId val="1626606223"/>
      </lineChart>
      <catAx>
        <axId val="16541085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6606223"/>
        <crosses val="autoZero"/>
        <auto val="1"/>
        <lblAlgn val="ctr"/>
        <lblOffset val="100"/>
        <noMultiLvlLbl val="0"/>
      </catAx>
      <valAx>
        <axId val="162660622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4108527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Risikokennzahlen Vola Valor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Risikokennzahlen!$B$99</f>
              <strCache>
                <ptCount val="1"/>
                <pt idx="0">
                  <v>Wert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Risikokennzahlen!$A$100:$A$136</f>
              <strCache>
                <ptCount val="37"/>
                <pt idx="0">
                  <v>2017-09-30</v>
                </pt>
                <pt idx="1">
                  <v>2017-10-31</v>
                </pt>
                <pt idx="2">
                  <v>2017-11-30</v>
                </pt>
                <pt idx="3">
                  <v>2017-12-31</v>
                </pt>
                <pt idx="4">
                  <v>2018-01-31</v>
                </pt>
                <pt idx="5">
                  <v>2018-02-28</v>
                </pt>
                <pt idx="6">
                  <v>2018-03-31</v>
                </pt>
                <pt idx="7">
                  <v>2018-04-30</v>
                </pt>
                <pt idx="8">
                  <v>2018-05-31</v>
                </pt>
                <pt idx="9">
                  <v>2018-06-30</v>
                </pt>
                <pt idx="10">
                  <v>2018-07-31</v>
                </pt>
                <pt idx="11">
                  <v>2018-08-31</v>
                </pt>
                <pt idx="12">
                  <v>2018-09-30</v>
                </pt>
                <pt idx="13">
                  <v>2018-10-31</v>
                </pt>
                <pt idx="14">
                  <v>2018-11-30</v>
                </pt>
                <pt idx="15">
                  <v>2018-12-31</v>
                </pt>
                <pt idx="16">
                  <v>2019-01-31</v>
                </pt>
                <pt idx="17">
                  <v>2019-02-28</v>
                </pt>
                <pt idx="18">
                  <v>2019-03-31</v>
                </pt>
                <pt idx="19">
                  <v>2019-04-30</v>
                </pt>
                <pt idx="20">
                  <v>2019-05-31</v>
                </pt>
                <pt idx="21">
                  <v>2019-06-30</v>
                </pt>
                <pt idx="22">
                  <v>2019-07-31</v>
                </pt>
                <pt idx="23">
                  <v>2019-08-31</v>
                </pt>
                <pt idx="24">
                  <v>2019-09-30</v>
                </pt>
                <pt idx="25">
                  <v>2019-10-31</v>
                </pt>
                <pt idx="26">
                  <v>2019-11-30</v>
                </pt>
                <pt idx="27">
                  <v>2019-12-31</v>
                </pt>
                <pt idx="28">
                  <v>2020-01-31</v>
                </pt>
                <pt idx="29">
                  <v>2020-02-29</v>
                </pt>
                <pt idx="30">
                  <v>2020-03-31</v>
                </pt>
                <pt idx="31">
                  <v>2020-04-30</v>
                </pt>
                <pt idx="32">
                  <v>2020-05-31</v>
                </pt>
                <pt idx="33">
                  <v>2020-06-30</v>
                </pt>
                <pt idx="34">
                  <v>2020-07-31</v>
                </pt>
                <pt idx="35">
                  <v>2020-08-31</v>
                </pt>
                <pt idx="36">
                  <v>2020-09-30</v>
                </pt>
              </strCache>
            </strRef>
          </cat>
          <val>
            <numRef>
              <f>Risikokennzahlen!$B$100:$B$136</f>
              <numCache>
                <formatCode>General</formatCode>
                <ptCount val="37"/>
                <pt idx="0">
                  <v>104.17</v>
                </pt>
                <pt idx="1">
                  <v>110.72</v>
                </pt>
                <pt idx="2">
                  <v>110.33</v>
                </pt>
                <pt idx="3">
                  <v>112.15</v>
                </pt>
                <pt idx="4">
                  <v>113.13</v>
                </pt>
                <pt idx="5">
                  <v>111.58</v>
                </pt>
                <pt idx="6">
                  <v>106.62</v>
                </pt>
                <pt idx="7">
                  <v>109.07</v>
                </pt>
                <pt idx="8">
                  <v>113.3</v>
                </pt>
                <pt idx="9">
                  <v>107.99</v>
                </pt>
                <pt idx="10">
                  <v>107.04</v>
                </pt>
                <pt idx="11">
                  <v>101.71</v>
                </pt>
                <pt idx="12">
                  <v>101.07</v>
                </pt>
                <pt idx="13">
                  <v>94.86</v>
                </pt>
                <pt idx="14">
                  <v>98.5</v>
                </pt>
                <pt idx="15">
                  <v>93.06</v>
                </pt>
                <pt idx="16">
                  <v>98.39</v>
                </pt>
                <pt idx="17">
                  <v>103.75</v>
                </pt>
                <pt idx="18">
                  <v>103.83</v>
                </pt>
                <pt idx="19">
                  <v>103.98</v>
                </pt>
                <pt idx="20">
                  <v>100.99</v>
                </pt>
                <pt idx="21">
                  <v>102.67</v>
                </pt>
                <pt idx="22">
                  <v>105.93</v>
                </pt>
                <pt idx="23">
                  <v>103.29</v>
                </pt>
                <pt idx="24">
                  <v>108.62</v>
                </pt>
                <pt idx="25">
                  <v>110.3</v>
                </pt>
                <pt idx="26">
                  <v>111.53</v>
                </pt>
                <pt idx="27">
                  <v>114.28</v>
                </pt>
                <pt idx="28">
                  <v>118.52</v>
                </pt>
                <pt idx="29">
                  <v>121.91</v>
                </pt>
                <pt idx="30">
                  <v>97.68000000000001</v>
                </pt>
                <pt idx="31">
                  <v>112.65</v>
                </pt>
                <pt idx="32">
                  <v>114.87</v>
                </pt>
                <pt idx="33">
                  <v>119.95</v>
                </pt>
                <pt idx="34">
                  <v>129.65</v>
                </pt>
                <pt idx="35">
                  <v>134.28</v>
                </pt>
                <pt idx="36">
                  <v>131.68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95930591"/>
        <axId val="1626457983"/>
      </lineChart>
      <catAx>
        <axId val="16959305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6457983"/>
        <crosses val="autoZero"/>
        <auto val="1"/>
        <lblAlgn val="ctr"/>
        <lblOffset val="100"/>
        <noMultiLvlLbl val="0"/>
      </catAx>
      <valAx>
        <axId val="162645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95930591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pivotSource>
    <name>[Muster.xlsx]Risikokennzahlen alt!PivotTable15</name>
    <fmtId val="4"/>
  </pivotSource>
  <chart>
    <title>
      <tx>
        <rich>
          <a:bodyPr/>
          <a:lstStyle/>
          <a:p>
            <a:r>
              <a:rPr lang="en-GB"/>
              <a:t>None</a:t>
            </a:r>
          </a:p>
        </rich>
      </tx>
      <overlay val="0"/>
    </title>
    <pivotFmts>
      <pivotFmt>
        <idx val="0"/>
        <marker>
          <symbol val="none"/>
          <spPr>
            <a:ln>
              <a:prstDash val="solid"/>
            </a:ln>
          </spPr>
        </marker>
      </pivotFmt>
      <pivotFmt>
        <idx val="1"/>
        <marker>
          <symbol val="none"/>
          <spPr>
            <a:ln>
              <a:prstDash val="solid"/>
            </a:ln>
          </spPr>
        </marker>
      </pivotFmt>
      <pivotFmt>
        <idx val="2"/>
        <marker>
          <symbol val="none"/>
          <spPr>
            <a:ln>
              <a:prstDash val="solid"/>
            </a:ln>
          </spPr>
        </marker>
      </pivotFmt>
      <pivotFmt>
        <idx val="3"/>
        <marker>
          <symbol val="none"/>
          <spPr>
            <a:ln>
              <a:prstDash val="solid"/>
            </a:ln>
          </spPr>
        </marker>
      </pivotFmt>
      <pivotFmt>
        <idx val="4"/>
        <marker>
          <symbol val="none"/>
          <spPr>
            <a:ln>
              <a:prstDash val="solid"/>
            </a:ln>
          </spPr>
        </marker>
      </pivotFmt>
      <pivotFmt>
        <idx val="5"/>
        <marker>
          <symbol val="none"/>
          <spPr>
            <a:ln>
              <a:prstDash val="solid"/>
            </a:ln>
          </spPr>
        </marker>
      </pivotFmt>
      <pivotFmt>
        <idx val="6"/>
        <marker>
          <symbol val="none"/>
          <spPr>
            <a:ln>
              <a:prstDash val="solid"/>
            </a:ln>
          </spPr>
        </marker>
      </pivotFmt>
      <pivotFmt>
        <idx val="7"/>
        <marker>
          <symbol val="none"/>
          <spPr>
            <a:ln>
              <a:prstDash val="solid"/>
            </a:ln>
          </spPr>
        </marker>
      </pivotFmt>
      <pivotFmt>
        <idx val="8"/>
        <marker>
          <symbol val="none"/>
          <spPr>
            <a:ln>
              <a:prstDash val="solid"/>
            </a:ln>
          </spPr>
        </marker>
      </pivotFmt>
      <pivotFmt>
        <idx val="9"/>
        <marker>
          <symbol val="none"/>
          <spPr>
            <a:ln>
              <a:prstDash val="solid"/>
            </a:ln>
          </spPr>
        </marker>
      </pivotFmt>
      <pivotFmt>
        <idx val="10"/>
        <marker>
          <symbol val="none"/>
          <spPr>
            <a:ln>
              <a:prstDash val="solid"/>
            </a:ln>
          </spPr>
        </marker>
      </pivotFmt>
      <pivotFmt>
        <idx val="11"/>
        <marker>
          <symbol val="none"/>
          <spPr>
            <a:ln>
              <a:prstDash val="solid"/>
            </a:ln>
          </spPr>
        </marker>
      </pivotFmt>
      <pivotFmt>
        <idx val="12"/>
        <marker>
          <symbol val="none"/>
          <spPr>
            <a:ln>
              <a:prstDash val="solid"/>
            </a:ln>
          </spPr>
        </marker>
      </pivotFmt>
      <pivotFmt>
        <idx val="13"/>
        <marker>
          <symbol val="none"/>
          <spPr>
            <a:ln>
              <a:prstDash val="solid"/>
            </a:ln>
          </spPr>
        </marker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'Risikokennzahlen alt'!$B$12</f>
              <strCache>
                <ptCount val="1"/>
                <pt idx="0">
                  <v>Ergebnis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'Risikokennzahlen alt'!$A$13:$A$50</f>
              <strCache>
                <ptCount val="37"/>
                <pt idx="0">
                  <v>2017-07-31</v>
                </pt>
                <pt idx="1">
                  <v>2017-08-31</v>
                </pt>
                <pt idx="2">
                  <v>2017-09-30</v>
                </pt>
                <pt idx="3">
                  <v>2017-10-31</v>
                </pt>
                <pt idx="4">
                  <v>2017-11-30</v>
                </pt>
                <pt idx="5">
                  <v>2017-12-31</v>
                </pt>
                <pt idx="6">
                  <v>2018-01-31</v>
                </pt>
                <pt idx="7">
                  <v>2018-02-28</v>
                </pt>
                <pt idx="8">
                  <v>2018-03-31</v>
                </pt>
                <pt idx="9">
                  <v>2018-04-30</v>
                </pt>
                <pt idx="10">
                  <v>2018-05-31</v>
                </pt>
                <pt idx="11">
                  <v>2018-06-30</v>
                </pt>
                <pt idx="12">
                  <v>2018-07-31</v>
                </pt>
                <pt idx="13">
                  <v>2018-08-31</v>
                </pt>
                <pt idx="14">
                  <v>2018-09-30</v>
                </pt>
                <pt idx="15">
                  <v>2018-10-31</v>
                </pt>
                <pt idx="16">
                  <v>2018-11-30</v>
                </pt>
                <pt idx="17">
                  <v>2018-12-31</v>
                </pt>
                <pt idx="18">
                  <v>2019-01-31</v>
                </pt>
                <pt idx="19">
                  <v>2019-02-28</v>
                </pt>
                <pt idx="20">
                  <v>2019-03-31</v>
                </pt>
                <pt idx="21">
                  <v>2019-04-30</v>
                </pt>
                <pt idx="22">
                  <v>2019-05-31</v>
                </pt>
                <pt idx="23">
                  <v>2019-06-30</v>
                </pt>
                <pt idx="24">
                  <v>2019-07-31</v>
                </pt>
                <pt idx="25">
                  <v>2019-08-31</v>
                </pt>
                <pt idx="26">
                  <v>2019-09-30</v>
                </pt>
                <pt idx="27">
                  <v>2019-10-31</v>
                </pt>
                <pt idx="28">
                  <v>2019-11-30</v>
                </pt>
                <pt idx="29">
                  <v>2019-12-31</v>
                </pt>
                <pt idx="30">
                  <v>2020-01-31</v>
                </pt>
                <pt idx="31">
                  <v>2020-02-29</v>
                </pt>
                <pt idx="32">
                  <v>2020-03-31</v>
                </pt>
                <pt idx="33">
                  <v>2020-04-30</v>
                </pt>
                <pt idx="34">
                  <v>2020-05-31</v>
                </pt>
                <pt idx="35">
                  <v>2020-06-30</v>
                </pt>
                <pt idx="36">
                  <v>2020-07-31</v>
                </pt>
              </strCache>
            </strRef>
          </cat>
          <val>
            <numRef>
              <f>'Risikokennzahlen alt'!$B$13:$B$50</f>
              <numCache>
                <formatCode>0.00%</formatCode>
                <ptCount val="37"/>
                <pt idx="1">
                  <v>0.007771246388363067</v>
                </pt>
                <pt idx="2">
                  <v>0.02985664854176961</v>
                </pt>
                <pt idx="3">
                  <v>0.06287798790438703</v>
                </pt>
                <pt idx="4">
                  <v>-0.003522398843930641</v>
                </pt>
                <pt idx="5">
                  <v>0.01649596664551806</v>
                </pt>
                <pt idx="6">
                  <v>0.008738296923762726</v>
                </pt>
                <pt idx="7">
                  <v>-0.01370105188720938</v>
                </pt>
                <pt idx="8">
                  <v>-0.0444524108263129</v>
                </pt>
                <pt idx="9">
                  <v>0.02297880322641145</v>
                </pt>
                <pt idx="10">
                  <v>0.03878243329971582</v>
                </pt>
                <pt idx="11">
                  <v>-0.04686672550750223</v>
                </pt>
                <pt idx="12">
                  <v>-0.008797110843596525</v>
                </pt>
                <pt idx="13">
                  <v>-0.04979446935724974</v>
                </pt>
                <pt idx="14">
                  <v>-0.006292399960672507</v>
                </pt>
                <pt idx="15">
                  <v>-0.06144256455921632</v>
                </pt>
                <pt idx="16">
                  <v>0.03837233818258487</v>
                </pt>
                <pt idx="17">
                  <v>-0.05522842639593906</v>
                </pt>
                <pt idx="18">
                  <v>0.05727487642381258</v>
                </pt>
                <pt idx="19">
                  <v>0.05447708100416709</v>
                </pt>
                <pt idx="20">
                  <v>0.0007710843373493812</v>
                </pt>
                <pt idx="21">
                  <v>0.001444669170759951</v>
                </pt>
                <pt idx="22">
                  <v>-0.02875552990959809</v>
                </pt>
                <pt idx="23">
                  <v>0.016635310426775</v>
                </pt>
                <pt idx="24">
                  <v>0.03175221583714819</v>
                </pt>
                <pt idx="25">
                  <v>-0.02492211838006231</v>
                </pt>
                <pt idx="26">
                  <v>0.05160228482912187</v>
                </pt>
                <pt idx="27">
                  <v>0.0154667648683483</v>
                </pt>
                <pt idx="28">
                  <v>0.01115140525838626</v>
                </pt>
                <pt idx="29">
                  <v>0.02465704294808572</v>
                </pt>
                <pt idx="30">
                  <v>0.03710185509275459</v>
                </pt>
                <pt idx="31">
                  <v>0.02860276746540669</v>
                </pt>
                <pt idx="32">
                  <v>-0.1987531785743581</v>
                </pt>
                <pt idx="33">
                  <v>0.1532555282555282</v>
                </pt>
                <pt idx="34">
                  <v>0.01970705725699067</v>
                </pt>
                <pt idx="35">
                  <v>0.04422390528423434</v>
                </pt>
                <pt idx="36">
                  <v>0.08086702792830348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0745856"/>
        <axId val="150747392"/>
      </barChart>
      <catAx>
        <axId val="15074585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0747392"/>
        <crosses val="autoZero"/>
        <auto val="1"/>
        <lblAlgn val="ctr"/>
        <lblOffset val="100"/>
        <noMultiLvlLbl val="0"/>
      </catAx>
      <valAx>
        <axId val="15074739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5074585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161926</colOff>
      <row>10</row>
      <rowOff>85725</rowOff>
    </from>
    <to>
      <col>4</col>
      <colOff>657225</colOff>
      <row>25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161925</colOff>
      <row>1</row>
      <rowOff>171451</rowOff>
    </from>
    <to>
      <col>8</col>
      <colOff>352425</colOff>
      <row>12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1319760</colOff>
      <row>0</row>
      <rowOff>0</rowOff>
    </from>
    <to>
      <col>14</col>
      <colOff>80640</colOff>
      <row>18</row>
      <rowOff>84960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6350</colOff>
      <row>2</row>
      <rowOff>0</rowOff>
    </from>
    <to>
      <col>17</col>
      <colOff>647700</colOff>
      <row>25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0</colOff>
      <row>69</row>
      <rowOff>0</rowOff>
    </from>
    <to>
      <col>18</col>
      <colOff>0</colOff>
      <row>92</row>
      <rowOff>177800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1619250</colOff>
      <row>11</row>
      <rowOff>0</rowOff>
    </from>
    <to>
      <col>19</col>
      <colOff>12700</colOff>
      <row>35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1898650</colOff>
      <row>59</row>
      <rowOff>0</rowOff>
    </from>
    <to>
      <col>10</col>
      <colOff>127000</colOff>
      <row>83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7</col>
      <colOff>654050</colOff>
      <row>99</row>
      <rowOff>127000</rowOff>
    </from>
    <to>
      <col>19</col>
      <colOff>596900</colOff>
      <row>123</row>
      <rowOff>127000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628649</colOff>
      <row>2</row>
      <rowOff>138111</rowOff>
    </from>
    <to>
      <col>24</col>
      <colOff>38100</colOff>
      <row>23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19050</colOff>
      <row>55</row>
      <rowOff>185737</rowOff>
    </from>
    <to>
      <col>15</col>
      <colOff>19050</colOff>
      <row>94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15</col>
      <colOff>38100</colOff>
      <row>102</row>
      <rowOff>14287</rowOff>
    </from>
    <to>
      <col>21</col>
      <colOff>38100</colOff>
      <row>190</row>
      <rowOff>180975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home/Noeh/NOEH%20Dropbox/Eckhard%20Noeh/PREMIUS%20AG/Publikationen/Factsheet%20neu/Valor/Einzeltitel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home/Noeh/NOEH%20Dropbox/Eckhard%20Noeh/Valo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Overview"/>
      <sheetName val="Liquidität"/>
      <sheetName val="Wertpapiere"/>
    </sheetNames>
    <sheetDataSet>
      <sheetData sheetId="0">
        <row r="9">
          <cell r="D9">
            <v>448.79</v>
          </cell>
          <cell r="E9">
            <v>3370.1</v>
          </cell>
          <cell r="F9">
            <v>54450.96</v>
          </cell>
          <cell r="I9">
            <v>-1.83</v>
          </cell>
        </row>
      </sheetData>
      <sheetData sheetId="1" refreshError="1"/>
      <sheetData sheetId="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ortfolio Valor"/>
      <sheetName val="Währungen"/>
      <sheetName val="Diagramm Anlageklassen"/>
      <sheetName val="Top Ten"/>
      <sheetName val="Performance"/>
      <sheetName val="historische Wertentwicklung"/>
      <sheetName val="Valor"/>
      <sheetName val="Tabelle Wertentw."/>
      <sheetName val="kumulative Erträge"/>
      <sheetName val="Risikokennzahlen"/>
    </sheetNames>
    <sheetDataSet>
      <sheetData sheetId="0" refreshError="1">
        <row r="2">
          <cell r="B2" t="str">
            <v>CASH</v>
          </cell>
        </row>
        <row r="36">
          <cell r="A36" t="str">
            <v>Gelegenheiten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Table3" displayName="Table3" ref="A1:I36" headerRowCount="1" totalsRowCount="1">
  <autoFilter ref="A1:I35"/>
  <tableColumns count="9">
    <tableColumn id="1" name="Wertpapier" totalsRowDxfId="37"/>
    <tableColumn id="2" name="Spalte1" dataDxfId="36" totalsRowDxfId="35"/>
    <tableColumn id="9" name="Währung" dataDxfId="34" totalsRowDxfId="33"/>
    <tableColumn id="8" name="Stückzahl" dataDxfId="32" totalsRowDxfId="31"/>
    <tableColumn id="3" name="Einstandspreis" dataDxfId="30" totalsRowDxfId="29"/>
    <tableColumn id="4" name="Marktpreis" dataDxfId="28" totalsRowDxfId="27"/>
    <tableColumn id="5" name="Bewertungsbetrag" totalsRowFunction="sum" dataDxfId="26" totalsRowDxfId="25"/>
    <tableColumn id="6" name="Anteil" totalsRowFunction="sum" dataDxfId="24" totalsRowDxfId="23">
      <calculatedColumnFormula>Table3[[#This Row],[Bewertungsbetrag]]/Table3[[#Totals],[Bewertungsbetrag]]</calculatedColumnFormula>
    </tableColumn>
    <tableColumn id="7" name="Liqui" totalsRowFunction="custom" dataDxfId="22" totalsRowDxfId="21">
      <totalsRowFormula>SUBTOTAL(109,Table3[Anteil])</totalsRow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B8:L20" headerRowCount="1" totalsRowCount="1">
  <autoFilter ref="B8:L19"/>
  <tableColumns count="11">
    <tableColumn id="1" name=" " totalsRowDxfId="20"/>
    <tableColumn id="2" name="EUR" totalsRowFunction="sum" dataDxfId="19" totalsRowDxfId="18"/>
    <tableColumn id="3" name="USD" totalsRowFunction="sum" dataDxfId="17" totalsRowDxfId="16"/>
    <tableColumn id="4" name="GBP" totalsRowFunction="custom" dataDxfId="15" totalsRowDxfId="14">
      <totalsRowFormula>SUM(Table1[GBP])</totalsRowFormula>
    </tableColumn>
    <tableColumn id="5" name="CHF" totalsRowFunction="custom" dataDxfId="13" totalsRowDxfId="12">
      <totalsRowFormula>SUM(Table1[CHF])</totalsRowFormula>
    </tableColumn>
    <tableColumn id="6" name="RUB" totalsRowFunction="custom" dataDxfId="11" totalsRowDxfId="10">
      <totalsRowFormula>SUM(Table1[RUB])</totalsRowFormula>
    </tableColumn>
    <tableColumn id="7" name="NOK" totalsRowFunction="custom" dataDxfId="9" totalsRowDxfId="8">
      <totalsRowFormula>SUM(Table1[NOK])</totalsRowFormula>
    </tableColumn>
    <tableColumn id="8" name="SEK" totalsRowFunction="custom" dataDxfId="7" totalsRowDxfId="6">
      <totalsRowFormula>SUM(Table1[SEK])</totalsRowFormula>
    </tableColumn>
    <tableColumn id="9" name="JPY" totalsRowFunction="custom" dataDxfId="5" totalsRowDxfId="4">
      <totalsRowFormula>SUM(Table1[JPY])</totalsRowFormula>
    </tableColumn>
    <tableColumn id="10" name="HKD" totalsRowFunction="custom" dataDxfId="3" totalsRowDxfId="2">
      <totalsRowFormula>SUM(Table1[HKD])</totalsRowFormula>
    </tableColumn>
    <tableColumn id="11" name="Summe" totalsRowFunction="custom" dataDxfId="1" totalsRowDxfId="0">
      <calculatedColumnFormula>SUM(Table1[[#This Row],[EUR]:[HKD]])</calculatedColumnFormula>
      <totalsRowFormula>Table1[[#Totals],[EUR]]+Table1[[#Totals],[USD]]+Table1[[#Totals],[GBP]]+Table1[[#Totals],[CHF]]+Table1[[#Totals],[RUB]]+Table1[[#Totals],[NOK]]+Table1[[#Totals],[SEK]]+Table1[[#Totals],[JPY]]+Table1[[#Totals],[HKD]]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FBAD2C"/>
    <outlinePr summaryBelow="1" summaryRight="1"/>
    <pageSetUpPr fitToPage="1"/>
  </sheetPr>
  <dimension ref="A1:J48"/>
  <sheetViews>
    <sheetView workbookViewId="0">
      <selection activeCell="E17" sqref="E17"/>
    </sheetView>
  </sheetViews>
  <sheetFormatPr baseColWidth="10" defaultColWidth="11.33203125" defaultRowHeight="14" outlineLevelCol="0"/>
  <cols>
    <col width="14.6640625" customWidth="1" style="13" min="1" max="1"/>
    <col width="34.33203125" customWidth="1" style="13" min="2" max="2"/>
    <col width="13.6640625" customWidth="1" style="13" min="3" max="3"/>
    <col width="9.1640625" customWidth="1" style="13" min="4" max="4"/>
    <col width="8.6640625" customWidth="1" style="13" min="5" max="6"/>
    <col width="8.1640625" customWidth="1" style="13" min="7" max="7"/>
    <col width="9.6640625" customWidth="1" style="13" min="8" max="8"/>
    <col width="8.33203125" customWidth="1" style="13" min="9" max="9"/>
    <col width="8.1640625" customWidth="1" style="13" min="10" max="10"/>
    <col width="11.33203125" customWidth="1" style="13" min="11" max="26"/>
    <col width="11.33203125" customWidth="1" style="13" min="27" max="16384"/>
  </cols>
  <sheetData>
    <row r="1" ht="27" customFormat="1" customHeight="1" s="7">
      <c r="A1" s="5" t="inlineStr">
        <is>
          <t>ISIN</t>
        </is>
      </c>
      <c r="B1" s="6" t="inlineStr">
        <is>
          <t>Fonds</t>
        </is>
      </c>
      <c r="C1" s="6" t="inlineStr">
        <is>
          <t>Anteil %</t>
        </is>
      </c>
      <c r="D1" s="6" t="inlineStr">
        <is>
          <t>Währung</t>
        </is>
      </c>
      <c r="E1" s="6" t="inlineStr">
        <is>
          <t>Total Ret 
1 Mo EUR</t>
        </is>
      </c>
      <c r="F1" s="6" t="inlineStr">
        <is>
          <t>Total Ret 
3 Mo EUR</t>
        </is>
      </c>
      <c r="G1" s="6" t="inlineStr">
        <is>
          <t>Total Ret 
1 Yr EUR</t>
        </is>
      </c>
      <c r="H1" s="6" t="inlineStr">
        <is>
          <t>Total Ret 3 Jahre</t>
        </is>
      </c>
      <c r="I1" s="6" t="inlineStr">
        <is>
          <t>Total Ret 5 Jahre</t>
        </is>
      </c>
      <c r="J1" s="6" t="inlineStr">
        <is>
          <t>Total Ret 10 Jahre</t>
        </is>
      </c>
    </row>
    <row r="2">
      <c r="A2" s="8" t="n"/>
      <c r="B2" s="8" t="inlineStr">
        <is>
          <t>CASH</t>
        </is>
      </c>
      <c r="C2" s="9">
        <f>Einzeltitel!I8</f>
        <v/>
      </c>
      <c r="D2" s="10" t="n"/>
      <c r="E2" s="10" t="n"/>
      <c r="F2" s="10" t="n"/>
      <c r="G2" s="10" t="n"/>
      <c r="H2" s="10" t="n"/>
      <c r="I2" s="10" t="n"/>
      <c r="J2" s="10" t="n"/>
    </row>
    <row r="3">
      <c r="A3" s="11" t="inlineStr">
        <is>
          <t>DE000A0KRJU0</t>
        </is>
      </c>
      <c r="B3" s="11" t="inlineStr">
        <is>
          <t>Kupfer</t>
        </is>
      </c>
      <c r="C3" s="12">
        <f>VLOOKUP(A3,Einzeltitel!$A$2:$I$39,8,FALSE)</f>
        <v/>
      </c>
      <c r="D3" s="10">
        <f>VLOOKUP(A3,Einzeltitel!$A$2:$I$39,3,FALSE)</f>
        <v/>
      </c>
      <c r="E3" s="12">
        <f>IF(VLOOKUP(A3,Performance!$A$2:$H$39,3,FALSE)&lt;&gt;0,VLOOKUP(A3,Performance!$A$2:$H$39,3,FALSE),"-")</f>
        <v/>
      </c>
      <c r="F3" s="12">
        <f>IF(VLOOKUP(A3,Performance!$A$2:$H$39,4,FALSE)&lt;&gt;0,VLOOKUP(A3,Performance!$A$2:$H$39,4,FALSE),"-")</f>
        <v/>
      </c>
      <c r="G3" s="12">
        <f>IF(VLOOKUP(A3,Performance!$A$2:$H$39,5,FALSE)&lt;&gt;0,VLOOKUP(A3,Performance!$A$2:$H$39,5,FALSE),"-")</f>
        <v/>
      </c>
      <c r="H3" s="12">
        <f>IF(VLOOKUP(A3,Performance!$A$2:$H$39,6,FALSE)&lt;&gt;0,VLOOKUP(A3,Performance!$A$2:$H$39,6,FALSE),"-")</f>
        <v/>
      </c>
      <c r="I3" s="12">
        <f>IF(VLOOKUP(A3,Performance!$A$2:$H$39,7,FALSE)&lt;&gt;0,VLOOKUP(A3,Performance!$A$2:$H$39,7,FALSE),"-")</f>
        <v/>
      </c>
      <c r="J3" s="12">
        <f>IF(VLOOKUP(A3,Performance!$A$2:$H$39,8,FALSE)&lt;&gt;0,VLOOKUP(A3,Performance!$A$2:$H$39,8,FALSE),"-")</f>
        <v/>
      </c>
    </row>
    <row r="4">
      <c r="A4" s="8" t="inlineStr">
        <is>
          <t>GB00B684MW17</t>
        </is>
      </c>
      <c r="B4" s="8" t="inlineStr">
        <is>
          <t>Rhodium</t>
        </is>
      </c>
      <c r="C4" s="12">
        <f>VLOOKUP(A4,Einzeltitel!$A$2:$I$39,8,FALSE)</f>
        <v/>
      </c>
      <c r="D4" s="10">
        <f>VLOOKUP(A4,Einzeltitel!$A$2:$I$39,3,FALSE)</f>
        <v/>
      </c>
      <c r="E4" s="12">
        <f>IF(VLOOKUP(A4,Performance!$A$2:$H$39,3,FALSE)&lt;&gt;0,VLOOKUP(A4,Performance!$A$2:$H$39,3,FALSE),"-")</f>
        <v/>
      </c>
      <c r="F4" s="12">
        <f>IF(VLOOKUP(A4,Performance!$A$2:$H$39,4,FALSE)&lt;&gt;0,VLOOKUP(A4,Performance!$A$2:$H$39,4,FALSE),"-")</f>
        <v/>
      </c>
      <c r="G4" s="12">
        <f>IF(VLOOKUP(A4,Performance!$A$2:$H$39,5,FALSE)&lt;&gt;0,VLOOKUP(A4,Performance!$A$2:$H$39,5,FALSE),"-")</f>
        <v/>
      </c>
      <c r="H4" s="12">
        <f>IF(VLOOKUP(A4,Performance!$A$2:$H$39,6,FALSE)&lt;&gt;0,VLOOKUP(A4,Performance!$A$2:$H$39,6,FALSE),"-")</f>
        <v/>
      </c>
      <c r="I4" s="12">
        <f>IF(VLOOKUP(A4,Performance!$A$2:$H$39,7,FALSE)&lt;&gt;0,VLOOKUP(A4,Performance!$A$2:$H$39,7,FALSE),"-")</f>
        <v/>
      </c>
      <c r="J4" s="12">
        <f>IF(VLOOKUP(A4,Performance!$A$2:$H$39,8,FALSE)&lt;&gt;0,VLOOKUP(A4,Performance!$A$2:$H$39,8,FALSE),"-")</f>
        <v/>
      </c>
    </row>
    <row r="5">
      <c r="A5" s="11" t="inlineStr">
        <is>
          <t>DE000A1E0HS6</t>
        </is>
      </c>
      <c r="B5" s="11" t="inlineStr">
        <is>
          <t>SILBER/DB</t>
        </is>
      </c>
      <c r="C5" s="12">
        <f>VLOOKUP(A5,Einzeltitel!$A$2:$I$39,8,FALSE)</f>
        <v/>
      </c>
      <c r="D5" s="10">
        <f>VLOOKUP(A5,Einzeltitel!$A$2:$I$39,3,FALSE)</f>
        <v/>
      </c>
      <c r="E5" s="12">
        <f>IF(VLOOKUP(A5,Performance!$A$2:$H$39,3,FALSE)&lt;&gt;0,VLOOKUP(A5,Performance!$A$2:$H$39,3,FALSE),"-")</f>
        <v/>
      </c>
      <c r="F5" s="12">
        <f>IF(VLOOKUP(A5,Performance!$A$2:$H$39,4,FALSE)&lt;&gt;0,VLOOKUP(A5,Performance!$A$2:$H$39,4,FALSE),"-")</f>
        <v/>
      </c>
      <c r="G5" s="12">
        <f>IF(VLOOKUP(A5,Performance!$A$2:$H$39,5,FALSE)&lt;&gt;0,VLOOKUP(A5,Performance!$A$2:$H$39,5,FALSE),"-")</f>
        <v/>
      </c>
      <c r="H5" s="12">
        <f>IF(VLOOKUP(A5,Performance!$A$2:$H$39,6,FALSE)&lt;&gt;0,VLOOKUP(A5,Performance!$A$2:$H$39,6,FALSE),"-")</f>
        <v/>
      </c>
      <c r="I5" s="12">
        <f>IF(VLOOKUP(A5,Performance!$A$2:$H$39,7,FALSE)&lt;&gt;0,VLOOKUP(A5,Performance!$A$2:$H$39,7,FALSE),"-")</f>
        <v/>
      </c>
      <c r="J5" s="12">
        <f>IF(VLOOKUP(A5,Performance!$A$2:$H$39,8,FALSE)&lt;&gt;0,VLOOKUP(A5,Performance!$A$2:$H$39,8,FALSE),"-")</f>
        <v/>
      </c>
    </row>
    <row r="6">
      <c r="A6" s="8" t="inlineStr">
        <is>
          <t>IE00B43VDT70</t>
        </is>
      </c>
      <c r="B6" s="8" t="inlineStr">
        <is>
          <t>Silver/Source 00</t>
        </is>
      </c>
      <c r="C6" s="12">
        <f>VLOOKUP(A6,Einzeltitel!$A$2:$I$39,8,FALSE)</f>
        <v/>
      </c>
      <c r="D6" s="10">
        <f>VLOOKUP(A6,Einzeltitel!$A$2:$I$39,3,FALSE)</f>
        <v/>
      </c>
      <c r="E6" s="12">
        <f>IF(VLOOKUP(A6,Performance!$A$2:$H$39,3,FALSE)&lt;&gt;0,VLOOKUP(A6,Performance!$A$2:$H$39,3,FALSE),"-")</f>
        <v/>
      </c>
      <c r="F6" s="12">
        <f>IF(VLOOKUP(A6,Performance!$A$2:$H$39,4,FALSE)&lt;&gt;0,VLOOKUP(A6,Performance!$A$2:$H$39,4,FALSE),"-")</f>
        <v/>
      </c>
      <c r="G6" s="12">
        <f>IF(VLOOKUP(A6,Performance!$A$2:$H$39,5,FALSE)&lt;&gt;0,VLOOKUP(A6,Performance!$A$2:$H$39,5,FALSE),"-")</f>
        <v/>
      </c>
      <c r="H6" s="12">
        <f>IF(VLOOKUP(A6,Performance!$A$2:$H$39,6,FALSE)&lt;&gt;0,VLOOKUP(A6,Performance!$A$2:$H$39,6,FALSE),"-")</f>
        <v/>
      </c>
      <c r="I6" s="12">
        <f>IF(VLOOKUP(A6,Performance!$A$2:$H$39,7,FALSE)&lt;&gt;0,VLOOKUP(A6,Performance!$A$2:$H$39,7,FALSE),"-")</f>
        <v/>
      </c>
      <c r="J6" s="12">
        <f>IF(VLOOKUP(A6,Performance!$A$2:$H$39,8,FALSE)&lt;&gt;0,VLOOKUP(A6,Performance!$A$2:$H$39,8,FALSE),"-")</f>
        <v/>
      </c>
    </row>
    <row r="7">
      <c r="A7" s="14" t="inlineStr">
        <is>
          <t>JE00B1VS2W53</t>
        </is>
      </c>
      <c r="B7" s="14" t="inlineStr">
        <is>
          <t>PHPT/ETFS</t>
        </is>
      </c>
      <c r="C7" s="12">
        <f>VLOOKUP(A7,Einzeltitel!$A$2:$I$39,8,FALSE)</f>
        <v/>
      </c>
      <c r="D7" s="10">
        <f>VLOOKUP(A7,Einzeltitel!$A$2:$I$39,3,FALSE)</f>
        <v/>
      </c>
      <c r="E7" s="12">
        <f>IF(VLOOKUP(A7,Performance!$A$2:$H$39,3,FALSE)&lt;&gt;0,VLOOKUP(A7,Performance!$A$2:$H$39,3,FALSE),"-")</f>
        <v/>
      </c>
      <c r="F7" s="12">
        <f>IF(VLOOKUP(A7,Performance!$A$2:$H$39,4,FALSE)&lt;&gt;0,VLOOKUP(A7,Performance!$A$2:$H$39,4,FALSE),"-")</f>
        <v/>
      </c>
      <c r="G7" s="12">
        <f>IF(VLOOKUP(A7,Performance!$A$2:$H$39,5,FALSE)&lt;&gt;0,VLOOKUP(A7,Performance!$A$2:$H$39,5,FALSE),"-")</f>
        <v/>
      </c>
      <c r="H7" s="12">
        <f>IF(VLOOKUP(A7,Performance!$A$2:$H$39,6,FALSE)&lt;&gt;0,VLOOKUP(A7,Performance!$A$2:$H$39,6,FALSE),"-")</f>
        <v/>
      </c>
      <c r="I7" s="12">
        <f>IF(VLOOKUP(A7,Performance!$A$2:$H$39,7,FALSE)&lt;&gt;0,VLOOKUP(A7,Performance!$A$2:$H$39,7,FALSE),"-")</f>
        <v/>
      </c>
      <c r="J7" s="12">
        <f>IF(VLOOKUP(A7,Performance!$A$2:$H$39,8,FALSE)&lt;&gt;0,VLOOKUP(A7,Performance!$A$2:$H$39,8,FALSE),"-")</f>
        <v/>
      </c>
    </row>
    <row r="8">
      <c r="A8" s="15" t="inlineStr">
        <is>
          <t>JE00B2QY0H68</t>
        </is>
      </c>
      <c r="B8" s="15" t="inlineStr">
        <is>
          <t>Zinn</t>
        </is>
      </c>
      <c r="C8" s="12">
        <f>VLOOKUP(A8,Einzeltitel!$A$2:$I$39,8,FALSE)</f>
        <v/>
      </c>
      <c r="D8" s="10">
        <f>VLOOKUP(A8,Einzeltitel!$A$2:$I$39,3,FALSE)</f>
        <v/>
      </c>
      <c r="E8" s="12">
        <f>IF(VLOOKUP(A8,Performance!$A$2:$H$39,3,FALSE)&lt;&gt;0,VLOOKUP(A8,Performance!$A$2:$H$39,3,FALSE),"-")</f>
        <v/>
      </c>
      <c r="F8" s="12">
        <f>IF(VLOOKUP(A8,Performance!$A$2:$H$39,4,FALSE)&lt;&gt;0,VLOOKUP(A8,Performance!$A$2:$H$39,4,FALSE),"-")</f>
        <v/>
      </c>
      <c r="G8" s="12">
        <f>IF(VLOOKUP(A8,Performance!$A$2:$H$39,5,FALSE)&lt;&gt;0,VLOOKUP(A8,Performance!$A$2:$H$39,5,FALSE),"-")</f>
        <v/>
      </c>
      <c r="H8" s="12">
        <f>IF(VLOOKUP(A8,Performance!$A$2:$H$39,6,FALSE)&lt;&gt;0,VLOOKUP(A8,Performance!$A$2:$H$39,6,FALSE),"-")</f>
        <v/>
      </c>
      <c r="I8" s="12">
        <f>IF(VLOOKUP(A8,Performance!$A$2:$H$39,7,FALSE)&lt;&gt;0,VLOOKUP(A8,Performance!$A$2:$H$39,7,FALSE),"-")</f>
        <v/>
      </c>
      <c r="J8" s="12">
        <f>IF(VLOOKUP(A8,Performance!$A$2:$H$39,8,FALSE)&lt;&gt;0,VLOOKUP(A8,Performance!$A$2:$H$39,8,FALSE),"-")</f>
        <v/>
      </c>
    </row>
    <row r="9" ht="13.5" customFormat="1" customHeight="1" s="16">
      <c r="A9" s="11" t="inlineStr">
        <is>
          <t>BE0974320526</t>
        </is>
      </c>
      <c r="B9" s="11" t="inlineStr">
        <is>
          <t>Umicore</t>
        </is>
      </c>
      <c r="C9" s="12">
        <f>VLOOKUP(A9,Einzeltitel!$A$2:$I$39,8,FALSE)</f>
        <v/>
      </c>
      <c r="D9" s="10">
        <f>VLOOKUP(A9,Einzeltitel!$A$2:$I$39,3,FALSE)</f>
        <v/>
      </c>
      <c r="E9" s="12">
        <f>IF(VLOOKUP(A9,Performance!$A$2:$H$39,3,FALSE)&lt;&gt;0,VLOOKUP(A9,Performance!$A$2:$H$39,3,FALSE),"-")</f>
        <v/>
      </c>
      <c r="F9" s="12">
        <f>IF(VLOOKUP(A9,Performance!$A$2:$H$39,4,FALSE)&lt;&gt;0,VLOOKUP(A9,Performance!$A$2:$H$39,4,FALSE),"-")</f>
        <v/>
      </c>
      <c r="G9" s="12">
        <f>IF(VLOOKUP(A9,Performance!$A$2:$H$39,5,FALSE)&lt;&gt;0,VLOOKUP(A9,Performance!$A$2:$H$39,5,FALSE),"-")</f>
        <v/>
      </c>
      <c r="H9" s="12">
        <f>IF(VLOOKUP(A9,Performance!$A$2:$H$39,6,FALSE)&lt;&gt;0,VLOOKUP(A9,Performance!$A$2:$H$39,6,FALSE),"-")</f>
        <v/>
      </c>
      <c r="I9" s="12">
        <f>IF(VLOOKUP(A9,Performance!$A$2:$H$39,7,FALSE)&lt;&gt;0,VLOOKUP(A9,Performance!$A$2:$H$39,7,FALSE),"-")</f>
        <v/>
      </c>
      <c r="J9" s="12">
        <f>IF(VLOOKUP(A9,Performance!$A$2:$H$39,8,FALSE)&lt;&gt;0,VLOOKUP(A9,Performance!$A$2:$H$39,8,FALSE),"-")</f>
        <v/>
      </c>
    </row>
    <row r="10" customFormat="1" s="20">
      <c r="A10" s="17" t="inlineStr">
        <is>
          <t>Metalle</t>
        </is>
      </c>
      <c r="B10" s="17" t="n"/>
      <c r="C10" s="18">
        <f>SUM(C3:C9)</f>
        <v/>
      </c>
      <c r="D10" s="19" t="n"/>
      <c r="E10" s="18">
        <f>IF((SUM(E3:E9)&lt;&gt;0),AVERAGEIF(E3:E9, "&lt;&gt;0"),"-")</f>
        <v/>
      </c>
      <c r="F10" s="18">
        <f>IF((SUM(F3:F9)&lt;&gt;0),AVERAGEIF(F3:F9, "&lt;&gt;0"),"-")</f>
        <v/>
      </c>
      <c r="G10" s="18">
        <f>IF((SUM(G3:G9)&lt;&gt;0),AVERAGEIF(G3:G9, "&lt;&gt;0"),"-")</f>
        <v/>
      </c>
      <c r="H10" s="18">
        <f>IF((SUM(H3:H9)&lt;&gt;0),AVERAGEIF(H3:H9, "&lt;&gt;0"),"-")</f>
        <v/>
      </c>
      <c r="I10" s="18">
        <f>IF((SUM(I3:I9)&lt;&gt;0),AVERAGEIF(I3:I9, "&lt;&gt;0"),"-")</f>
        <v/>
      </c>
      <c r="J10" s="18">
        <f>IF((SUM(J3:J9)&lt;&gt;0),AVERAGEIF(J3:J9, "&lt;&gt;0"),"-")</f>
        <v/>
      </c>
    </row>
    <row r="11" ht="15" customFormat="1" customHeight="1" s="54">
      <c r="A11" s="15" t="inlineStr">
        <is>
          <t>GB0000456144</t>
        </is>
      </c>
      <c r="B11" s="15" t="inlineStr">
        <is>
          <t>Antofagasta</t>
        </is>
      </c>
      <c r="C11" s="12">
        <f>VLOOKUP(A11,Einzeltitel!$A$2:$I$39,8,FALSE)</f>
        <v/>
      </c>
      <c r="D11" s="10">
        <f>VLOOKUP(A11,Einzeltitel!$A$2:$I$39,3,FALSE)</f>
        <v/>
      </c>
      <c r="E11" s="12">
        <f>IF(VLOOKUP(A11,Performance!$A$2:$H$39,3,FALSE)&lt;&gt;0,VLOOKUP(A11,Performance!$A$2:$H$39,3,FALSE),"-")</f>
        <v/>
      </c>
      <c r="F11" s="12">
        <f>IF(VLOOKUP(A11,Performance!$A$2:$H$39,4,FALSE)&lt;&gt;0,VLOOKUP(A11,Performance!$A$2:$H$39,4,FALSE),"-")</f>
        <v/>
      </c>
      <c r="G11" s="12">
        <f>IF(VLOOKUP(A11,Performance!$A$2:$H$39,5,FALSE)&lt;&gt;0,VLOOKUP(A11,Performance!$A$2:$H$39,5,FALSE),"-")</f>
        <v/>
      </c>
      <c r="H11" s="12">
        <f>IF(VLOOKUP(A11,Performance!$A$2:$H$39,6,FALSE)&lt;&gt;0,VLOOKUP(A11,Performance!$A$2:$H$39,6,FALSE),"-")</f>
        <v/>
      </c>
      <c r="I11" s="12">
        <f>IF(VLOOKUP(A11,Performance!$A$2:$H$39,7,FALSE)&lt;&gt;0,VLOOKUP(A11,Performance!$A$2:$H$39,7,FALSE),"-")</f>
        <v/>
      </c>
      <c r="J11" s="12">
        <f>IF(VLOOKUP(A11,Performance!$A$2:$H$39,8,FALSE)&lt;&gt;0,VLOOKUP(A11,Performance!$A$2:$H$39,8,FALSE),"-")</f>
        <v/>
      </c>
    </row>
    <row r="12" ht="15" customFormat="1" customHeight="1" s="54">
      <c r="A12" s="11" t="inlineStr">
        <is>
          <t>US6516391066</t>
        </is>
      </c>
      <c r="B12" s="11" t="inlineStr">
        <is>
          <t>Newmont Mining</t>
        </is>
      </c>
      <c r="C12" s="12">
        <f>VLOOKUP(A12,Einzeltitel!$A$2:$I$39,8,FALSE)</f>
        <v/>
      </c>
      <c r="D12" s="10">
        <f>VLOOKUP(A12,Einzeltitel!$A$2:$I$39,3,FALSE)</f>
        <v/>
      </c>
      <c r="E12" s="12">
        <f>IF(VLOOKUP(A12,Performance!$A$2:$H$39,3,FALSE)&lt;&gt;0,VLOOKUP(A12,Performance!$A$2:$H$39,3,FALSE),"-")</f>
        <v/>
      </c>
      <c r="F12" s="12">
        <f>IF(VLOOKUP(A12,Performance!$A$2:$H$39,4,FALSE)&lt;&gt;0,VLOOKUP(A12,Performance!$A$2:$H$39,4,FALSE),"-")</f>
        <v/>
      </c>
      <c r="G12" s="12">
        <f>IF(VLOOKUP(A12,Performance!$A$2:$H$39,5,FALSE)&lt;&gt;0,VLOOKUP(A12,Performance!$A$2:$H$39,5,FALSE),"-")</f>
        <v/>
      </c>
      <c r="H12" s="12">
        <f>IF(VLOOKUP(A12,Performance!$A$2:$H$39,6,FALSE)&lt;&gt;0,VLOOKUP(A12,Performance!$A$2:$H$39,6,FALSE),"-")</f>
        <v/>
      </c>
      <c r="I12" s="12">
        <f>IF(VLOOKUP(A12,Performance!$A$2:$H$39,7,FALSE)&lt;&gt;0,VLOOKUP(A12,Performance!$A$2:$H$39,7,FALSE),"-")</f>
        <v/>
      </c>
      <c r="J12" s="12">
        <f>IF(VLOOKUP(A12,Performance!$A$2:$H$39,8,FALSE)&lt;&gt;0,VLOOKUP(A12,Performance!$A$2:$H$39,8,FALSE),"-")</f>
        <v/>
      </c>
    </row>
    <row r="13" ht="15" customFormat="1" customHeight="1" s="54">
      <c r="A13" s="15" t="inlineStr">
        <is>
          <t>JP3402600005</t>
        </is>
      </c>
      <c r="B13" s="15" t="inlineStr">
        <is>
          <t>Sumitomo Metal Mng</t>
        </is>
      </c>
      <c r="C13" s="12">
        <f>VLOOKUP(A13,Einzeltitel!$A$2:$I$39,8,FALSE)</f>
        <v/>
      </c>
      <c r="D13" s="10">
        <f>VLOOKUP(A13,Einzeltitel!$A$2:$I$39,3,FALSE)</f>
        <v/>
      </c>
      <c r="E13" s="12">
        <f>IF(VLOOKUP(A13,Performance!$A$2:$H$39,3,FALSE)&lt;&gt;0,VLOOKUP(A13,Performance!$A$2:$H$39,3,FALSE),"-")</f>
        <v/>
      </c>
      <c r="F13" s="12">
        <f>IF(VLOOKUP(A13,Performance!$A$2:$H$39,4,FALSE)&lt;&gt;0,VLOOKUP(A13,Performance!$A$2:$H$39,4,FALSE),"-")</f>
        <v/>
      </c>
      <c r="G13" s="12">
        <f>IF(VLOOKUP(A13,Performance!$A$2:$H$39,5,FALSE)&lt;&gt;0,VLOOKUP(A13,Performance!$A$2:$H$39,5,FALSE),"-")</f>
        <v/>
      </c>
      <c r="H13" s="12">
        <f>IF(VLOOKUP(A13,Performance!$A$2:$H$39,6,FALSE)&lt;&gt;0,VLOOKUP(A13,Performance!$A$2:$H$39,6,FALSE),"-")</f>
        <v/>
      </c>
      <c r="I13" s="12">
        <f>IF(VLOOKUP(A13,Performance!$A$2:$H$39,7,FALSE)&lt;&gt;0,VLOOKUP(A13,Performance!$A$2:$H$39,7,FALSE),"-")</f>
        <v/>
      </c>
      <c r="J13" s="12">
        <f>IF(VLOOKUP(A13,Performance!$A$2:$H$39,8,FALSE)&lt;&gt;0,VLOOKUP(A13,Performance!$A$2:$H$39,8,FALSE),"-")</f>
        <v/>
      </c>
    </row>
    <row r="14" ht="15" customFormat="1" customHeight="1" s="54">
      <c r="A14" s="11" t="inlineStr">
        <is>
          <t>ZAE000018123</t>
        </is>
      </c>
      <c r="B14" s="11" t="inlineStr">
        <is>
          <t>Gold Fields</t>
        </is>
      </c>
      <c r="C14" s="12">
        <f>VLOOKUP(A14,Einzeltitel!$A$2:$I$39,8,FALSE)</f>
        <v/>
      </c>
      <c r="D14" s="10">
        <f>VLOOKUP(A14,Einzeltitel!$A$2:$I$39,3,FALSE)</f>
        <v/>
      </c>
      <c r="E14" s="12">
        <f>IF(VLOOKUP(A14,Performance!$A$2:$H$39,3,FALSE)&lt;&gt;0,VLOOKUP(A14,Performance!$A$2:$H$39,3,FALSE),"-")</f>
        <v/>
      </c>
      <c r="F14" s="12">
        <f>IF(VLOOKUP(A14,Performance!$A$2:$H$39,4,FALSE)&lt;&gt;0,VLOOKUP(A14,Performance!$A$2:$H$39,4,FALSE),"-")</f>
        <v/>
      </c>
      <c r="G14" s="12">
        <f>IF(VLOOKUP(A14,Performance!$A$2:$H$39,5,FALSE)&lt;&gt;0,VLOOKUP(A14,Performance!$A$2:$H$39,5,FALSE),"-")</f>
        <v/>
      </c>
      <c r="H14" s="12">
        <f>IF(VLOOKUP(A14,Performance!$A$2:$H$39,6,FALSE)&lt;&gt;0,VLOOKUP(A14,Performance!$A$2:$H$39,6,FALSE),"-")</f>
        <v/>
      </c>
      <c r="I14" s="12">
        <f>IF(VLOOKUP(A14,Performance!$A$2:$H$39,7,FALSE)&lt;&gt;0,VLOOKUP(A14,Performance!$A$2:$H$39,7,FALSE),"-")</f>
        <v/>
      </c>
      <c r="J14" s="12">
        <f>IF(VLOOKUP(A14,Performance!$A$2:$H$39,8,FALSE)&lt;&gt;0,VLOOKUP(A14,Performance!$A$2:$H$39,8,FALSE),"-")</f>
        <v/>
      </c>
    </row>
    <row r="15" ht="15" customFormat="1" customHeight="1" s="54">
      <c r="A15" s="15" t="inlineStr">
        <is>
          <t>CA8787422044</t>
        </is>
      </c>
      <c r="B15" s="15" t="inlineStr">
        <is>
          <t>Teck Resources</t>
        </is>
      </c>
      <c r="C15" s="12">
        <f>VLOOKUP(A15,Einzeltitel!$A$2:$I$39,8,FALSE)</f>
        <v/>
      </c>
      <c r="D15" s="10">
        <f>VLOOKUP(A15,Einzeltitel!$A$2:$I$39,3,FALSE)</f>
        <v/>
      </c>
      <c r="E15" s="12">
        <f>IF(VLOOKUP(A15,Performance!$A$2:$H$39,3,FALSE)&lt;&gt;0,VLOOKUP(A15,Performance!$A$2:$H$39,3,FALSE),"-")</f>
        <v/>
      </c>
      <c r="F15" s="12">
        <f>IF(VLOOKUP(A15,Performance!$A$2:$H$39,4,FALSE)&lt;&gt;0,VLOOKUP(A15,Performance!$A$2:$H$39,4,FALSE),"-")</f>
        <v/>
      </c>
      <c r="G15" s="12">
        <f>IF(VLOOKUP(A15,Performance!$A$2:$H$39,5,FALSE)&lt;&gt;0,VLOOKUP(A15,Performance!$A$2:$H$39,5,FALSE),"-")</f>
        <v/>
      </c>
      <c r="H15" s="12">
        <f>IF(VLOOKUP(A15,Performance!$A$2:$H$39,6,FALSE)&lt;&gt;0,VLOOKUP(A15,Performance!$A$2:$H$39,6,FALSE),"-")</f>
        <v/>
      </c>
      <c r="I15" s="12">
        <f>IF(VLOOKUP(A15,Performance!$A$2:$H$39,7,FALSE)&lt;&gt;0,VLOOKUP(A15,Performance!$A$2:$H$39,7,FALSE),"-")</f>
        <v/>
      </c>
      <c r="J15" s="12">
        <f>IF(VLOOKUP(A15,Performance!$A$2:$H$39,8,FALSE)&lt;&gt;0,VLOOKUP(A15,Performance!$A$2:$H$39,8,FALSE),"-")</f>
        <v/>
      </c>
    </row>
    <row r="16" ht="15" customFormat="1" customHeight="1" s="54">
      <c r="A16" s="11" t="inlineStr">
        <is>
          <t>RU000A0JNAA8</t>
        </is>
      </c>
      <c r="B16" s="11" t="inlineStr">
        <is>
          <t>Polyus Rg</t>
        </is>
      </c>
      <c r="C16" s="12">
        <f>VLOOKUP(A16,Einzeltitel!$A$2:$I$39,8,FALSE)</f>
        <v/>
      </c>
      <c r="D16" s="10">
        <f>VLOOKUP(A16,Einzeltitel!$A$2:$I$39,3,FALSE)</f>
        <v/>
      </c>
      <c r="E16" s="12">
        <f>IF(VLOOKUP(A16,Performance!$A$2:$H$39,3,FALSE)&lt;&gt;0,VLOOKUP(A16,Performance!$A$2:$H$39,3,FALSE),"-")</f>
        <v/>
      </c>
      <c r="F16" s="12">
        <f>IF(VLOOKUP(A16,Performance!$A$2:$H$39,4,FALSE)&lt;&gt;0,VLOOKUP(A16,Performance!$A$2:$H$39,4,FALSE),"-")</f>
        <v/>
      </c>
      <c r="G16" s="12">
        <f>IF(VLOOKUP(A16,Performance!$A$2:$H$39,5,FALSE)&lt;&gt;0,VLOOKUP(A16,Performance!$A$2:$H$39,5,FALSE),"-")</f>
        <v/>
      </c>
      <c r="H16" s="12">
        <f>IF(VLOOKUP(A16,Performance!$A$2:$H$39,6,FALSE)&lt;&gt;0,VLOOKUP(A16,Performance!$A$2:$H$39,6,FALSE),"-")</f>
        <v/>
      </c>
      <c r="I16" s="12">
        <f>IF(VLOOKUP(A16,Performance!$A$2:$H$39,7,FALSE)&lt;&gt;0,VLOOKUP(A16,Performance!$A$2:$H$39,7,FALSE),"-")</f>
        <v/>
      </c>
      <c r="J16" s="12">
        <f>IF(VLOOKUP(A16,Performance!$A$2:$H$39,8,FALSE)&lt;&gt;0,VLOOKUP(A16,Performance!$A$2:$H$39,8,FALSE),"-")</f>
        <v/>
      </c>
    </row>
    <row r="17" ht="15" customFormat="1" customHeight="1" s="54">
      <c r="A17" s="21" t="inlineStr">
        <is>
          <t>Bergbau</t>
        </is>
      </c>
      <c r="B17" s="21" t="n"/>
      <c r="C17" s="22">
        <f>SUM(C11:C16)</f>
        <v/>
      </c>
      <c r="D17" s="19" t="n"/>
      <c r="E17" s="18">
        <f>IF((SUM(E11:E16)&lt;&gt;0),AVERAGEIF(E11:E16, "&lt;&gt;0"),"-")</f>
        <v/>
      </c>
      <c r="F17" s="18">
        <f>IF((SUM(F11:F16)&lt;&gt;0),AVERAGEIF(F11:F16, "&lt;&gt;0"),"-")</f>
        <v/>
      </c>
      <c r="G17" s="18">
        <f>IF((SUM(G11:G16)&lt;&gt;0),AVERAGEIF(G11:G16, "&lt;&gt;0"),"-")</f>
        <v/>
      </c>
      <c r="H17" s="18">
        <f>IF((SUM(H11:H16)&lt;&gt;0),AVERAGEIF(H11:H16, "&lt;&gt;0"),"-")</f>
        <v/>
      </c>
      <c r="I17" s="18">
        <f>IF((SUM(I11:I16)&lt;&gt;0),AVERAGEIF(I11:I16, "&lt;&gt;0"),"-")</f>
        <v/>
      </c>
      <c r="J17" s="18">
        <f>IF((SUM(J11:J16)&lt;&gt;0),AVERAGEIF(J11:J16, "&lt;&gt;0"),"-")</f>
        <v/>
      </c>
    </row>
    <row r="18" ht="12.75" customFormat="1" customHeight="1" s="16">
      <c r="A18" s="8" t="inlineStr">
        <is>
          <t>LU0199356550</t>
        </is>
      </c>
      <c r="B18" s="8" t="inlineStr">
        <is>
          <t>SAM Smart Energy</t>
        </is>
      </c>
      <c r="C18" s="12">
        <f>VLOOKUP(A18,Einzeltitel!$A$2:$I$39,8,FALSE)</f>
        <v/>
      </c>
      <c r="D18" s="10">
        <f>VLOOKUP(A18,Einzeltitel!$A$2:$I$39,3,FALSE)</f>
        <v/>
      </c>
      <c r="E18" s="12">
        <f>IF(VLOOKUP(A18,Performance!$A$2:$H$39,3,FALSE)&lt;&gt;0,VLOOKUP(A18,Performance!$A$2:$H$39,3,FALSE),"-")</f>
        <v/>
      </c>
      <c r="F18" s="12">
        <f>IF(VLOOKUP(A18,Performance!$A$2:$H$39,4,FALSE)&lt;&gt;0,VLOOKUP(A18,Performance!$A$2:$H$39,4,FALSE),"-")</f>
        <v/>
      </c>
      <c r="G18" s="12">
        <f>IF(VLOOKUP(A18,Performance!$A$2:$H$39,5,FALSE)&lt;&gt;0,VLOOKUP(A18,Performance!$A$2:$H$39,5,FALSE),"-")</f>
        <v/>
      </c>
      <c r="H18" s="12">
        <f>IF(VLOOKUP(A18,Performance!$A$2:$H$39,6,FALSE)&lt;&gt;0,VLOOKUP(A18,Performance!$A$2:$H$39,6,FALSE),"-")</f>
        <v/>
      </c>
      <c r="I18" s="12">
        <f>IF(VLOOKUP(A18,Performance!$A$2:$H$39,7,FALSE)&lt;&gt;0,VLOOKUP(A18,Performance!$A$2:$H$39,7,FALSE),"-")</f>
        <v/>
      </c>
      <c r="J18" s="12">
        <f>IF(VLOOKUP(A18,Performance!$A$2:$H$39,8,FALSE)&lt;&gt;0,VLOOKUP(A18,Performance!$A$2:$H$39,8,FALSE),"-")</f>
        <v/>
      </c>
    </row>
    <row r="19">
      <c r="A19" s="11" t="inlineStr">
        <is>
          <t>LU0950589498</t>
        </is>
      </c>
      <c r="B19" s="11" t="inlineStr">
        <is>
          <t>JSS In OS Eq Gl CC</t>
        </is>
      </c>
      <c r="C19" s="12">
        <f>VLOOKUP(A19,Einzeltitel!$A$2:$I$39,8,FALSE)</f>
        <v/>
      </c>
      <c r="D19" s="10">
        <f>VLOOKUP(A19,Einzeltitel!$A$2:$I$39,3,FALSE)</f>
        <v/>
      </c>
      <c r="E19" s="12">
        <f>IF(VLOOKUP(A19,Performance!$A$2:$H$39,3,FALSE)&lt;&gt;0,VLOOKUP(A19,Performance!$A$2:$H$39,3,FALSE),"-")</f>
        <v/>
      </c>
      <c r="F19" s="12">
        <f>IF(VLOOKUP(A19,Performance!$A$2:$H$39,4,FALSE)&lt;&gt;0,VLOOKUP(A19,Performance!$A$2:$H$39,4,FALSE),"-")</f>
        <v/>
      </c>
      <c r="G19" s="12">
        <f>IF(VLOOKUP(A19,Performance!$A$2:$H$39,5,FALSE)&lt;&gt;0,VLOOKUP(A19,Performance!$A$2:$H$39,5,FALSE),"-")</f>
        <v/>
      </c>
      <c r="H19" s="12">
        <f>IF(VLOOKUP(A19,Performance!$A$2:$H$39,6,FALSE)&lt;&gt;0,VLOOKUP(A19,Performance!$A$2:$H$39,6,FALSE),"-")</f>
        <v/>
      </c>
      <c r="I19" s="12">
        <f>IF(VLOOKUP(A19,Performance!$A$2:$H$39,7,FALSE)&lt;&gt;0,VLOOKUP(A19,Performance!$A$2:$H$39,7,FALSE),"-")</f>
        <v/>
      </c>
      <c r="J19" s="12">
        <f>IF(VLOOKUP(A19,Performance!$A$2:$H$39,8,FALSE)&lt;&gt;0,VLOOKUP(A19,Performance!$A$2:$H$39,8,FALSE),"-")</f>
        <v/>
      </c>
    </row>
    <row r="20">
      <c r="A20" s="8" t="inlineStr">
        <is>
          <t>LU1883318666</t>
        </is>
      </c>
      <c r="B20" s="8" t="inlineStr">
        <is>
          <t>Amundi Funds - Global Ecology</t>
        </is>
      </c>
      <c r="C20" s="12">
        <f>VLOOKUP(A20,Einzeltitel!$A$2:$I$39,8,FALSE)</f>
        <v/>
      </c>
      <c r="D20" s="10">
        <f>VLOOKUP(A20,Einzeltitel!$A$2:$I$39,3,FALSE)</f>
        <v/>
      </c>
      <c r="E20" s="12">
        <f>IF(VLOOKUP(A20,Performance!$A$2:$H$39,3,FALSE)&lt;&gt;0,VLOOKUP(A20,Performance!$A$2:$H$39,3,FALSE),"-")</f>
        <v/>
      </c>
      <c r="F20" s="12">
        <f>IF(VLOOKUP(A20,Performance!$A$2:$H$39,4,FALSE)&lt;&gt;0,VLOOKUP(A20,Performance!$A$2:$H$39,4,FALSE),"-")</f>
        <v/>
      </c>
      <c r="G20" s="12">
        <f>IF(VLOOKUP(A20,Performance!$A$2:$H$39,5,FALSE)&lt;&gt;0,VLOOKUP(A20,Performance!$A$2:$H$39,5,FALSE),"-")</f>
        <v/>
      </c>
      <c r="H20" s="12">
        <f>IF(VLOOKUP(A20,Performance!$A$2:$H$39,6,FALSE)&lt;&gt;0,VLOOKUP(A20,Performance!$A$2:$H$39,6,FALSE),"-")</f>
        <v/>
      </c>
      <c r="I20" s="12">
        <f>IF(VLOOKUP(A20,Performance!$A$2:$H$39,7,FALSE)&lt;&gt;0,VLOOKUP(A20,Performance!$A$2:$H$39,7,FALSE),"-")</f>
        <v/>
      </c>
      <c r="J20" s="12">
        <f>IF(VLOOKUP(A20,Performance!$A$2:$H$39,8,FALSE)&lt;&gt;0,VLOOKUP(A20,Performance!$A$2:$H$39,8,FALSE),"-")</f>
        <v/>
      </c>
    </row>
    <row r="21">
      <c r="A21" s="11" t="inlineStr">
        <is>
          <t>NO0010081235</t>
        </is>
      </c>
      <c r="B21" s="11" t="inlineStr">
        <is>
          <t>NEL ASA</t>
        </is>
      </c>
      <c r="C21" s="12">
        <f>VLOOKUP(A21,Einzeltitel!$A$2:$I$39,8,FALSE)</f>
        <v/>
      </c>
      <c r="D21" s="10">
        <f>VLOOKUP(A21,Einzeltitel!$A$2:$I$39,3,FALSE)</f>
        <v/>
      </c>
      <c r="E21" s="12">
        <f>IF(VLOOKUP(A21,Performance!$A$2:$H$39,3,FALSE)&lt;&gt;0,VLOOKUP(A21,Performance!$A$2:$H$39,3,FALSE),"-")</f>
        <v/>
      </c>
      <c r="F21" s="12">
        <f>IF(VLOOKUP(A21,Performance!$A$2:$H$39,4,FALSE)&lt;&gt;0,VLOOKUP(A21,Performance!$A$2:$H$39,4,FALSE),"-")</f>
        <v/>
      </c>
      <c r="G21" s="12">
        <f>IF(VLOOKUP(A21,Performance!$A$2:$H$39,5,FALSE)&lt;&gt;0,VLOOKUP(A21,Performance!$A$2:$H$39,5,FALSE),"-")</f>
        <v/>
      </c>
      <c r="H21" s="12">
        <f>IF(VLOOKUP(A21,Performance!$A$2:$H$39,6,FALSE)&lt;&gt;0,VLOOKUP(A21,Performance!$A$2:$H$39,6,FALSE),"-")</f>
        <v/>
      </c>
      <c r="I21" s="12">
        <f>IF(VLOOKUP(A21,Performance!$A$2:$H$39,7,FALSE)&lt;&gt;0,VLOOKUP(A21,Performance!$A$2:$H$39,7,FALSE),"-")</f>
        <v/>
      </c>
      <c r="J21" s="12">
        <f>IF(VLOOKUP(A21,Performance!$A$2:$H$39,8,FALSE)&lt;&gt;0,VLOOKUP(A21,Performance!$A$2:$H$39,8,FALSE),"-")</f>
        <v/>
      </c>
    </row>
    <row r="22">
      <c r="A22" s="8" t="inlineStr">
        <is>
          <t>SE0006425815</t>
        </is>
      </c>
      <c r="B22" s="8" t="inlineStr">
        <is>
          <t>Powercell Sweden</t>
        </is>
      </c>
      <c r="C22" s="12">
        <f>VLOOKUP(A22,Einzeltitel!$A$2:$I$39,8,FALSE)</f>
        <v/>
      </c>
      <c r="D22" s="10">
        <f>VLOOKUP(A22,Einzeltitel!$A$2:$I$39,3,FALSE)</f>
        <v/>
      </c>
      <c r="E22" s="12">
        <f>IF(VLOOKUP(A22,Performance!$A$2:$H$39,3,FALSE)&lt;&gt;0,VLOOKUP(A22,Performance!$A$2:$H$39,3,FALSE),"-")</f>
        <v/>
      </c>
      <c r="F22" s="12">
        <f>IF(VLOOKUP(A22,Performance!$A$2:$H$39,4,FALSE)&lt;&gt;0,VLOOKUP(A22,Performance!$A$2:$H$39,4,FALSE),"-")</f>
        <v/>
      </c>
      <c r="G22" s="12">
        <f>IF(VLOOKUP(A22,Performance!$A$2:$H$39,5,FALSE)&lt;&gt;0,VLOOKUP(A22,Performance!$A$2:$H$39,5,FALSE),"-")</f>
        <v/>
      </c>
      <c r="H22" s="12">
        <f>IF(VLOOKUP(A22,Performance!$A$2:$H$39,6,FALSE)&lt;&gt;0,VLOOKUP(A22,Performance!$A$2:$H$39,6,FALSE),"-")</f>
        <v/>
      </c>
      <c r="I22" s="12">
        <f>IF(VLOOKUP(A22,Performance!$A$2:$H$39,7,FALSE)&lt;&gt;0,VLOOKUP(A22,Performance!$A$2:$H$39,7,FALSE),"-")</f>
        <v/>
      </c>
      <c r="J22" s="12">
        <f>IF(VLOOKUP(A22,Performance!$A$2:$H$39,8,FALSE)&lt;&gt;0,VLOOKUP(A22,Performance!$A$2:$H$39,8,FALSE),"-")</f>
        <v/>
      </c>
    </row>
    <row r="23">
      <c r="A23" s="21" t="inlineStr">
        <is>
          <t>Energie</t>
        </is>
      </c>
      <c r="B23" s="21" t="n"/>
      <c r="C23" s="22">
        <f>SUM(C18:C22)</f>
        <v/>
      </c>
      <c r="D23" s="19" t="n"/>
      <c r="E23" s="18">
        <f>IF((SUM(E18:E22)&lt;&gt;0),AVERAGEIF(E18:E22, "&lt;&gt;0"),"-")</f>
        <v/>
      </c>
      <c r="F23" s="18">
        <f>IF((SUM(F18:F22)&lt;&gt;0),AVERAGEIF(F18:F22, "&lt;&gt;0"),"-")</f>
        <v/>
      </c>
      <c r="G23" s="18">
        <f>IF((SUM(G18:G22)&lt;&gt;0),AVERAGEIF(G18:G22, "&lt;&gt;0"),"-")</f>
        <v/>
      </c>
      <c r="H23" s="18">
        <f>IF((SUM(H18:H22)&lt;&gt;0),AVERAGEIF(H18:H22, "&lt;&gt;0"),"-")</f>
        <v/>
      </c>
      <c r="I23" s="18">
        <f>IF((SUM(I18:I22)&lt;&gt;0),AVERAGEIF(I18:I22, "&lt;&gt;0"),"-")</f>
        <v/>
      </c>
      <c r="J23" s="18">
        <f>IF((SUM(J18:J22)&lt;&gt;0),AVERAGEIF(J18:J22, "&lt;&gt;0"),"-")</f>
        <v/>
      </c>
    </row>
    <row r="24" ht="12.75" customFormat="1" customHeight="1" s="16">
      <c r="A24" s="8" t="inlineStr">
        <is>
          <t>LU0448837087</t>
        </is>
      </c>
      <c r="B24" s="8" t="inlineStr">
        <is>
          <t>Pictet-Timber Shs -I dy GBP-</t>
        </is>
      </c>
      <c r="C24" s="12">
        <f>VLOOKUP(A24,Einzeltitel!$A$2:$I$39,8,FALSE)</f>
        <v/>
      </c>
      <c r="D24" s="10">
        <f>VLOOKUP(A24,Einzeltitel!$A$2:$I$39,3,FALSE)</f>
        <v/>
      </c>
      <c r="E24" s="12">
        <f>IF(VLOOKUP(A24,Performance!$A$2:$H$39,3,FALSE)&lt;&gt;0,VLOOKUP(A24,Performance!$A$2:$H$39,3,FALSE),"-")</f>
        <v/>
      </c>
      <c r="F24" s="12">
        <f>IF(VLOOKUP(A24,Performance!$A$2:$H$39,4,FALSE)&lt;&gt;0,VLOOKUP(A24,Performance!$A$2:$H$39,4,FALSE),"-")</f>
        <v/>
      </c>
      <c r="G24" s="12">
        <f>IF(VLOOKUP(A24,Performance!$A$2:$H$39,5,FALSE)&lt;&gt;0,VLOOKUP(A24,Performance!$A$2:$H$39,5,FALSE),"-")</f>
        <v/>
      </c>
      <c r="H24" s="12">
        <f>IF(VLOOKUP(A24,Performance!$A$2:$H$39,6,FALSE)&lt;&gt;0,VLOOKUP(A24,Performance!$A$2:$H$39,6,FALSE),"-")</f>
        <v/>
      </c>
      <c r="I24" s="12">
        <f>IF(VLOOKUP(A24,Performance!$A$2:$H$39,7,FALSE)&lt;&gt;0,VLOOKUP(A24,Performance!$A$2:$H$39,7,FALSE),"-")</f>
        <v/>
      </c>
      <c r="J24" s="12">
        <f>IF(VLOOKUP(A24,Performance!$A$2:$H$39,8,FALSE)&lt;&gt;0,VLOOKUP(A24,Performance!$A$2:$H$39,8,FALSE),"-")</f>
        <v/>
      </c>
    </row>
    <row r="25">
      <c r="A25" s="21" t="inlineStr">
        <is>
          <t>Agrar</t>
        </is>
      </c>
      <c r="B25" s="21" t="n"/>
      <c r="C25" s="22">
        <f>SUM(C24)</f>
        <v/>
      </c>
      <c r="D25" s="19" t="n"/>
      <c r="E25" s="18">
        <f>IF((SUM(E24)&lt;&gt;0),AVERAGEIF(E24, "&lt;&gt;0"),"-")</f>
        <v/>
      </c>
      <c r="F25" s="18">
        <f>IF((SUM(F24)&lt;&gt;0),AVERAGEIF(F24, "&lt;&gt;0"),"-")</f>
        <v/>
      </c>
      <c r="G25" s="18">
        <f>IF((SUM(G24)&lt;&gt;0),AVERAGEIF(G24, "&lt;&gt;0"),"-")</f>
        <v/>
      </c>
      <c r="H25" s="18">
        <f>IF((SUM(H24)&lt;&gt;0),AVERAGEIF(H24, "&lt;&gt;0"),"-")</f>
        <v/>
      </c>
      <c r="I25" s="18">
        <f>IF((SUM(I24)&lt;&gt;0),AVERAGEIF(I24, "&lt;&gt;0"),"-")</f>
        <v/>
      </c>
      <c r="J25" s="18">
        <f>IF((SUM(J24)&lt;&gt;0),AVERAGEIF(J24, "&lt;&gt;0"),"-")</f>
        <v/>
      </c>
    </row>
    <row r="26">
      <c r="A26" s="11" t="inlineStr">
        <is>
          <t>BE0175479063</t>
        </is>
      </c>
      <c r="B26" s="11" t="inlineStr">
        <is>
          <t>KBC Eco Water FD</t>
        </is>
      </c>
      <c r="C26" s="12">
        <f>VLOOKUP(A26,Einzeltitel!$A$2:$I$39,8,FALSE)</f>
        <v/>
      </c>
      <c r="D26" s="10">
        <f>VLOOKUP(A26,Einzeltitel!$A$2:$I$39,3,FALSE)</f>
        <v/>
      </c>
      <c r="E26" s="12">
        <f>IF(VLOOKUP(A26,Performance!$A$2:$H$39,3,FALSE)&lt;&gt;0,VLOOKUP(A26,Performance!$A$2:$H$39,3,FALSE),"-")</f>
        <v/>
      </c>
      <c r="F26" s="12">
        <f>IF(VLOOKUP(A26,Performance!$A$2:$H$39,4,FALSE)&lt;&gt;0,VLOOKUP(A26,Performance!$A$2:$H$39,4,FALSE),"-")</f>
        <v/>
      </c>
      <c r="G26" s="12">
        <f>IF(VLOOKUP(A26,Performance!$A$2:$H$39,5,FALSE)&lt;&gt;0,VLOOKUP(A26,Performance!$A$2:$H$39,5,FALSE),"-")</f>
        <v/>
      </c>
      <c r="H26" s="12">
        <f>IF(VLOOKUP(A26,Performance!$A$2:$H$39,6,FALSE)&lt;&gt;0,VLOOKUP(A26,Performance!$A$2:$H$39,6,FALSE),"-")</f>
        <v/>
      </c>
      <c r="I26" s="12">
        <f>IF(VLOOKUP(A26,Performance!$A$2:$H$39,7,FALSE)&lt;&gt;0,VLOOKUP(A26,Performance!$A$2:$H$39,7,FALSE),"-")</f>
        <v/>
      </c>
      <c r="J26" s="12">
        <f>IF(VLOOKUP(A26,Performance!$A$2:$H$39,8,FALSE)&lt;&gt;0,VLOOKUP(A26,Performance!$A$2:$H$39,8,FALSE),"-")</f>
        <v/>
      </c>
    </row>
    <row r="27">
      <c r="A27" s="21" t="inlineStr">
        <is>
          <t>Wasser</t>
        </is>
      </c>
      <c r="B27" s="21" t="n"/>
      <c r="C27" s="22">
        <f>SUM(C26)</f>
        <v/>
      </c>
      <c r="D27" s="19" t="n"/>
      <c r="E27" s="18">
        <f>IF((SUM(E26)&lt;&gt;0),AVERAGEIF(E26, "&lt;&gt;0"),"-")</f>
        <v/>
      </c>
      <c r="F27" s="18">
        <f>IF((SUM(F26)&lt;&gt;0),AVERAGEIF(F26, "&lt;&gt;0"),"-")</f>
        <v/>
      </c>
      <c r="G27" s="18">
        <f>IF((SUM(G26)&lt;&gt;0),AVERAGEIF(G26, "&lt;&gt;0"),"-")</f>
        <v/>
      </c>
      <c r="H27" s="18">
        <f>IF((SUM(H26)&lt;&gt;0),AVERAGEIF(H26, "&lt;&gt;0"),"-")</f>
        <v/>
      </c>
      <c r="I27" s="18">
        <f>IF((SUM(I26)&lt;&gt;0),AVERAGEIF(I26, "&lt;&gt;0"),"-")</f>
        <v/>
      </c>
      <c r="J27" s="18">
        <f>IF((SUM(J26)&lt;&gt;0),AVERAGEIF(J26, "&lt;&gt;0"),"-")</f>
        <v/>
      </c>
    </row>
    <row r="28">
      <c r="A28" s="14" t="inlineStr">
        <is>
          <t>LU0823438733</t>
        </is>
      </c>
      <c r="B28" s="14" t="inlineStr">
        <is>
          <t>Parvest Green Tigers</t>
        </is>
      </c>
      <c r="C28" s="12">
        <f>VLOOKUP(A28,Einzeltitel!$A$2:$I$39,8,FALSE)</f>
        <v/>
      </c>
      <c r="D28" s="10">
        <f>VLOOKUP(A28,Einzeltitel!$A$2:$I$39,3,FALSE)</f>
        <v/>
      </c>
      <c r="E28" s="12">
        <f>IF(VLOOKUP(A28,Performance!$A$2:$H$39,3,FALSE)&lt;&gt;0,VLOOKUP(A28,Performance!$A$2:$H$39,3,FALSE),"-")</f>
        <v/>
      </c>
      <c r="F28" s="12">
        <f>IF(VLOOKUP(A28,Performance!$A$2:$H$39,4,FALSE)&lt;&gt;0,VLOOKUP(A28,Performance!$A$2:$H$39,4,FALSE),"-")</f>
        <v/>
      </c>
      <c r="G28" s="12">
        <f>IF(VLOOKUP(A28,Performance!$A$2:$H$39,5,FALSE)&lt;&gt;0,VLOOKUP(A28,Performance!$A$2:$H$39,5,FALSE),"-")</f>
        <v/>
      </c>
      <c r="H28" s="12">
        <f>IF(VLOOKUP(A28,Performance!$A$2:$H$39,6,FALSE)&lt;&gt;0,VLOOKUP(A28,Performance!$A$2:$H$39,6,FALSE),"-")</f>
        <v/>
      </c>
      <c r="I28" s="12">
        <f>IF(VLOOKUP(A28,Performance!$A$2:$H$39,7,FALSE)&lt;&gt;0,VLOOKUP(A28,Performance!$A$2:$H$39,7,FALSE),"-")</f>
        <v/>
      </c>
      <c r="J28" s="12">
        <f>IF(VLOOKUP(A28,Performance!$A$2:$H$39,8,FALSE)&lt;&gt;0,VLOOKUP(A28,Performance!$A$2:$H$39,8,FALSE),"-")</f>
        <v/>
      </c>
    </row>
    <row r="29">
      <c r="A29" s="8" t="inlineStr">
        <is>
          <t>AT0000705678</t>
        </is>
      </c>
      <c r="B29" s="8" t="inlineStr">
        <is>
          <t xml:space="preserve">ERSTE WWF Enviroment </t>
        </is>
      </c>
      <c r="C29" s="12">
        <f>VLOOKUP(A29,Einzeltitel!$A$2:$I$39,8,FALSE)</f>
        <v/>
      </c>
      <c r="D29" s="10">
        <f>VLOOKUP(A29,Einzeltitel!$A$2:$I$39,3,FALSE)</f>
        <v/>
      </c>
      <c r="E29" s="12">
        <f>IF(VLOOKUP(A29,Performance!$A$2:$H$39,3,FALSE)&lt;&gt;0,VLOOKUP(A29,Performance!$A$2:$H$39,3,FALSE),"-")</f>
        <v/>
      </c>
      <c r="F29" s="12">
        <f>IF(VLOOKUP(A29,Performance!$A$2:$H$39,4,FALSE)&lt;&gt;0,VLOOKUP(A29,Performance!$A$2:$H$39,4,FALSE),"-")</f>
        <v/>
      </c>
      <c r="G29" s="12">
        <f>IF(VLOOKUP(A29,Performance!$A$2:$H$39,5,FALSE)&lt;&gt;0,VLOOKUP(A29,Performance!$A$2:$H$39,5,FALSE),"-")</f>
        <v/>
      </c>
      <c r="H29" s="12">
        <f>IF(VLOOKUP(A29,Performance!$A$2:$H$39,6,FALSE)&lt;&gt;0,VLOOKUP(A29,Performance!$A$2:$H$39,6,FALSE),"-")</f>
        <v/>
      </c>
      <c r="I29" s="12">
        <f>IF(VLOOKUP(A29,Performance!$A$2:$H$39,7,FALSE)&lt;&gt;0,VLOOKUP(A29,Performance!$A$2:$H$39,7,FALSE),"-")</f>
        <v/>
      </c>
      <c r="J29" s="12">
        <f>IF(VLOOKUP(A29,Performance!$A$2:$H$39,8,FALSE)&lt;&gt;0,VLOOKUP(A29,Performance!$A$2:$H$39,8,FALSE),"-")</f>
        <v/>
      </c>
    </row>
    <row r="30">
      <c r="A30" s="14" t="inlineStr">
        <is>
          <t>DE0009847343</t>
        </is>
      </c>
      <c r="B30" s="14" t="inlineStr">
        <is>
          <t>terrAssisi Aktien AMI</t>
        </is>
      </c>
      <c r="C30" s="12">
        <f>VLOOKUP(A30,Einzeltitel!$A$2:$I$39,8,FALSE)</f>
        <v/>
      </c>
      <c r="D30" s="10">
        <f>VLOOKUP(A30,Einzeltitel!$A$2:$I$39,3,FALSE)</f>
        <v/>
      </c>
      <c r="E30" s="12">
        <f>IF(VLOOKUP(A30,Performance!$A$2:$H$39,3,FALSE)&lt;&gt;0,VLOOKUP(A30,Performance!$A$2:$H$39,3,FALSE),"-")</f>
        <v/>
      </c>
      <c r="F30" s="12">
        <f>IF(VLOOKUP(A30,Performance!$A$2:$H$39,4,FALSE)&lt;&gt;0,VLOOKUP(A30,Performance!$A$2:$H$39,4,FALSE),"-")</f>
        <v/>
      </c>
      <c r="G30" s="12">
        <f>IF(VLOOKUP(A30,Performance!$A$2:$H$39,5,FALSE)&lt;&gt;0,VLOOKUP(A30,Performance!$A$2:$H$39,5,FALSE),"-")</f>
        <v/>
      </c>
      <c r="H30" s="12">
        <f>IF(VLOOKUP(A30,Performance!$A$2:$H$39,6,FALSE)&lt;&gt;0,VLOOKUP(A30,Performance!$A$2:$H$39,6,FALSE),"-")</f>
        <v/>
      </c>
      <c r="I30" s="12">
        <f>IF(VLOOKUP(A30,Performance!$A$2:$H$39,7,FALSE)&lt;&gt;0,VLOOKUP(A30,Performance!$A$2:$H$39,7,FALSE),"-")</f>
        <v/>
      </c>
      <c r="J30" s="12">
        <f>IF(VLOOKUP(A30,Performance!$A$2:$H$39,8,FALSE)&lt;&gt;0,VLOOKUP(A30,Performance!$A$2:$H$39,8,FALSE),"-")</f>
        <v/>
      </c>
    </row>
    <row r="31">
      <c r="A31" s="8" t="inlineStr">
        <is>
          <t>GB00B64TSB19</t>
        </is>
      </c>
      <c r="B31" s="8" t="inlineStr">
        <is>
          <t>First State Global EM Sustainability</t>
        </is>
      </c>
      <c r="C31" s="12">
        <f>VLOOKUP(A31,Einzeltitel!$A$2:$I$39,8,FALSE)</f>
        <v/>
      </c>
      <c r="D31" s="10">
        <f>VLOOKUP(A31,Einzeltitel!$A$2:$I$39,3,FALSE)</f>
        <v/>
      </c>
      <c r="E31" s="12">
        <f>IF(VLOOKUP(A31,Performance!$A$2:$H$39,3,FALSE)&lt;&gt;0,VLOOKUP(A31,Performance!$A$2:$H$39,3,FALSE),"-")</f>
        <v/>
      </c>
      <c r="F31" s="12">
        <f>IF(VLOOKUP(A31,Performance!$A$2:$H$39,4,FALSE)&lt;&gt;0,VLOOKUP(A31,Performance!$A$2:$H$39,4,FALSE),"-")</f>
        <v/>
      </c>
      <c r="G31" s="12">
        <f>IF(VLOOKUP(A31,Performance!$A$2:$H$39,5,FALSE)&lt;&gt;0,VLOOKUP(A31,Performance!$A$2:$H$39,5,FALSE),"-")</f>
        <v/>
      </c>
      <c r="H31" s="12">
        <f>IF(VLOOKUP(A31,Performance!$A$2:$H$39,6,FALSE)&lt;&gt;0,VLOOKUP(A31,Performance!$A$2:$H$39,6,FALSE),"-")</f>
        <v/>
      </c>
      <c r="I31" s="12">
        <f>IF(VLOOKUP(A31,Performance!$A$2:$H$39,7,FALSE)&lt;&gt;0,VLOOKUP(A31,Performance!$A$2:$H$39,7,FALSE),"-")</f>
        <v/>
      </c>
      <c r="J31" s="12">
        <f>IF(VLOOKUP(A31,Performance!$A$2:$H$39,8,FALSE)&lt;&gt;0,VLOOKUP(A31,Performance!$A$2:$H$39,8,FALSE),"-")</f>
        <v/>
      </c>
    </row>
    <row r="32">
      <c r="A32" s="21" t="inlineStr">
        <is>
          <t>Perspektiven</t>
        </is>
      </c>
      <c r="B32" s="21" t="n"/>
      <c r="C32" s="22">
        <f>SUM(C28:C31)</f>
        <v/>
      </c>
      <c r="D32" s="19" t="n"/>
      <c r="E32" s="18">
        <f>IF((SUM(E28:E31)&lt;&gt;0),AVERAGEIF(E28:E31, "&lt;&gt;0"),"-")</f>
        <v/>
      </c>
      <c r="F32" s="18">
        <f>IF((SUM(F28:F31)&lt;&gt;0),AVERAGEIF(F28:F31, "&lt;&gt;0"),"-")</f>
        <v/>
      </c>
      <c r="G32" s="18">
        <f>IF((SUM(G28:G31)&lt;&gt;0),AVERAGEIF(G28:G31, "&lt;&gt;0"),"-")</f>
        <v/>
      </c>
      <c r="H32" s="18">
        <f>IF((SUM(H28:H31)&lt;&gt;0),AVERAGEIF(H28:H31, "&lt;&gt;0"),"-")</f>
        <v/>
      </c>
      <c r="I32" s="18">
        <f>IF((SUM(I28:I31)&lt;&gt;0),AVERAGEIF(I28:I31, "&lt;&gt;0"),"-")</f>
        <v/>
      </c>
      <c r="J32" s="18">
        <f>IF((SUM(J28:J31)&lt;&gt;0),AVERAGEIF(J28:J31, "&lt;&gt;0"),"-")</f>
        <v/>
      </c>
    </row>
    <row r="33">
      <c r="A33" s="11" t="inlineStr">
        <is>
          <t>LU0384406327</t>
        </is>
      </c>
      <c r="B33" s="11" t="inlineStr">
        <is>
          <t>Vontobel Future Res.</t>
        </is>
      </c>
      <c r="C33" s="12">
        <f>VLOOKUP(A33,Einzeltitel!$A$2:$I$39,8,FALSE)</f>
        <v/>
      </c>
      <c r="D33" s="10">
        <f>VLOOKUP(A33,Einzeltitel!$A$2:$I$39,3,FALSE)</f>
        <v/>
      </c>
      <c r="E33" s="12">
        <f>IF(VLOOKUP(A33,Performance!$A$2:$H$39,3,FALSE)&lt;&gt;0,VLOOKUP(A33,Performance!$A$2:$H$39,3,FALSE),"-")</f>
        <v/>
      </c>
      <c r="F33" s="12">
        <f>IF(VLOOKUP(A33,Performance!$A$2:$H$39,4,FALSE)&lt;&gt;0,VLOOKUP(A33,Performance!$A$2:$H$39,4,FALSE),"-")</f>
        <v/>
      </c>
      <c r="G33" s="12">
        <f>IF(VLOOKUP(A33,Performance!$A$2:$H$39,5,FALSE)&lt;&gt;0,VLOOKUP(A33,Performance!$A$2:$H$39,5,FALSE),"-")</f>
        <v/>
      </c>
      <c r="H33" s="12">
        <f>IF(VLOOKUP(A33,Performance!$A$2:$H$39,6,FALSE)&lt;&gt;0,VLOOKUP(A33,Performance!$A$2:$H$39,6,FALSE),"-")</f>
        <v/>
      </c>
      <c r="I33" s="12">
        <f>IF(VLOOKUP(A33,Performance!$A$2:$H$39,7,FALSE)&lt;&gt;0,VLOOKUP(A33,Performance!$A$2:$H$39,7,FALSE),"-")</f>
        <v/>
      </c>
      <c r="J33" s="12">
        <f>IF(VLOOKUP(A33,Performance!$A$2:$H$39,8,FALSE)&lt;&gt;0,VLOOKUP(A33,Performance!$A$2:$H$39,8,FALSE),"-")</f>
        <v/>
      </c>
    </row>
    <row r="34">
      <c r="A34" s="8" t="inlineStr">
        <is>
          <t>LU0805493342</t>
        </is>
      </c>
      <c r="B34" s="8" t="inlineStr">
        <is>
          <t>RobecoSAM Sustainable Healthy Living Fund</t>
        </is>
      </c>
      <c r="C34" s="12">
        <f>VLOOKUP(A34,Einzeltitel!$A$2:$I$39,8,FALSE)</f>
        <v/>
      </c>
      <c r="D34" s="10">
        <f>VLOOKUP(A34,Einzeltitel!$A$2:$I$39,3,FALSE)</f>
        <v/>
      </c>
      <c r="E34" s="12">
        <f>IF(VLOOKUP(A34,Performance!$A$2:$H$39,3,FALSE)&lt;&gt;0,VLOOKUP(A34,Performance!$A$2:$H$39,3,FALSE),"-")</f>
        <v/>
      </c>
      <c r="F34" s="12">
        <f>IF(VLOOKUP(A34,Performance!$A$2:$H$39,4,FALSE)&lt;&gt;0,VLOOKUP(A34,Performance!$A$2:$H$39,4,FALSE),"-")</f>
        <v/>
      </c>
      <c r="G34" s="12">
        <f>IF(VLOOKUP(A34,Performance!$A$2:$H$39,5,FALSE)&lt;&gt;0,VLOOKUP(A34,Performance!$A$2:$H$39,5,FALSE),"-")</f>
        <v/>
      </c>
      <c r="H34" s="12">
        <f>IF(VLOOKUP(A34,Performance!$A$2:$H$39,6,FALSE)&lt;&gt;0,VLOOKUP(A34,Performance!$A$2:$H$39,6,FALSE),"-")</f>
        <v/>
      </c>
      <c r="I34" s="12">
        <f>IF(VLOOKUP(A34,Performance!$A$2:$H$39,7,FALSE)&lt;&gt;0,VLOOKUP(A34,Performance!$A$2:$H$39,7,FALSE),"-")</f>
        <v/>
      </c>
      <c r="J34" s="12">
        <f>IF(VLOOKUP(A34,Performance!$A$2:$H$39,8,FALSE)&lt;&gt;0,VLOOKUP(A34,Performance!$A$2:$H$39,8,FALSE),"-")</f>
        <v/>
      </c>
    </row>
    <row r="35" customFormat="1" s="23">
      <c r="A35" s="11" t="inlineStr">
        <is>
          <t>LU0175575991</t>
        </is>
      </c>
      <c r="B35" s="11" t="inlineStr">
        <is>
          <t>SAM Smart Materials</t>
        </is>
      </c>
      <c r="C35" s="12">
        <f>VLOOKUP(A35,Einzeltitel!$A$2:$I$39,8,FALSE)</f>
        <v/>
      </c>
      <c r="D35" s="10">
        <f>VLOOKUP(A35,Einzeltitel!$A$2:$I$39,3,FALSE)</f>
        <v/>
      </c>
      <c r="E35" s="12">
        <f>IF(VLOOKUP(A35,Performance!$A$2:$H$39,3,FALSE)&lt;&gt;0,VLOOKUP(A35,Performance!$A$2:$H$39,3,FALSE),"-")</f>
        <v/>
      </c>
      <c r="F35" s="12">
        <f>IF(VLOOKUP(A35,Performance!$A$2:$H$39,4,FALSE)&lt;&gt;0,VLOOKUP(A35,Performance!$A$2:$H$39,4,FALSE),"-")</f>
        <v/>
      </c>
      <c r="G35" s="12">
        <f>IF(VLOOKUP(A35,Performance!$A$2:$H$39,5,FALSE)&lt;&gt;0,VLOOKUP(A35,Performance!$A$2:$H$39,5,FALSE),"-")</f>
        <v/>
      </c>
      <c r="H35" s="12">
        <f>IF(VLOOKUP(A35,Performance!$A$2:$H$39,6,FALSE)&lt;&gt;0,VLOOKUP(A35,Performance!$A$2:$H$39,6,FALSE),"-")</f>
        <v/>
      </c>
      <c r="I35" s="12">
        <f>IF(VLOOKUP(A35,Performance!$A$2:$H$39,7,FALSE)&lt;&gt;0,VLOOKUP(A35,Performance!$A$2:$H$39,7,FALSE),"-")</f>
        <v/>
      </c>
      <c r="J35" s="12">
        <f>IF(VLOOKUP(A35,Performance!$A$2:$H$39,8,FALSE)&lt;&gt;0,VLOOKUP(A35,Performance!$A$2:$H$39,8,FALSE),"-")</f>
        <v/>
      </c>
    </row>
    <row r="36" ht="15" customFormat="1" customHeight="1" s="16">
      <c r="A36" s="21" t="inlineStr">
        <is>
          <t>Gelegenheiten</t>
        </is>
      </c>
      <c r="B36" s="21" t="n"/>
      <c r="C36" s="22">
        <f>SUM(C33:C35)</f>
        <v/>
      </c>
      <c r="D36" s="19" t="n"/>
      <c r="E36" s="18">
        <f>IF((SUM(E33:E35)&lt;&gt;0),AVERAGEIF(E24:E35, "&lt;&gt;0"),"-")</f>
        <v/>
      </c>
      <c r="F36" s="18">
        <f>IF((SUM(F33:F35)&lt;&gt;0),AVERAGEIF(F24:F35, "&lt;&gt;0"),"-")</f>
        <v/>
      </c>
      <c r="G36" s="18">
        <f>IF((SUM(G33:G35)&lt;&gt;0),AVERAGEIF(G24:G35, "&lt;&gt;0"),"-")</f>
        <v/>
      </c>
      <c r="H36" s="18">
        <f>IF((SUM(H33:H35)&lt;&gt;0),AVERAGEIF(H24:H35, "&lt;&gt;0"),"-")</f>
        <v/>
      </c>
      <c r="I36" s="18">
        <f>IF((SUM(I33:I35)&lt;&gt;0),AVERAGEIF(I24:I35, "&lt;&gt;0"),"-")</f>
        <v/>
      </c>
      <c r="J36" s="18">
        <f>IF((SUM(J33:J35)&lt;&gt;0),AVERAGEIF(J24:J35, "&lt;&gt;0"),"-")</f>
        <v/>
      </c>
    </row>
    <row r="37" ht="15" customFormat="1" customHeight="1" s="20">
      <c r="A37" s="24" t="inlineStr">
        <is>
          <t>Quelle: Eigene Recherchen</t>
        </is>
      </c>
      <c r="B37" s="24" t="n"/>
      <c r="C37" s="25">
        <f>#REF!+C2+C10+C17+C23+C36</f>
        <v/>
      </c>
      <c r="D37" s="24" t="n"/>
      <c r="E37" s="24" t="n"/>
      <c r="F37" s="24" t="n"/>
      <c r="G37" s="24" t="n"/>
      <c r="H37" s="24" t="n"/>
      <c r="I37" s="24" t="n"/>
      <c r="J37" s="24" t="n"/>
    </row>
    <row r="38" ht="15" customHeight="1" s="68">
      <c r="A38" s="24" t="n"/>
      <c r="B38" s="24" t="n"/>
      <c r="C38" s="26">
        <f>C2++C10+C17+C32+C25+C27+C23+C36</f>
        <v/>
      </c>
      <c r="D38" s="24" t="n"/>
      <c r="E38" s="24" t="n"/>
      <c r="F38" s="24" t="n"/>
      <c r="G38" s="24" t="n"/>
      <c r="H38" s="24" t="n"/>
      <c r="I38" s="24" t="n"/>
      <c r="J38" s="24" t="n"/>
    </row>
    <row r="39" ht="15" customHeight="1" s="68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</row>
    <row r="40" customFormat="1" s="27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3" t="n"/>
    </row>
    <row r="43" customFormat="1" s="20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3" t="n"/>
    </row>
    <row r="46" customFormat="1" s="28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3" t="n"/>
    </row>
    <row r="47" customFormat="1" s="28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3" t="n"/>
    </row>
    <row r="48" ht="15" customFormat="1" customHeight="1" s="29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3" t="n"/>
    </row>
  </sheetData>
  <pageMargins left="0.7" right="0.7" top="0.787401575" bottom="0.787401575" header="0.3" footer="0.3"/>
  <pageSetup orientation="landscape" paperSize="9" scale="46"/>
</worksheet>
</file>

<file path=xl/worksheets/sheet10.xml><?xml version="1.0" encoding="utf-8"?>
<worksheet xmlns="http://schemas.openxmlformats.org/spreadsheetml/2006/main">
  <sheetPr>
    <tabColor rgb="FFFFFF6D"/>
    <outlinePr summaryBelow="1" summaryRight="1"/>
    <pageSetUpPr/>
  </sheetPr>
  <dimension ref="A1:C10"/>
  <sheetViews>
    <sheetView zoomScaleNormal="100" workbookViewId="0">
      <selection activeCell="F11" sqref="F11"/>
    </sheetView>
  </sheetViews>
  <sheetFormatPr baseColWidth="10" defaultColWidth="9.1640625" defaultRowHeight="15"/>
  <sheetData>
    <row r="1">
      <c r="A1" t="inlineStr">
        <is>
          <t>Zeitraum</t>
        </is>
      </c>
      <c r="B1" t="inlineStr">
        <is>
          <t>annualisiert</t>
        </is>
      </c>
      <c r="C1" t="inlineStr">
        <is>
          <t>absolut</t>
        </is>
      </c>
    </row>
    <row r="3">
      <c r="A3" t="inlineStr">
        <is>
          <t>Monat</t>
        </is>
      </c>
      <c r="C3" s="1">
        <f>'kumulative Ertraege'!B13/'kumulative Ertraege'!B12-1</f>
        <v/>
      </c>
    </row>
    <row r="4">
      <c r="A4" t="inlineStr">
        <is>
          <t>3 Monate</t>
        </is>
      </c>
      <c r="C4" s="1">
        <f>'kumulative Ertraege'!B22/'kumulative Ertraege'!B21-1</f>
        <v/>
      </c>
    </row>
    <row r="5">
      <c r="A5" t="inlineStr">
        <is>
          <t>6 Monate</t>
        </is>
      </c>
      <c r="C5" s="1">
        <f>'kumulative Ertraege'!B31/'kumulative Ertraege'!B30-1</f>
        <v/>
      </c>
    </row>
    <row r="6">
      <c r="A6" t="inlineStr">
        <is>
          <t>1 Jahr</t>
        </is>
      </c>
      <c r="B6" s="1" t="n"/>
      <c r="C6" s="1">
        <f>'kumulative Ertraege'!B40/'kumulative Ertraege'!B39-1</f>
        <v/>
      </c>
    </row>
    <row r="7">
      <c r="A7" t="inlineStr">
        <is>
          <t>2 Jahre</t>
        </is>
      </c>
      <c r="B7" s="1">
        <f>((1+C7)^(1/2))-1</f>
        <v/>
      </c>
      <c r="C7" s="1">
        <f>'kumulative Ertraege'!B49/'kumulative Ertraege'!B48-1</f>
        <v/>
      </c>
    </row>
    <row r="8">
      <c r="A8" t="inlineStr">
        <is>
          <t>3 Jahre</t>
        </is>
      </c>
      <c r="B8" s="1">
        <f>((1+C8)^(1/3))-1</f>
        <v/>
      </c>
      <c r="C8" s="1">
        <f>'kumulative Ertraege'!B58/'kumulative Ertraege'!B57-1</f>
        <v/>
      </c>
    </row>
    <row r="9">
      <c r="A9" t="inlineStr">
        <is>
          <t>5 Jahre</t>
        </is>
      </c>
      <c r="B9" s="1">
        <f>((1+C9)^(1/5))-1</f>
        <v/>
      </c>
      <c r="C9" s="1">
        <f>'kumulative Ertraege'!B67/'kumulative Ertraege'!B66-1</f>
        <v/>
      </c>
    </row>
    <row r="10">
      <c r="A10" t="inlineStr">
        <is>
          <t>10 Jahre</t>
        </is>
      </c>
      <c r="B10" s="1">
        <f>((1+C10)^(1/10))-1</f>
        <v/>
      </c>
      <c r="C10" s="1">
        <f>'kumulative Ertraege'!B76/'kumulative Ertraege'!B75-1</f>
        <v/>
      </c>
    </row>
  </sheetData>
  <pageMargins left="0.7875" right="0.7875" top="1.025" bottom="1.025" header="0.7875" footer="0.7875"/>
  <pageSetup orientation="portrait" paperSize="9" firstPageNumber="0" horizontalDpi="300" verticalDpi="300"/>
  <headerFooter>
    <oddHeader>&amp;C&amp;"Arial,Standard"&amp;10 &amp;A</oddHeader>
    <oddFooter>&amp;C&amp;"Arial,Standard"&amp;10 Seite &amp;P</oddFooter>
    <evenHeader/>
    <evenFooter/>
    <firstHeader/>
    <firstFooter/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91"/>
  <sheetViews>
    <sheetView topLeftCell="A203" zoomScaleNormal="100" workbookViewId="0">
      <selection activeCell="B18" sqref="B18"/>
    </sheetView>
  </sheetViews>
  <sheetFormatPr baseColWidth="10" defaultColWidth="9.1640625" defaultRowHeight="15" outlineLevelCol="0"/>
  <cols>
    <col width="14.1640625" customWidth="1" style="68" min="1" max="1"/>
    <col width="8.6640625" customWidth="1" style="68" min="2" max="1025"/>
  </cols>
  <sheetData>
    <row r="1">
      <c r="A1" t="inlineStr">
        <is>
          <t>Abfrage von historische Wertentwicklung 5 Jahre</t>
        </is>
      </c>
    </row>
    <row r="2">
      <c r="A2" t="inlineStr">
        <is>
          <t>Datum</t>
        </is>
      </c>
      <c r="B2" t="inlineStr">
        <is>
          <t>Valor</t>
        </is>
      </c>
    </row>
    <row r="3">
      <c r="A3" t="inlineStr">
        <is>
          <t>2015-09-30</t>
        </is>
      </c>
      <c r="B3" t="n">
        <v>80.81</v>
      </c>
    </row>
    <row r="4">
      <c r="A4" t="inlineStr">
        <is>
          <t>2015-10-31</t>
        </is>
      </c>
      <c r="B4" t="n">
        <v>85.91</v>
      </c>
    </row>
    <row r="5">
      <c r="A5" t="inlineStr">
        <is>
          <t>2015-11-30</t>
        </is>
      </c>
      <c r="B5" t="n">
        <v>84.81999999999999</v>
      </c>
    </row>
    <row r="6">
      <c r="A6" t="inlineStr">
        <is>
          <t>2015-12-31</t>
        </is>
      </c>
      <c r="B6" t="n">
        <v>81.72</v>
      </c>
    </row>
    <row r="7">
      <c r="A7" t="inlineStr">
        <is>
          <t>2016-01-31</t>
        </is>
      </c>
      <c r="B7" t="n">
        <v>77.15000000000001</v>
      </c>
    </row>
    <row r="8">
      <c r="A8" t="inlineStr">
        <is>
          <t>2016-02-29</t>
        </is>
      </c>
      <c r="B8" t="n">
        <v>80.5</v>
      </c>
    </row>
    <row r="9">
      <c r="A9" t="inlineStr">
        <is>
          <t>2016-03-31</t>
        </is>
      </c>
      <c r="B9" t="n">
        <v>83.39</v>
      </c>
    </row>
    <row r="10">
      <c r="A10" t="inlineStr">
        <is>
          <t>2016-04-30</t>
        </is>
      </c>
      <c r="B10" t="n">
        <v>87.53</v>
      </c>
    </row>
    <row r="11">
      <c r="A11" t="inlineStr">
        <is>
          <t>2016-05-31</t>
        </is>
      </c>
      <c r="B11" t="n">
        <v>85.03</v>
      </c>
    </row>
    <row r="12">
      <c r="A12" t="inlineStr">
        <is>
          <t>2016-06-30</t>
        </is>
      </c>
      <c r="B12" t="n">
        <v>88.98999999999999</v>
      </c>
    </row>
    <row r="13">
      <c r="A13" t="inlineStr">
        <is>
          <t>2016-07-31</t>
        </is>
      </c>
      <c r="B13" t="n">
        <v>95.34999999999999</v>
      </c>
    </row>
    <row r="14">
      <c r="A14" t="inlineStr">
        <is>
          <t>2016-08-31</t>
        </is>
      </c>
      <c r="B14" t="n">
        <v>94.5</v>
      </c>
    </row>
    <row r="15">
      <c r="A15" t="inlineStr">
        <is>
          <t>2016-09-30</t>
        </is>
      </c>
      <c r="B15" t="n">
        <v>94.2</v>
      </c>
    </row>
    <row r="16">
      <c r="A16" t="inlineStr">
        <is>
          <t>2016-10-31</t>
        </is>
      </c>
      <c r="B16" t="n">
        <v>95.48</v>
      </c>
    </row>
    <row r="17">
      <c r="A17" t="inlineStr">
        <is>
          <t>2016-11-30</t>
        </is>
      </c>
      <c r="B17" t="n">
        <v>99.3</v>
      </c>
    </row>
    <row r="18">
      <c r="A18" t="inlineStr">
        <is>
          <t>2016-12-31</t>
        </is>
      </c>
      <c r="B18" t="n">
        <v>98.52</v>
      </c>
    </row>
    <row r="19">
      <c r="A19" t="inlineStr">
        <is>
          <t>2017-01-31</t>
        </is>
      </c>
      <c r="B19" t="n">
        <v>102.59</v>
      </c>
    </row>
    <row r="20">
      <c r="A20" t="inlineStr">
        <is>
          <t>2017-02-28</t>
        </is>
      </c>
      <c r="B20" t="n">
        <v>106.7</v>
      </c>
    </row>
    <row r="21">
      <c r="A21" t="inlineStr">
        <is>
          <t>2017-03-31</t>
        </is>
      </c>
      <c r="B21" t="n">
        <v>102.34</v>
      </c>
    </row>
    <row r="22">
      <c r="A22" t="inlineStr">
        <is>
          <t>2017-04-30</t>
        </is>
      </c>
      <c r="B22" t="n">
        <v>100.5</v>
      </c>
    </row>
    <row r="23">
      <c r="A23" t="inlineStr">
        <is>
          <t>2017-05-31</t>
        </is>
      </c>
      <c r="B23" t="n">
        <v>97.39</v>
      </c>
    </row>
    <row r="24">
      <c r="A24" t="inlineStr">
        <is>
          <t>2017-06-30</t>
        </is>
      </c>
      <c r="B24" t="n">
        <v>96.56999999999999</v>
      </c>
    </row>
    <row r="25">
      <c r="A25" t="inlineStr">
        <is>
          <t>2017-07-31</t>
        </is>
      </c>
      <c r="B25" t="n">
        <v>100.37</v>
      </c>
    </row>
    <row r="26">
      <c r="A26" t="inlineStr">
        <is>
          <t>2017-08-31</t>
        </is>
      </c>
      <c r="B26" t="n">
        <v>101.15</v>
      </c>
    </row>
    <row r="27">
      <c r="A27" t="inlineStr">
        <is>
          <t>2017-09-30</t>
        </is>
      </c>
      <c r="B27" t="n">
        <v>104.17</v>
      </c>
    </row>
    <row r="28">
      <c r="A28" t="inlineStr">
        <is>
          <t>2017-10-31</t>
        </is>
      </c>
      <c r="B28" t="n">
        <v>110.72</v>
      </c>
    </row>
    <row r="29">
      <c r="A29" t="inlineStr">
        <is>
          <t>2017-11-30</t>
        </is>
      </c>
      <c r="B29" t="n">
        <v>110.33</v>
      </c>
    </row>
    <row r="30">
      <c r="A30" t="inlineStr">
        <is>
          <t>2017-12-31</t>
        </is>
      </c>
      <c r="B30" t="n">
        <v>112.15</v>
      </c>
    </row>
    <row r="31">
      <c r="A31" t="inlineStr">
        <is>
          <t>2018-01-31</t>
        </is>
      </c>
      <c r="B31" t="n">
        <v>113.13</v>
      </c>
    </row>
    <row r="32">
      <c r="A32" t="inlineStr">
        <is>
          <t>2018-02-28</t>
        </is>
      </c>
      <c r="B32" t="n">
        <v>111.58</v>
      </c>
    </row>
    <row r="33">
      <c r="A33" t="inlineStr">
        <is>
          <t>2018-03-31</t>
        </is>
      </c>
      <c r="B33" t="n">
        <v>106.62</v>
      </c>
    </row>
    <row r="34">
      <c r="A34" t="inlineStr">
        <is>
          <t>2018-04-30</t>
        </is>
      </c>
      <c r="B34" t="n">
        <v>109.07</v>
      </c>
    </row>
    <row r="35">
      <c r="A35" t="inlineStr">
        <is>
          <t>2018-05-31</t>
        </is>
      </c>
      <c r="B35" t="n">
        <v>113.3</v>
      </c>
    </row>
    <row r="36">
      <c r="A36" t="inlineStr">
        <is>
          <t>2018-06-30</t>
        </is>
      </c>
      <c r="B36" t="n">
        <v>107.99</v>
      </c>
    </row>
    <row r="37">
      <c r="A37" t="inlineStr">
        <is>
          <t>2018-07-31</t>
        </is>
      </c>
      <c r="B37" t="n">
        <v>107.04</v>
      </c>
    </row>
    <row r="38">
      <c r="A38" t="inlineStr">
        <is>
          <t>2018-08-31</t>
        </is>
      </c>
      <c r="B38" t="n">
        <v>101.71</v>
      </c>
    </row>
    <row r="39">
      <c r="A39" t="inlineStr">
        <is>
          <t>2018-09-30</t>
        </is>
      </c>
      <c r="B39" t="n">
        <v>101.07</v>
      </c>
    </row>
    <row r="40">
      <c r="A40" t="inlineStr">
        <is>
          <t>2018-10-31</t>
        </is>
      </c>
      <c r="B40" t="n">
        <v>94.86</v>
      </c>
    </row>
    <row r="41">
      <c r="A41" t="inlineStr">
        <is>
          <t>2018-11-30</t>
        </is>
      </c>
      <c r="B41" t="n">
        <v>98.5</v>
      </c>
    </row>
    <row r="42">
      <c r="A42" t="inlineStr">
        <is>
          <t>2018-12-31</t>
        </is>
      </c>
      <c r="B42" t="n">
        <v>93.06</v>
      </c>
    </row>
    <row r="43">
      <c r="A43" t="inlineStr">
        <is>
          <t>2019-01-31</t>
        </is>
      </c>
      <c r="B43" t="n">
        <v>98.39</v>
      </c>
    </row>
    <row r="44">
      <c r="A44" t="inlineStr">
        <is>
          <t>2019-02-28</t>
        </is>
      </c>
      <c r="B44" t="n">
        <v>103.75</v>
      </c>
    </row>
    <row r="45">
      <c r="A45" t="inlineStr">
        <is>
          <t>2019-03-31</t>
        </is>
      </c>
      <c r="B45" t="n">
        <v>103.83</v>
      </c>
    </row>
    <row r="46">
      <c r="A46" t="inlineStr">
        <is>
          <t>2019-04-30</t>
        </is>
      </c>
      <c r="B46" t="n">
        <v>103.98</v>
      </c>
    </row>
    <row r="47">
      <c r="A47" t="inlineStr">
        <is>
          <t>2019-05-31</t>
        </is>
      </c>
      <c r="B47" t="n">
        <v>100.99</v>
      </c>
    </row>
    <row r="48">
      <c r="A48" t="inlineStr">
        <is>
          <t>2019-06-30</t>
        </is>
      </c>
      <c r="B48" t="n">
        <v>102.67</v>
      </c>
    </row>
    <row r="49">
      <c r="A49" t="inlineStr">
        <is>
          <t>2019-07-31</t>
        </is>
      </c>
      <c r="B49" t="n">
        <v>105.93</v>
      </c>
    </row>
    <row r="50">
      <c r="A50" t="inlineStr">
        <is>
          <t>2019-08-31</t>
        </is>
      </c>
      <c r="B50" t="n">
        <v>103.29</v>
      </c>
    </row>
    <row r="51">
      <c r="A51" t="inlineStr">
        <is>
          <t>2019-09-30</t>
        </is>
      </c>
      <c r="B51" t="n">
        <v>108.62</v>
      </c>
    </row>
    <row r="52">
      <c r="A52" t="inlineStr">
        <is>
          <t>2019-10-31</t>
        </is>
      </c>
      <c r="B52" t="n">
        <v>110.3</v>
      </c>
    </row>
    <row r="53">
      <c r="A53" t="inlineStr">
        <is>
          <t>2019-11-30</t>
        </is>
      </c>
      <c r="B53" t="n">
        <v>111.53</v>
      </c>
    </row>
    <row r="54">
      <c r="A54" t="inlineStr">
        <is>
          <t>2019-12-31</t>
        </is>
      </c>
      <c r="B54" t="n">
        <v>114.28</v>
      </c>
    </row>
    <row r="55">
      <c r="A55" t="inlineStr">
        <is>
          <t>2020-01-31</t>
        </is>
      </c>
      <c r="B55" t="n">
        <v>118.52</v>
      </c>
    </row>
    <row r="56">
      <c r="A56" t="inlineStr">
        <is>
          <t>2020-02-29</t>
        </is>
      </c>
      <c r="B56" t="n">
        <v>121.91</v>
      </c>
    </row>
    <row r="57">
      <c r="A57" t="inlineStr">
        <is>
          <t>2020-03-31</t>
        </is>
      </c>
      <c r="B57" t="n">
        <v>97.68000000000001</v>
      </c>
    </row>
    <row r="58">
      <c r="A58" t="inlineStr">
        <is>
          <t>2020-04-30</t>
        </is>
      </c>
      <c r="B58" t="n">
        <v>112.65</v>
      </c>
    </row>
    <row r="59">
      <c r="A59" t="inlineStr">
        <is>
          <t>2020-05-31</t>
        </is>
      </c>
      <c r="B59" t="n">
        <v>114.87</v>
      </c>
    </row>
    <row r="60">
      <c r="A60" t="inlineStr">
        <is>
          <t>2020-06-30</t>
        </is>
      </c>
      <c r="B60" t="n">
        <v>119.95</v>
      </c>
    </row>
    <row r="61">
      <c r="A61" t="inlineStr">
        <is>
          <t>2020-07-31</t>
        </is>
      </c>
      <c r="B61" t="n">
        <v>129.65</v>
      </c>
    </row>
    <row r="62">
      <c r="A62" t="inlineStr">
        <is>
          <t>2020-08-31</t>
        </is>
      </c>
      <c r="B62" t="n">
        <v>134.28</v>
      </c>
    </row>
    <row r="63">
      <c r="A63" t="inlineStr">
        <is>
          <t>2020-09-30</t>
        </is>
      </c>
      <c r="B63" t="n">
        <v>131.68</v>
      </c>
    </row>
    <row r="68">
      <c r="A68" t="inlineStr">
        <is>
          <t>Abfrage von historische Wertentwicklung 10 Jahre</t>
        </is>
      </c>
    </row>
    <row r="69">
      <c r="A69" t="inlineStr">
        <is>
          <t>Abfrage von historische Wertentwicklung 10 Jahre</t>
        </is>
      </c>
      <c r="B69" t="inlineStr">
        <is>
          <t>Valor</t>
        </is>
      </c>
    </row>
    <row r="70">
      <c r="A70" t="inlineStr">
        <is>
          <t>Datum</t>
        </is>
      </c>
      <c r="B70" t="inlineStr">
        <is>
          <t>Valor</t>
        </is>
      </c>
    </row>
    <row r="71">
      <c r="A71" t="inlineStr">
        <is>
          <t>2010-09-30</t>
        </is>
      </c>
      <c r="B71" t="n">
        <v>138.04</v>
      </c>
    </row>
    <row r="72">
      <c r="A72" t="inlineStr">
        <is>
          <t>2010-10-31</t>
        </is>
      </c>
      <c r="B72" t="n">
        <v>143.14</v>
      </c>
    </row>
    <row r="73">
      <c r="A73" t="inlineStr">
        <is>
          <t>2010-11-30</t>
        </is>
      </c>
      <c r="B73" t="n">
        <v>150.85</v>
      </c>
    </row>
    <row r="74">
      <c r="A74" t="inlineStr">
        <is>
          <t>2010-12-31</t>
        </is>
      </c>
      <c r="B74" t="n">
        <v>158.86</v>
      </c>
    </row>
    <row r="75">
      <c r="A75" t="inlineStr">
        <is>
          <t>2011-01-31</t>
        </is>
      </c>
      <c r="B75" t="n">
        <v>152.51</v>
      </c>
    </row>
    <row r="76">
      <c r="A76" t="inlineStr">
        <is>
          <t>2011-02-28</t>
        </is>
      </c>
      <c r="B76" t="n">
        <v>157.85</v>
      </c>
    </row>
    <row r="77">
      <c r="A77" t="inlineStr">
        <is>
          <t>2011-03-31</t>
        </is>
      </c>
      <c r="B77" t="n">
        <v>156.35</v>
      </c>
    </row>
    <row r="78">
      <c r="A78" t="inlineStr">
        <is>
          <t>2011-04-30</t>
        </is>
      </c>
      <c r="B78" t="n">
        <v>154.41</v>
      </c>
    </row>
    <row r="79">
      <c r="A79" t="inlineStr">
        <is>
          <t>2011-05-31</t>
        </is>
      </c>
      <c r="B79" t="n">
        <v>151.24</v>
      </c>
    </row>
    <row r="80">
      <c r="A80" t="inlineStr">
        <is>
          <t>2011-06-30</t>
        </is>
      </c>
      <c r="B80" t="n">
        <v>142.94</v>
      </c>
    </row>
    <row r="81">
      <c r="A81" t="inlineStr">
        <is>
          <t>2011-07-31</t>
        </is>
      </c>
      <c r="B81" t="n">
        <v>146.46</v>
      </c>
    </row>
    <row r="82">
      <c r="A82" t="inlineStr">
        <is>
          <t>2011-08-31</t>
        </is>
      </c>
      <c r="B82" t="n">
        <v>140.76</v>
      </c>
    </row>
    <row r="83">
      <c r="A83" t="inlineStr">
        <is>
          <t>2011-09-30</t>
        </is>
      </c>
      <c r="B83" t="n">
        <v>125.88</v>
      </c>
    </row>
    <row r="84">
      <c r="A84" t="inlineStr">
        <is>
          <t>2011-10-31</t>
        </is>
      </c>
      <c r="B84" t="n">
        <v>133.11</v>
      </c>
    </row>
    <row r="85">
      <c r="A85" t="inlineStr">
        <is>
          <t>2011-11-30</t>
        </is>
      </c>
      <c r="B85" t="n">
        <v>130.8</v>
      </c>
    </row>
    <row r="86">
      <c r="A86" t="inlineStr">
        <is>
          <t>2011-12-31</t>
        </is>
      </c>
      <c r="B86" t="n">
        <v>129.23</v>
      </c>
    </row>
    <row r="87">
      <c r="A87" t="inlineStr">
        <is>
          <t>2012-01-31</t>
        </is>
      </c>
      <c r="B87" t="n">
        <v>139.99</v>
      </c>
    </row>
    <row r="88">
      <c r="A88" t="inlineStr">
        <is>
          <t>2012-02-29</t>
        </is>
      </c>
      <c r="B88" t="n">
        <v>141.6</v>
      </c>
    </row>
    <row r="89">
      <c r="A89" t="inlineStr">
        <is>
          <t>2012-03-31</t>
        </is>
      </c>
      <c r="B89" t="n">
        <v>135.51</v>
      </c>
    </row>
    <row r="90">
      <c r="A90" t="inlineStr">
        <is>
          <t>2012-04-30</t>
        </is>
      </c>
      <c r="B90" t="n">
        <v>133.87</v>
      </c>
    </row>
    <row r="91">
      <c r="A91" t="inlineStr">
        <is>
          <t>2012-05-31</t>
        </is>
      </c>
      <c r="B91" t="n">
        <v>127</v>
      </c>
    </row>
    <row r="92">
      <c r="A92" t="inlineStr">
        <is>
          <t>2012-06-30</t>
        </is>
      </c>
      <c r="B92" t="n">
        <v>126.45</v>
      </c>
    </row>
    <row r="93">
      <c r="A93" t="inlineStr">
        <is>
          <t>2012-07-31</t>
        </is>
      </c>
      <c r="B93" t="n">
        <v>129.87</v>
      </c>
    </row>
    <row r="94">
      <c r="A94" t="inlineStr">
        <is>
          <t>2012-08-31</t>
        </is>
      </c>
      <c r="B94" t="n">
        <v>132.73</v>
      </c>
    </row>
    <row r="95">
      <c r="A95" t="inlineStr">
        <is>
          <t>2012-09-30</t>
        </is>
      </c>
      <c r="B95" t="n">
        <v>132.67</v>
      </c>
    </row>
    <row r="96">
      <c r="A96" t="inlineStr">
        <is>
          <t>2012-10-31</t>
        </is>
      </c>
      <c r="B96" t="n">
        <v>129.42</v>
      </c>
    </row>
    <row r="97">
      <c r="A97" t="inlineStr">
        <is>
          <t>2012-11-30</t>
        </is>
      </c>
      <c r="B97" t="n">
        <v>128.44</v>
      </c>
    </row>
    <row r="98">
      <c r="A98" t="inlineStr">
        <is>
          <t>2012-12-31</t>
        </is>
      </c>
      <c r="B98" t="n">
        <v>126.78</v>
      </c>
    </row>
    <row r="99">
      <c r="A99" t="inlineStr">
        <is>
          <t>2013-01-31</t>
        </is>
      </c>
      <c r="B99" t="n">
        <v>127.05</v>
      </c>
    </row>
    <row r="100">
      <c r="A100" t="inlineStr">
        <is>
          <t>2013-02-28</t>
        </is>
      </c>
      <c r="B100" t="n">
        <v>126.04</v>
      </c>
    </row>
    <row r="101">
      <c r="A101" t="inlineStr">
        <is>
          <t>2013-03-31</t>
        </is>
      </c>
      <c r="B101" t="n">
        <v>128.96</v>
      </c>
    </row>
    <row r="102">
      <c r="A102" t="inlineStr">
        <is>
          <t>2013-04-30</t>
        </is>
      </c>
      <c r="B102" t="n">
        <v>117.24</v>
      </c>
    </row>
    <row r="103">
      <c r="A103" t="inlineStr">
        <is>
          <t>2013-05-31</t>
        </is>
      </c>
      <c r="B103" t="n">
        <v>119.17</v>
      </c>
    </row>
    <row r="104">
      <c r="A104" t="inlineStr">
        <is>
          <t>2013-06-30</t>
        </is>
      </c>
      <c r="B104" t="n">
        <v>107</v>
      </c>
    </row>
    <row r="105">
      <c r="A105" t="inlineStr">
        <is>
          <t>2013-07-31</t>
        </is>
      </c>
      <c r="B105" t="n">
        <v>111.09</v>
      </c>
    </row>
    <row r="106">
      <c r="A106" t="inlineStr">
        <is>
          <t>2013-08-31</t>
        </is>
      </c>
      <c r="B106" t="n">
        <v>113.96</v>
      </c>
    </row>
    <row r="107">
      <c r="A107" t="inlineStr">
        <is>
          <t>2013-09-30</t>
        </is>
      </c>
      <c r="B107" t="n">
        <v>112.07</v>
      </c>
    </row>
    <row r="108">
      <c r="A108" t="inlineStr">
        <is>
          <t>2013-10-31</t>
        </is>
      </c>
      <c r="B108" t="n">
        <v>111.17</v>
      </c>
    </row>
    <row r="109">
      <c r="A109" t="inlineStr">
        <is>
          <t>2013-11-30</t>
        </is>
      </c>
      <c r="B109" t="n">
        <v>107.55</v>
      </c>
    </row>
    <row r="110">
      <c r="A110" t="inlineStr">
        <is>
          <t>2013-12-31</t>
        </is>
      </c>
      <c r="B110" t="n">
        <v>106.29</v>
      </c>
    </row>
    <row r="111">
      <c r="A111" t="inlineStr">
        <is>
          <t>2014-01-31</t>
        </is>
      </c>
      <c r="B111" t="n">
        <v>107.53</v>
      </c>
    </row>
    <row r="112">
      <c r="A112" t="inlineStr">
        <is>
          <t>2014-02-28</t>
        </is>
      </c>
      <c r="B112" t="n">
        <v>112.49</v>
      </c>
    </row>
    <row r="113">
      <c r="A113" t="inlineStr">
        <is>
          <t>2014-03-31</t>
        </is>
      </c>
      <c r="B113" t="n">
        <v>108.26</v>
      </c>
    </row>
    <row r="114">
      <c r="A114" t="inlineStr">
        <is>
          <t>2014-04-30</t>
        </is>
      </c>
      <c r="B114" t="n">
        <v>107.79</v>
      </c>
    </row>
    <row r="115">
      <c r="A115" t="inlineStr">
        <is>
          <t>2014-05-31</t>
        </is>
      </c>
      <c r="B115" t="n">
        <v>108.59</v>
      </c>
    </row>
    <row r="116">
      <c r="A116" t="inlineStr">
        <is>
          <t>2014-06-30</t>
        </is>
      </c>
      <c r="B116" t="n">
        <v>115.6</v>
      </c>
    </row>
    <row r="117">
      <c r="A117" t="inlineStr">
        <is>
          <t>2014-07-31</t>
        </is>
      </c>
      <c r="B117" t="n">
        <v>117.09</v>
      </c>
    </row>
    <row r="118">
      <c r="A118" t="inlineStr">
        <is>
          <t>2014-08-31</t>
        </is>
      </c>
      <c r="B118" t="n">
        <v>115.82</v>
      </c>
    </row>
    <row r="119">
      <c r="A119" t="inlineStr">
        <is>
          <t>2014-09-30</t>
        </is>
      </c>
      <c r="B119" t="n">
        <v>108.58</v>
      </c>
    </row>
    <row r="120">
      <c r="A120" t="inlineStr">
        <is>
          <t>2014-10-31</t>
        </is>
      </c>
      <c r="B120" t="n">
        <v>103.86</v>
      </c>
    </row>
    <row r="121">
      <c r="A121" t="inlineStr">
        <is>
          <t>2014-11-30</t>
        </is>
      </c>
      <c r="B121" t="n">
        <v>104.6</v>
      </c>
    </row>
    <row r="122">
      <c r="A122" t="inlineStr">
        <is>
          <t>2014-12-31</t>
        </is>
      </c>
      <c r="B122" t="n">
        <v>102.49</v>
      </c>
    </row>
    <row r="123">
      <c r="A123" t="inlineStr">
        <is>
          <t>2015-01-31</t>
        </is>
      </c>
      <c r="B123" t="n">
        <v>115.11</v>
      </c>
    </row>
    <row r="124">
      <c r="A124" t="inlineStr">
        <is>
          <t>2015-02-28</t>
        </is>
      </c>
      <c r="B124" t="n">
        <v>111.93</v>
      </c>
    </row>
    <row r="125">
      <c r="A125" t="inlineStr">
        <is>
          <t>2015-03-31</t>
        </is>
      </c>
      <c r="B125" t="n">
        <v>113.85</v>
      </c>
    </row>
    <row r="126">
      <c r="A126" t="inlineStr">
        <is>
          <t>2015-04-30</t>
        </is>
      </c>
      <c r="B126" t="n">
        <v>114.85</v>
      </c>
    </row>
    <row r="127">
      <c r="A127" t="inlineStr">
        <is>
          <t>2015-05-31</t>
        </is>
      </c>
      <c r="B127" t="n">
        <v>112.77</v>
      </c>
    </row>
    <row r="128">
      <c r="A128" t="inlineStr">
        <is>
          <t>2015-06-30</t>
        </is>
      </c>
      <c r="B128" t="n">
        <v>105.66</v>
      </c>
    </row>
    <row r="129">
      <c r="A129" t="inlineStr">
        <is>
          <t>2015-07-31</t>
        </is>
      </c>
      <c r="B129" t="n">
        <v>92.84999999999999</v>
      </c>
    </row>
    <row r="130">
      <c r="A130" t="inlineStr">
        <is>
          <t>2015-08-31</t>
        </is>
      </c>
      <c r="B130" t="n">
        <v>82.84999999999999</v>
      </c>
    </row>
    <row r="131">
      <c r="A131" t="inlineStr">
        <is>
          <t>2015-09-30</t>
        </is>
      </c>
      <c r="B131" t="n">
        <v>80.81</v>
      </c>
    </row>
    <row r="132">
      <c r="A132" t="inlineStr">
        <is>
          <t>2015-10-31</t>
        </is>
      </c>
      <c r="B132" t="n">
        <v>85.91</v>
      </c>
    </row>
    <row r="133">
      <c r="A133" t="inlineStr">
        <is>
          <t>2015-11-30</t>
        </is>
      </c>
      <c r="B133" t="n">
        <v>84.81999999999999</v>
      </c>
    </row>
    <row r="134">
      <c r="A134" t="inlineStr">
        <is>
          <t>2015-12-31</t>
        </is>
      </c>
      <c r="B134" t="n">
        <v>81.72</v>
      </c>
    </row>
    <row r="135">
      <c r="A135" t="inlineStr">
        <is>
          <t>2016-01-31</t>
        </is>
      </c>
      <c r="B135" t="n">
        <v>77.15000000000001</v>
      </c>
    </row>
    <row r="136">
      <c r="A136" t="inlineStr">
        <is>
          <t>2016-02-29</t>
        </is>
      </c>
      <c r="B136" t="n">
        <v>80.5</v>
      </c>
    </row>
    <row r="137">
      <c r="A137" t="inlineStr">
        <is>
          <t>2016-03-31</t>
        </is>
      </c>
      <c r="B137" t="n">
        <v>83.39</v>
      </c>
    </row>
    <row r="138">
      <c r="A138" t="inlineStr">
        <is>
          <t>2016-04-30</t>
        </is>
      </c>
      <c r="B138" t="n">
        <v>87.53</v>
      </c>
    </row>
    <row r="139">
      <c r="A139" t="inlineStr">
        <is>
          <t>2016-05-31</t>
        </is>
      </c>
      <c r="B139" t="n">
        <v>85.03</v>
      </c>
    </row>
    <row r="140">
      <c r="A140" t="inlineStr">
        <is>
          <t>2016-06-30</t>
        </is>
      </c>
      <c r="B140" t="n">
        <v>88.98999999999999</v>
      </c>
    </row>
    <row r="141">
      <c r="A141" t="inlineStr">
        <is>
          <t>2016-07-31</t>
        </is>
      </c>
      <c r="B141" t="n">
        <v>95.34999999999999</v>
      </c>
    </row>
    <row r="142">
      <c r="A142" t="inlineStr">
        <is>
          <t>2016-08-31</t>
        </is>
      </c>
      <c r="B142" t="n">
        <v>94.5</v>
      </c>
    </row>
    <row r="143">
      <c r="A143" t="inlineStr">
        <is>
          <t>2016-09-30</t>
        </is>
      </c>
      <c r="B143" t="n">
        <v>94.2</v>
      </c>
    </row>
    <row r="144">
      <c r="A144" t="inlineStr">
        <is>
          <t>2016-10-31</t>
        </is>
      </c>
      <c r="B144" t="n">
        <v>95.48</v>
      </c>
    </row>
    <row r="145">
      <c r="A145" t="inlineStr">
        <is>
          <t>2016-11-30</t>
        </is>
      </c>
      <c r="B145" t="n">
        <v>99.3</v>
      </c>
    </row>
    <row r="146">
      <c r="A146" t="inlineStr">
        <is>
          <t>2016-12-31</t>
        </is>
      </c>
      <c r="B146" t="n">
        <v>98.52</v>
      </c>
    </row>
    <row r="147">
      <c r="A147" t="inlineStr">
        <is>
          <t>2017-01-31</t>
        </is>
      </c>
      <c r="B147" t="n">
        <v>102.59</v>
      </c>
    </row>
    <row r="148">
      <c r="A148" t="inlineStr">
        <is>
          <t>2017-02-28</t>
        </is>
      </c>
      <c r="B148" t="n">
        <v>106.7</v>
      </c>
    </row>
    <row r="149">
      <c r="A149" t="inlineStr">
        <is>
          <t>2017-03-31</t>
        </is>
      </c>
      <c r="B149" t="n">
        <v>102.34</v>
      </c>
    </row>
    <row r="150">
      <c r="A150" t="inlineStr">
        <is>
          <t>2017-04-30</t>
        </is>
      </c>
      <c r="B150" t="n">
        <v>100.5</v>
      </c>
    </row>
    <row r="151">
      <c r="A151" t="inlineStr">
        <is>
          <t>2017-05-31</t>
        </is>
      </c>
      <c r="B151" t="n">
        <v>97.39</v>
      </c>
    </row>
    <row r="152">
      <c r="A152" t="inlineStr">
        <is>
          <t>2017-06-30</t>
        </is>
      </c>
      <c r="B152" t="n">
        <v>96.56999999999999</v>
      </c>
    </row>
    <row r="153">
      <c r="A153" t="inlineStr">
        <is>
          <t>2017-07-31</t>
        </is>
      </c>
      <c r="B153" t="n">
        <v>100.37</v>
      </c>
    </row>
    <row r="154">
      <c r="A154" t="inlineStr">
        <is>
          <t>2017-08-31</t>
        </is>
      </c>
      <c r="B154" t="n">
        <v>101.15</v>
      </c>
    </row>
    <row r="155">
      <c r="A155" t="inlineStr">
        <is>
          <t>2017-09-30</t>
        </is>
      </c>
      <c r="B155" t="n">
        <v>104.17</v>
      </c>
    </row>
    <row r="156">
      <c r="A156" t="inlineStr">
        <is>
          <t>2017-10-31</t>
        </is>
      </c>
      <c r="B156" t="n">
        <v>110.72</v>
      </c>
    </row>
    <row r="157">
      <c r="A157" t="inlineStr">
        <is>
          <t>2017-11-30</t>
        </is>
      </c>
      <c r="B157" t="n">
        <v>110.33</v>
      </c>
    </row>
    <row r="158">
      <c r="A158" t="inlineStr">
        <is>
          <t>2017-12-31</t>
        </is>
      </c>
      <c r="B158" t="n">
        <v>112.15</v>
      </c>
    </row>
    <row r="159">
      <c r="A159" t="inlineStr">
        <is>
          <t>2018-01-31</t>
        </is>
      </c>
      <c r="B159" t="n">
        <v>113.13</v>
      </c>
    </row>
    <row r="160">
      <c r="A160" t="inlineStr">
        <is>
          <t>2018-02-28</t>
        </is>
      </c>
      <c r="B160" t="n">
        <v>111.58</v>
      </c>
    </row>
    <row r="161">
      <c r="A161" t="inlineStr">
        <is>
          <t>2018-03-31</t>
        </is>
      </c>
      <c r="B161" t="n">
        <v>106.62</v>
      </c>
    </row>
    <row r="162">
      <c r="A162" t="inlineStr">
        <is>
          <t>2018-04-30</t>
        </is>
      </c>
      <c r="B162" t="n">
        <v>109.07</v>
      </c>
    </row>
    <row r="163">
      <c r="A163" t="inlineStr">
        <is>
          <t>2018-05-31</t>
        </is>
      </c>
      <c r="B163" t="n">
        <v>113.3</v>
      </c>
    </row>
    <row r="164">
      <c r="A164" t="inlineStr">
        <is>
          <t>2018-06-30</t>
        </is>
      </c>
      <c r="B164" t="n">
        <v>107.99</v>
      </c>
    </row>
    <row r="165">
      <c r="A165" t="inlineStr">
        <is>
          <t>2018-07-31</t>
        </is>
      </c>
      <c r="B165" t="n">
        <v>107.04</v>
      </c>
    </row>
    <row r="166">
      <c r="A166" t="inlineStr">
        <is>
          <t>2018-08-31</t>
        </is>
      </c>
      <c r="B166" t="n">
        <v>101.71</v>
      </c>
    </row>
    <row r="167">
      <c r="A167" t="inlineStr">
        <is>
          <t>2018-09-30</t>
        </is>
      </c>
      <c r="B167" t="n">
        <v>101.07</v>
      </c>
    </row>
    <row r="168">
      <c r="A168" t="inlineStr">
        <is>
          <t>2018-10-31</t>
        </is>
      </c>
      <c r="B168" t="n">
        <v>94.86</v>
      </c>
    </row>
    <row r="169">
      <c r="A169" t="inlineStr">
        <is>
          <t>2018-11-30</t>
        </is>
      </c>
      <c r="B169" t="n">
        <v>98.5</v>
      </c>
    </row>
    <row r="170">
      <c r="A170" t="inlineStr">
        <is>
          <t>2018-12-31</t>
        </is>
      </c>
      <c r="B170" t="n">
        <v>93.06</v>
      </c>
    </row>
    <row r="171">
      <c r="A171" t="inlineStr">
        <is>
          <t>2019-01-31</t>
        </is>
      </c>
      <c r="B171" t="n">
        <v>98.39</v>
      </c>
    </row>
    <row r="172">
      <c r="A172" t="inlineStr">
        <is>
          <t>2019-02-28</t>
        </is>
      </c>
      <c r="B172" t="n">
        <v>103.75</v>
      </c>
    </row>
    <row r="173">
      <c r="A173" t="inlineStr">
        <is>
          <t>2019-03-31</t>
        </is>
      </c>
      <c r="B173" t="n">
        <v>103.83</v>
      </c>
    </row>
    <row r="174">
      <c r="A174" t="inlineStr">
        <is>
          <t>2019-04-30</t>
        </is>
      </c>
      <c r="B174" t="n">
        <v>103.98</v>
      </c>
    </row>
    <row r="175">
      <c r="A175" t="inlineStr">
        <is>
          <t>2019-05-31</t>
        </is>
      </c>
      <c r="B175" t="n">
        <v>100.99</v>
      </c>
    </row>
    <row r="176">
      <c r="A176" t="inlineStr">
        <is>
          <t>2019-06-30</t>
        </is>
      </c>
      <c r="B176" t="n">
        <v>102.67</v>
      </c>
    </row>
    <row r="177">
      <c r="A177" t="inlineStr">
        <is>
          <t>2019-07-31</t>
        </is>
      </c>
      <c r="B177" t="n">
        <v>105.93</v>
      </c>
    </row>
    <row r="178">
      <c r="A178" t="inlineStr">
        <is>
          <t>2019-08-31</t>
        </is>
      </c>
      <c r="B178" t="n">
        <v>103.29</v>
      </c>
    </row>
    <row r="179">
      <c r="A179" t="inlineStr">
        <is>
          <t>2019-09-30</t>
        </is>
      </c>
      <c r="B179" t="n">
        <v>108.62</v>
      </c>
    </row>
    <row r="180">
      <c r="A180" t="inlineStr">
        <is>
          <t>2019-10-31</t>
        </is>
      </c>
      <c r="B180" t="n">
        <v>110.3</v>
      </c>
    </row>
    <row r="181">
      <c r="A181" t="inlineStr">
        <is>
          <t>2019-11-30</t>
        </is>
      </c>
      <c r="B181" t="n">
        <v>111.53</v>
      </c>
    </row>
    <row r="182">
      <c r="A182" t="inlineStr">
        <is>
          <t>2019-12-31</t>
        </is>
      </c>
      <c r="B182" t="n">
        <v>114.28</v>
      </c>
    </row>
    <row r="183">
      <c r="A183" t="inlineStr">
        <is>
          <t>2020-01-31</t>
        </is>
      </c>
      <c r="B183" t="n">
        <v>118.52</v>
      </c>
    </row>
    <row r="184">
      <c r="A184" t="inlineStr">
        <is>
          <t>2020-02-29</t>
        </is>
      </c>
      <c r="B184" t="n">
        <v>121.91</v>
      </c>
    </row>
    <row r="185">
      <c r="A185" t="inlineStr">
        <is>
          <t>2020-03-31</t>
        </is>
      </c>
      <c r="B185" t="n">
        <v>97.68000000000001</v>
      </c>
    </row>
    <row r="186">
      <c r="A186" t="inlineStr">
        <is>
          <t>2020-04-30</t>
        </is>
      </c>
      <c r="B186" t="n">
        <v>112.65</v>
      </c>
    </row>
    <row r="187">
      <c r="A187" t="inlineStr">
        <is>
          <t>2020-05-31</t>
        </is>
      </c>
      <c r="B187" t="n">
        <v>114.87</v>
      </c>
    </row>
    <row r="188">
      <c r="A188" t="inlineStr">
        <is>
          <t>2020-06-30</t>
        </is>
      </c>
      <c r="B188" t="n">
        <v>119.95</v>
      </c>
    </row>
    <row r="189">
      <c r="A189" t="inlineStr">
        <is>
          <t>2020-07-31</t>
        </is>
      </c>
      <c r="B189" t="n">
        <v>129.65</v>
      </c>
    </row>
    <row r="190">
      <c r="A190" t="inlineStr">
        <is>
          <t>2020-08-31</t>
        </is>
      </c>
      <c r="B190" t="n">
        <v>134.28</v>
      </c>
    </row>
    <row r="191">
      <c r="A191" t="inlineStr">
        <is>
          <t>2020-09-30</t>
        </is>
      </c>
      <c r="B191" t="n">
        <v>131.68</v>
      </c>
    </row>
  </sheetData>
  <conditionalFormatting sqref="B2:B64">
    <cfRule type="colorScale" priority="1">
      <colorScale>
        <cfvo type="min"/>
        <cfvo type="max"/>
        <color rgb="FFAA0000"/>
        <color rgb="FF00AA00"/>
      </colorScale>
    </cfRule>
    <cfRule type="colorScale" priority="3">
      <colorScale>
        <cfvo type="min"/>
        <cfvo type="max"/>
        <color rgb="00FF4B24"/>
        <color rgb="FF00AA00"/>
      </colorScale>
    </cfRule>
    <cfRule type="colorScale" priority="5">
      <colorScale>
        <cfvo type="min"/>
        <cfvo type="max"/>
        <color rgb="00FF0000"/>
        <color rgb="0000FF00"/>
      </colorScale>
    </cfRule>
    <cfRule type="colorScale" priority="7">
      <colorScale>
        <cfvo type="min"/>
        <cfvo type="max"/>
        <color rgb="00AA0000"/>
        <color rgb="0000AA00"/>
      </colorScale>
    </cfRule>
  </conditionalFormatting>
  <conditionalFormatting sqref="B70:B192">
    <cfRule type="colorScale" priority="2">
      <colorScale>
        <cfvo type="min"/>
        <cfvo type="max"/>
        <color rgb="FFAA0000"/>
        <color rgb="FF00AA00"/>
      </colorScale>
    </cfRule>
    <cfRule type="colorScale" priority="4">
      <colorScale>
        <cfvo type="min"/>
        <cfvo type="max"/>
        <color rgb="00FF4B24"/>
        <color rgb="FF00AA00"/>
      </colorScale>
    </cfRule>
    <cfRule type="colorScale" priority="6">
      <colorScale>
        <cfvo type="min"/>
        <cfvo type="max"/>
        <color rgb="00FF0000"/>
        <color rgb="0000FF00"/>
      </colorScale>
    </cfRule>
    <cfRule type="colorScale" priority="8">
      <colorScale>
        <cfvo type="min"/>
        <cfvo type="max"/>
        <color rgb="00AA0000"/>
        <color rgb="0000AA00"/>
      </colorScale>
    </cfRule>
  </conditionalFormatting>
  <pageMargins left="0.7" right="0.7" top="0.75" bottom="0.75" header="0.511805555555555" footer="0.511805555555555"/>
  <pageSetup orientation="portrait" paperSize="9" firstPageNumber="0" horizontalDpi="300" verticalDpi="300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40"/>
  <sheetViews>
    <sheetView topLeftCell="A101" zoomScaleNormal="100" workbookViewId="0">
      <selection activeCell="E9" sqref="E9"/>
    </sheetView>
  </sheetViews>
  <sheetFormatPr baseColWidth="10" defaultColWidth="9.1640625" defaultRowHeight="15" outlineLevelCol="0"/>
  <cols>
    <col width="18.6640625" customWidth="1" style="68" min="1" max="1"/>
    <col width="10.6640625" customWidth="1" style="68" min="2" max="2"/>
    <col width="14.6640625" customWidth="1" style="68" min="3" max="3"/>
    <col width="25.1640625" customWidth="1" style="68" min="4" max="4"/>
    <col width="24.33203125" customWidth="1" style="68" min="5" max="5"/>
    <col width="29.6640625" customWidth="1" style="68" min="6" max="6"/>
    <col width="21.33203125" customWidth="1" style="68" min="7" max="7"/>
    <col width="8.6640625" customWidth="1" style="68" min="8" max="1025"/>
  </cols>
  <sheetData>
    <row r="1" ht="31.5" customFormat="1" customHeight="1" s="57">
      <c r="A1" s="40" t="inlineStr">
        <is>
          <t>Risikokennzahlen</t>
        </is>
      </c>
      <c r="B1" s="41" t="n"/>
      <c r="D1" s="40" t="n"/>
      <c r="E1" s="41" t="n"/>
    </row>
    <row r="2" ht="21.75" customFormat="1" customHeight="1" s="57">
      <c r="A2" s="42" t="n"/>
      <c r="B2" s="57" t="inlineStr">
        <is>
          <t>1 Jahr</t>
        </is>
      </c>
      <c r="C2" s="57" t="inlineStr">
        <is>
          <t>3 Jahre</t>
        </is>
      </c>
      <c r="D2" s="42" t="n"/>
      <c r="E2" s="43" t="n"/>
    </row>
    <row r="3" ht="18" customFormat="1" customHeight="1" s="57">
      <c r="A3" s="44" t="inlineStr">
        <is>
          <t>Volatilität</t>
        </is>
      </c>
      <c r="B3" s="45">
        <f>E140</f>
        <v/>
      </c>
      <c r="C3" s="45">
        <f>E139</f>
        <v/>
      </c>
      <c r="D3" s="44" t="n"/>
    </row>
    <row r="4" ht="18" customFormat="1" customHeight="1" s="57">
      <c r="A4" s="44" t="inlineStr">
        <is>
          <t>Sharpe Ratio</t>
        </is>
      </c>
      <c r="B4" s="46">
        <f>D219</f>
        <v/>
      </c>
      <c r="C4" s="46">
        <f>D191</f>
        <v/>
      </c>
      <c r="D4" s="44" t="n"/>
    </row>
    <row r="5" ht="18" customFormat="1" customHeight="1" s="57">
      <c r="A5" s="44" t="inlineStr">
        <is>
          <t>Tracking Error</t>
        </is>
      </c>
      <c r="B5" s="47">
        <f>C201</f>
        <v/>
      </c>
      <c r="C5" s="47">
        <f>C150</f>
        <v/>
      </c>
      <c r="D5" s="44" t="n"/>
    </row>
    <row r="6" ht="16.5" customFormat="1" customHeight="1" s="57">
      <c r="A6" s="44" t="inlineStr">
        <is>
          <t>Korrelation</t>
        </is>
      </c>
      <c r="B6" s="48">
        <f>C199</f>
        <v/>
      </c>
      <c r="C6" s="48">
        <f>C148</f>
        <v/>
      </c>
      <c r="D6" s="44" t="n"/>
    </row>
    <row r="7" ht="18.75" customFormat="1" customHeight="1" s="57">
      <c r="A7" s="44" t="inlineStr">
        <is>
          <t>Information Ratio</t>
        </is>
      </c>
      <c r="B7" s="46">
        <f>D215</f>
        <v/>
      </c>
      <c r="C7" s="46">
        <f>D187</f>
        <v/>
      </c>
      <c r="D7" s="44" t="n"/>
    </row>
    <row r="8" ht="16.5" customFormat="1" customHeight="1" s="57">
      <c r="A8" s="44" t="inlineStr">
        <is>
          <t>Beta</t>
        </is>
      </c>
      <c r="B8" s="46">
        <f>C197</f>
        <v/>
      </c>
      <c r="C8" s="46">
        <f>E143</f>
        <v/>
      </c>
      <c r="D8" s="44" t="n"/>
    </row>
    <row r="9" ht="21.75" customFormat="1" customHeight="1" s="57">
      <c r="A9" s="44" t="inlineStr">
        <is>
          <t>Treynor Ratio</t>
        </is>
      </c>
      <c r="B9" s="46">
        <f>D217*100</f>
        <v/>
      </c>
      <c r="C9" s="46">
        <f>D189*100</f>
        <v/>
      </c>
      <c r="D9" s="44" t="n"/>
    </row>
    <row r="10">
      <c r="A10" t="inlineStr">
        <is>
          <t>Abfrage Risikokennzahlen Vola CRB</t>
        </is>
      </c>
    </row>
    <row r="11">
      <c r="A11" t="inlineStr">
        <is>
          <t>Datum</t>
        </is>
      </c>
      <c r="B11" t="inlineStr">
        <is>
          <t>Wert</t>
        </is>
      </c>
      <c r="D11" s="57" t="inlineStr">
        <is>
          <t>arithmetisches Mittel</t>
        </is>
      </c>
      <c r="E11" s="57" t="inlineStr">
        <is>
          <t>Differenz</t>
        </is>
      </c>
      <c r="F11" s="57" t="inlineStr">
        <is>
          <t>Varianz</t>
        </is>
      </c>
      <c r="G11" s="49" t="inlineStr">
        <is>
          <t>durch 35</t>
        </is>
      </c>
    </row>
    <row r="12">
      <c r="A12" t="inlineStr">
        <is>
          <t>2017-09-30</t>
        </is>
      </c>
      <c r="B12" t="n">
        <v>154.96</v>
      </c>
    </row>
    <row r="13">
      <c r="A13" t="inlineStr">
        <is>
          <t>2017-10-31</t>
        </is>
      </c>
      <c r="B13" t="n">
        <v>160.98</v>
      </c>
      <c r="C13" s="82">
        <f>B13/B12-1</f>
        <v/>
      </c>
      <c r="D13" s="75">
        <f>SUM(C13:C48)/36</f>
        <v/>
      </c>
      <c r="E13" s="57">
        <f>C13-D13</f>
        <v/>
      </c>
      <c r="F13" s="57">
        <f>E13^2</f>
        <v/>
      </c>
    </row>
    <row r="14">
      <c r="A14" t="inlineStr">
        <is>
          <t>2017-11-30</t>
        </is>
      </c>
      <c r="B14" t="n">
        <v>159.11</v>
      </c>
      <c r="C14" s="82">
        <f>B14/B13-1</f>
        <v/>
      </c>
      <c r="D14" s="75">
        <f>D13</f>
        <v/>
      </c>
      <c r="E14" s="57">
        <f>C14-D14</f>
        <v/>
      </c>
      <c r="F14" s="57">
        <f>E14^2</f>
        <v/>
      </c>
    </row>
    <row r="15">
      <c r="A15" t="inlineStr">
        <is>
          <t>2017-12-31</t>
        </is>
      </c>
      <c r="B15" t="n">
        <v>161.44</v>
      </c>
      <c r="C15" s="82">
        <f>B15/B14-1</f>
        <v/>
      </c>
      <c r="D15" s="75">
        <f>D14</f>
        <v/>
      </c>
      <c r="E15" s="57">
        <f>C15-D15</f>
        <v/>
      </c>
      <c r="F15" s="57">
        <f>E15^2</f>
        <v/>
      </c>
    </row>
    <row r="16">
      <c r="A16" t="inlineStr">
        <is>
          <t>2018-01-31</t>
        </is>
      </c>
      <c r="B16" t="n">
        <v>159</v>
      </c>
      <c r="C16" s="82">
        <f>B16/B15-1</f>
        <v/>
      </c>
      <c r="D16" s="75">
        <f>D15</f>
        <v/>
      </c>
      <c r="E16" s="57">
        <f>C16-D16</f>
        <v/>
      </c>
      <c r="F16" s="57">
        <f>E16^2</f>
        <v/>
      </c>
    </row>
    <row r="17">
      <c r="A17" t="inlineStr">
        <is>
          <t>2018-02-28</t>
        </is>
      </c>
      <c r="B17" t="n">
        <v>159.05</v>
      </c>
      <c r="C17" s="82">
        <f>B17/B16-1</f>
        <v/>
      </c>
      <c r="D17" s="75">
        <f>D16</f>
        <v/>
      </c>
      <c r="E17" s="57">
        <f>C17-D17</f>
        <v/>
      </c>
      <c r="F17" s="57">
        <f>E17^2</f>
        <v/>
      </c>
    </row>
    <row r="18">
      <c r="A18" t="inlineStr">
        <is>
          <t>2018-03-31</t>
        </is>
      </c>
      <c r="B18" t="n">
        <v>158.54</v>
      </c>
      <c r="C18" s="82">
        <f>B18/B17-1</f>
        <v/>
      </c>
      <c r="D18" s="75">
        <f>D17</f>
        <v/>
      </c>
      <c r="E18" s="57">
        <f>C18-D18</f>
        <v/>
      </c>
      <c r="F18" s="57">
        <f>E18^2</f>
        <v/>
      </c>
    </row>
    <row r="19">
      <c r="A19" t="inlineStr">
        <is>
          <t>2018-04-30</t>
        </is>
      </c>
      <c r="B19" t="n">
        <v>167.27</v>
      </c>
      <c r="C19" s="82">
        <f>B19/B18-1</f>
        <v/>
      </c>
      <c r="D19" s="75">
        <f>D18</f>
        <v/>
      </c>
      <c r="E19" s="57">
        <f>C19-D19</f>
        <v/>
      </c>
      <c r="F19" s="57">
        <f>E19^2</f>
        <v/>
      </c>
    </row>
    <row r="20">
      <c r="A20" t="inlineStr">
        <is>
          <t>2018-05-31</t>
        </is>
      </c>
      <c r="B20" t="n">
        <v>173.49</v>
      </c>
      <c r="C20" s="82">
        <f>B20/B19-1</f>
        <v/>
      </c>
      <c r="D20" s="75">
        <f>D19</f>
        <v/>
      </c>
      <c r="E20" s="57">
        <f>C20-D20</f>
        <v/>
      </c>
      <c r="F20" s="57">
        <f>E20^2</f>
        <v/>
      </c>
    </row>
    <row r="21">
      <c r="A21" t="inlineStr">
        <is>
          <t>2018-06-30</t>
        </is>
      </c>
      <c r="B21" t="n">
        <v>171.42</v>
      </c>
      <c r="C21" s="82">
        <f>B21/B20-1</f>
        <v/>
      </c>
      <c r="D21" s="75">
        <f>D20</f>
        <v/>
      </c>
      <c r="E21" s="57">
        <f>C21-D21</f>
        <v/>
      </c>
      <c r="F21" s="57">
        <f>E21^2</f>
        <v/>
      </c>
    </row>
    <row r="22">
      <c r="A22" t="inlineStr">
        <is>
          <t>2018-07-31</t>
        </is>
      </c>
      <c r="B22" t="n">
        <v>166.46</v>
      </c>
      <c r="C22" s="82">
        <f>B22/B21-1</f>
        <v/>
      </c>
      <c r="D22" s="75">
        <f>D21</f>
        <v/>
      </c>
      <c r="E22" s="57">
        <f>C22-D22</f>
        <v/>
      </c>
      <c r="F22" s="57">
        <f>E22^2</f>
        <v/>
      </c>
    </row>
    <row r="23">
      <c r="A23" t="inlineStr">
        <is>
          <t>2018-08-31</t>
        </is>
      </c>
      <c r="B23" t="n">
        <v>167.51</v>
      </c>
      <c r="C23" s="82">
        <f>B23/B22-1</f>
        <v/>
      </c>
      <c r="D23" s="75">
        <f>D22</f>
        <v/>
      </c>
      <c r="E23" s="57">
        <f>C23-D23</f>
        <v/>
      </c>
      <c r="F23" s="57">
        <f>E23^2</f>
        <v/>
      </c>
    </row>
    <row r="24">
      <c r="A24" t="inlineStr">
        <is>
          <t>2018-09-30</t>
        </is>
      </c>
      <c r="B24" t="n">
        <v>166.17</v>
      </c>
      <c r="C24" s="82">
        <f>B24/B23-1</f>
        <v/>
      </c>
      <c r="D24" s="75">
        <f>D23</f>
        <v/>
      </c>
      <c r="E24" s="57">
        <f>C24-D24</f>
        <v/>
      </c>
      <c r="F24" s="57">
        <f>E24^2</f>
        <v/>
      </c>
    </row>
    <row r="25">
      <c r="A25" t="inlineStr">
        <is>
          <t>2018-10-31</t>
        </is>
      </c>
      <c r="B25" t="n">
        <v>168.76</v>
      </c>
      <c r="C25" s="82">
        <f>B25/B24-1</f>
        <v/>
      </c>
      <c r="D25" s="75">
        <f>D24</f>
        <v/>
      </c>
      <c r="E25" s="57">
        <f>C25-D25</f>
        <v/>
      </c>
      <c r="F25" s="57">
        <f>E25^2</f>
        <v/>
      </c>
    </row>
    <row r="26">
      <c r="A26" t="inlineStr">
        <is>
          <t>2018-11-30</t>
        </is>
      </c>
      <c r="B26" t="n">
        <v>160.55</v>
      </c>
      <c r="C26" s="82">
        <f>B26/B25-1</f>
        <v/>
      </c>
      <c r="D26" s="75">
        <f>D25</f>
        <v/>
      </c>
      <c r="E26" s="57">
        <f>C26-D26</f>
        <v/>
      </c>
      <c r="F26" s="57">
        <f>E26^2</f>
        <v/>
      </c>
    </row>
    <row r="27">
      <c r="A27" t="inlineStr">
        <is>
          <t>2018-12-31</t>
        </is>
      </c>
      <c r="B27" t="n">
        <v>148.35</v>
      </c>
      <c r="C27" s="82">
        <f>B27/B26-1</f>
        <v/>
      </c>
      <c r="D27" s="75">
        <f>D26</f>
        <v/>
      </c>
      <c r="E27" s="57">
        <f>C27-D27</f>
        <v/>
      </c>
      <c r="F27" s="57">
        <f>E27^2</f>
        <v/>
      </c>
    </row>
    <row r="28">
      <c r="A28" t="inlineStr">
        <is>
          <t>2019-01-31</t>
        </is>
      </c>
      <c r="B28" t="n">
        <v>156.95</v>
      </c>
      <c r="C28" s="82">
        <f>B28/B27-1</f>
        <v/>
      </c>
      <c r="D28" s="75">
        <f>D27</f>
        <v/>
      </c>
      <c r="E28" s="57">
        <f>C28-D28</f>
        <v/>
      </c>
      <c r="F28" s="57">
        <f>E28^2</f>
        <v/>
      </c>
    </row>
    <row r="29">
      <c r="A29" t="inlineStr">
        <is>
          <t>2019-02-28</t>
        </is>
      </c>
      <c r="B29" t="n">
        <v>160.64</v>
      </c>
      <c r="C29" s="82">
        <f>B29/B28-1</f>
        <v/>
      </c>
      <c r="D29" s="75">
        <f>D28</f>
        <v/>
      </c>
      <c r="E29" s="57">
        <f>C29-D29</f>
        <v/>
      </c>
      <c r="F29" s="57">
        <f>E29^2</f>
        <v/>
      </c>
    </row>
    <row r="30">
      <c r="A30" t="inlineStr">
        <is>
          <t>2019-03-31</t>
        </is>
      </c>
      <c r="B30" t="n">
        <v>163.79</v>
      </c>
      <c r="C30" s="82">
        <f>B30/B29-1</f>
        <v/>
      </c>
      <c r="D30" s="75">
        <f>D29</f>
        <v/>
      </c>
      <c r="E30" s="57">
        <f>C30-D30</f>
        <v/>
      </c>
      <c r="F30" s="57">
        <f>E30^2</f>
        <v/>
      </c>
    </row>
    <row r="31">
      <c r="A31" t="inlineStr">
        <is>
          <t>2019-04-30</t>
        </is>
      </c>
      <c r="B31" t="n">
        <v>164.3</v>
      </c>
      <c r="C31" s="82">
        <f>B31/B30-1</f>
        <v/>
      </c>
      <c r="D31" s="75">
        <f>D30</f>
        <v/>
      </c>
      <c r="E31" s="57">
        <f>C31-D31</f>
        <v/>
      </c>
      <c r="F31" s="57">
        <f>E31^2</f>
        <v/>
      </c>
    </row>
    <row r="32">
      <c r="A32" t="inlineStr">
        <is>
          <t>2019-05-31</t>
        </is>
      </c>
      <c r="B32" t="n">
        <v>157</v>
      </c>
      <c r="C32" s="82">
        <f>B32/B31-1</f>
        <v/>
      </c>
      <c r="D32" s="75">
        <f>D31</f>
        <v/>
      </c>
      <c r="E32" s="57">
        <f>C32-D32</f>
        <v/>
      </c>
      <c r="F32" s="57">
        <f>E32^2</f>
        <v/>
      </c>
    </row>
    <row r="33">
      <c r="A33" t="inlineStr">
        <is>
          <t>2019-06-30</t>
        </is>
      </c>
      <c r="B33" t="n">
        <v>159.22</v>
      </c>
      <c r="C33" s="82">
        <f>B33/B32-1</f>
        <v/>
      </c>
      <c r="D33" s="75">
        <f>D32</f>
        <v/>
      </c>
      <c r="E33" s="57">
        <f>C33-D33</f>
        <v/>
      </c>
      <c r="F33" s="57">
        <f>E33^2</f>
        <v/>
      </c>
    </row>
    <row r="34">
      <c r="A34" t="inlineStr">
        <is>
          <t>2019-07-31</t>
        </is>
      </c>
      <c r="B34" t="n">
        <v>161.21</v>
      </c>
      <c r="C34" s="82">
        <f>B34/B33-1</f>
        <v/>
      </c>
      <c r="D34" s="75">
        <f>D33</f>
        <v/>
      </c>
      <c r="E34" s="57">
        <f>C34-D34</f>
        <v/>
      </c>
      <c r="F34" s="57">
        <f>E34^2</f>
        <v/>
      </c>
    </row>
    <row r="35">
      <c r="A35" t="inlineStr">
        <is>
          <t>2019-08-31</t>
        </is>
      </c>
      <c r="B35" t="n">
        <v>155.01</v>
      </c>
      <c r="C35" s="82">
        <f>B35/B34-1</f>
        <v/>
      </c>
      <c r="D35" s="75">
        <f>D34</f>
        <v/>
      </c>
      <c r="E35" s="57">
        <f>C35-D35</f>
        <v/>
      </c>
      <c r="F35" s="57">
        <f>E35^2</f>
        <v/>
      </c>
    </row>
    <row r="36">
      <c r="A36" t="inlineStr">
        <is>
          <t>2019-09-30</t>
        </is>
      </c>
      <c r="B36" t="n">
        <v>159.61</v>
      </c>
      <c r="C36" s="82">
        <f>B36/B35-1</f>
        <v/>
      </c>
      <c r="D36" s="75">
        <f>D35</f>
        <v/>
      </c>
      <c r="E36" s="57">
        <f>C36-D36</f>
        <v/>
      </c>
      <c r="F36" s="57">
        <f>E36^2</f>
        <v/>
      </c>
    </row>
    <row r="37">
      <c r="A37" t="inlineStr">
        <is>
          <t>2019-10-31</t>
        </is>
      </c>
      <c r="B37" t="n">
        <v>158.63</v>
      </c>
      <c r="C37" s="82">
        <f>B37/B36-1</f>
        <v/>
      </c>
      <c r="D37" s="75">
        <f>D36</f>
        <v/>
      </c>
      <c r="E37" s="57">
        <f>C37-D37</f>
        <v/>
      </c>
      <c r="F37" s="57">
        <f>E37^2</f>
        <v/>
      </c>
    </row>
    <row r="38">
      <c r="A38" t="inlineStr">
        <is>
          <t>2019-11-30</t>
        </is>
      </c>
      <c r="B38" t="n">
        <v>160.34</v>
      </c>
      <c r="C38" s="82">
        <f>B38/B37-1</f>
        <v/>
      </c>
      <c r="D38" s="75">
        <f>D37</f>
        <v/>
      </c>
      <c r="E38" s="57">
        <f>C38-D38</f>
        <v/>
      </c>
      <c r="F38" s="57">
        <f>E38^2</f>
        <v/>
      </c>
    </row>
    <row r="39">
      <c r="A39" t="inlineStr">
        <is>
          <t>2019-12-31</t>
        </is>
      </c>
      <c r="B39" t="n">
        <v>165.56</v>
      </c>
      <c r="C39" s="82">
        <f>B39/B38-1</f>
        <v/>
      </c>
      <c r="D39" s="75">
        <f>D38</f>
        <v/>
      </c>
      <c r="E39" s="57">
        <f>C39-D39</f>
        <v/>
      </c>
      <c r="F39" s="57">
        <f>E39^2</f>
        <v/>
      </c>
    </row>
    <row r="40">
      <c r="A40" t="inlineStr">
        <is>
          <t>2020-01-31</t>
        </is>
      </c>
      <c r="B40" t="n">
        <v>153.5</v>
      </c>
      <c r="C40" s="82">
        <f>B40/B39-1</f>
        <v/>
      </c>
      <c r="D40" s="75">
        <f>D39</f>
        <v/>
      </c>
      <c r="E40" s="57">
        <f>C40-D40</f>
        <v/>
      </c>
      <c r="F40" s="57">
        <f>E40^2</f>
        <v/>
      </c>
    </row>
    <row r="41">
      <c r="A41" t="inlineStr">
        <is>
          <t>2020-02-29</t>
        </is>
      </c>
      <c r="B41" t="n">
        <v>144.59</v>
      </c>
      <c r="C41" s="82">
        <f>B41/B40-1</f>
        <v/>
      </c>
      <c r="D41" s="75">
        <f>D40</f>
        <v/>
      </c>
      <c r="E41" s="57">
        <f>C41-D41</f>
        <v/>
      </c>
      <c r="F41" s="57">
        <f>E41^2</f>
        <v/>
      </c>
    </row>
    <row r="42">
      <c r="A42" t="inlineStr">
        <is>
          <t>2020-03-31</t>
        </is>
      </c>
      <c r="B42" t="n">
        <v>110.38</v>
      </c>
      <c r="C42" s="82">
        <f>B42/B41-1</f>
        <v/>
      </c>
      <c r="D42" s="75">
        <f>D41</f>
        <v/>
      </c>
      <c r="E42" s="57">
        <f>C42-D42</f>
        <v/>
      </c>
      <c r="F42" s="57">
        <f>E42^2</f>
        <v/>
      </c>
    </row>
    <row r="43">
      <c r="A43" t="inlineStr">
        <is>
          <t>2020-04-30</t>
        </is>
      </c>
      <c r="B43" t="n">
        <v>107.03</v>
      </c>
      <c r="C43" s="82">
        <f>B43/B42-1</f>
        <v/>
      </c>
      <c r="D43" s="75">
        <f>D42</f>
        <v/>
      </c>
      <c r="E43" s="57">
        <f>C43-D43</f>
        <v/>
      </c>
      <c r="F43" s="57">
        <f>E43^2</f>
        <v/>
      </c>
    </row>
    <row r="44">
      <c r="A44" t="inlineStr">
        <is>
          <t>2020-05-31</t>
        </is>
      </c>
      <c r="B44" t="n">
        <v>119.08</v>
      </c>
      <c r="C44" s="82">
        <f>B44/B43-1</f>
        <v/>
      </c>
      <c r="D44" s="75">
        <f>D43</f>
        <v/>
      </c>
      <c r="E44" s="57">
        <f>C44-D44</f>
        <v/>
      </c>
      <c r="F44" s="57">
        <f>E44^2</f>
        <v/>
      </c>
    </row>
    <row r="45">
      <c r="A45" t="inlineStr">
        <is>
          <t>2020-06-30</t>
        </is>
      </c>
      <c r="B45" t="n">
        <v>122.83</v>
      </c>
      <c r="C45" s="82">
        <f>B45/B44-1</f>
        <v/>
      </c>
      <c r="D45" s="75">
        <f>D44</f>
        <v/>
      </c>
      <c r="E45" s="57">
        <f>C45-D45</f>
        <v/>
      </c>
      <c r="F45" s="57">
        <f>E45^2</f>
        <v/>
      </c>
    </row>
    <row r="46">
      <c r="A46" t="inlineStr">
        <is>
          <t>2020-07-31</t>
        </is>
      </c>
      <c r="B46" t="n">
        <v>121.99</v>
      </c>
      <c r="C46" s="82">
        <f>B46/B45-1</f>
        <v/>
      </c>
      <c r="D46" s="75">
        <f>D45</f>
        <v/>
      </c>
      <c r="E46" s="57">
        <f>C46-D46</f>
        <v/>
      </c>
      <c r="F46" s="57">
        <f>E46^2</f>
        <v/>
      </c>
    </row>
    <row r="47">
      <c r="A47" t="inlineStr">
        <is>
          <t>2020-08-31</t>
        </is>
      </c>
      <c r="B47" t="n">
        <v>128.33</v>
      </c>
      <c r="C47" s="82">
        <f>B47/B46-1</f>
        <v/>
      </c>
      <c r="D47" s="75">
        <f>D46</f>
        <v/>
      </c>
      <c r="E47" s="57">
        <f>C47-D47</f>
        <v/>
      </c>
      <c r="F47" s="57">
        <f>E47^2</f>
        <v/>
      </c>
    </row>
    <row r="48">
      <c r="A48" t="inlineStr">
        <is>
          <t>2020-09-30</t>
        </is>
      </c>
      <c r="B48" t="n">
        <v>124.74</v>
      </c>
      <c r="C48" s="82">
        <f>B48/B47-1</f>
        <v/>
      </c>
      <c r="D48" s="75">
        <f>D47</f>
        <v/>
      </c>
      <c r="E48" s="57">
        <f>C48-D48</f>
        <v/>
      </c>
      <c r="F48" s="57">
        <f>E48^2</f>
        <v/>
      </c>
    </row>
    <row r="49">
      <c r="F49" s="57">
        <f>SUM(F13:F48)</f>
        <v/>
      </c>
      <c r="G49">
        <f>F49/35</f>
        <v/>
      </c>
    </row>
    <row r="50">
      <c r="C50" s="51" t="inlineStr">
        <is>
          <t xml:space="preserve">3 Jahre </t>
        </is>
      </c>
      <c r="D50" s="57">
        <f>G49^0.5*12^0.5</f>
        <v/>
      </c>
      <c r="E50" s="57">
        <f>STDEV(C13,C14,C15,C16,C17,C18,C19,C20,C21,C22,C23,C24,C25,C26,C27,C28,C29,C30,C31,C32,C33,C34,C35,C36,C37,C38,C39,C40,C41,C42,C43,C44,C45,C46,C47,C48)*SQRT(12)</f>
        <v/>
      </c>
    </row>
    <row r="51">
      <c r="C51" s="51" t="inlineStr">
        <is>
          <t>1 Jahr</t>
        </is>
      </c>
      <c r="D51" s="57" t="n"/>
      <c r="E51" s="57">
        <f>STDEV(C36,C37,C38,C39,C40,C41,C42,C43,C44,C45,C46,C47,C48)*SQRT(12)</f>
        <v/>
      </c>
    </row>
    <row r="53">
      <c r="C53" s="49" t="inlineStr">
        <is>
          <t>risikoloser zinssatz</t>
        </is>
      </c>
      <c r="D53" s="49" t="inlineStr">
        <is>
          <t>Überschussrendite Portfolio</t>
        </is>
      </c>
      <c r="E53" s="49" t="inlineStr">
        <is>
          <t>Differnez</t>
        </is>
      </c>
      <c r="F53" s="49" t="inlineStr">
        <is>
          <t>Überschussrendite Benchmark</t>
        </is>
      </c>
      <c r="G53" s="49" t="inlineStr">
        <is>
          <t>Differenz</t>
        </is>
      </c>
      <c r="H53" s="49" t="inlineStr">
        <is>
          <t>Produkt</t>
        </is>
      </c>
      <c r="I53" s="49" t="inlineStr">
        <is>
          <t>Quadrat</t>
        </is>
      </c>
      <c r="J53" s="52" t="inlineStr">
        <is>
          <t>Differenz 1 Jahr</t>
        </is>
      </c>
      <c r="K53" s="49" t="inlineStr">
        <is>
          <t>Differenz</t>
        </is>
      </c>
      <c r="L53" s="49" t="inlineStr">
        <is>
          <t>Produkt</t>
        </is>
      </c>
      <c r="M53" s="49" t="inlineStr">
        <is>
          <t>Quadrat</t>
        </is>
      </c>
      <c r="N53" s="49" t="n"/>
      <c r="O53" s="49" t="n"/>
      <c r="P53" s="49" t="n"/>
      <c r="Q53" s="49" t="n"/>
      <c r="R53" s="49" t="n"/>
      <c r="T53" s="49" t="n"/>
      <c r="U53" s="49" t="n"/>
      <c r="V53" s="49" t="n"/>
      <c r="W53" s="49" t="n"/>
    </row>
    <row r="54">
      <c r="A54" t="inlineStr">
        <is>
          <t>Abfrage Risikokennzahlen Vola Euribor</t>
        </is>
      </c>
    </row>
    <row r="55">
      <c r="A55" t="inlineStr">
        <is>
          <t>Datum</t>
        </is>
      </c>
      <c r="B55" t="inlineStr">
        <is>
          <t>Wert</t>
        </is>
      </c>
    </row>
    <row r="56">
      <c r="A56" t="inlineStr">
        <is>
          <t>2017-09-30</t>
        </is>
      </c>
      <c r="B56" t="n">
        <v>-0.33</v>
      </c>
    </row>
    <row r="57">
      <c r="A57" t="inlineStr">
        <is>
          <t>2017-10-31</t>
        </is>
      </c>
      <c r="B57" t="n">
        <v>-0.33</v>
      </c>
    </row>
    <row r="58">
      <c r="A58" t="inlineStr">
        <is>
          <t>2017-11-30</t>
        </is>
      </c>
      <c r="B58" t="n">
        <v>-0.33</v>
      </c>
    </row>
    <row r="59">
      <c r="A59" t="inlineStr">
        <is>
          <t>2017-12-31</t>
        </is>
      </c>
      <c r="B59" t="n">
        <v>-0.33</v>
      </c>
    </row>
    <row r="60">
      <c r="A60" t="inlineStr">
        <is>
          <t>2018-01-31</t>
        </is>
      </c>
      <c r="B60" t="n">
        <v>-0.33</v>
      </c>
    </row>
    <row r="61">
      <c r="A61" t="inlineStr">
        <is>
          <t>2018-02-28</t>
        </is>
      </c>
      <c r="B61" t="n">
        <v>-0.33</v>
      </c>
    </row>
    <row r="62">
      <c r="A62" t="inlineStr">
        <is>
          <t>2018-03-31</t>
        </is>
      </c>
      <c r="B62" t="n">
        <v>-0.33</v>
      </c>
    </row>
    <row r="63">
      <c r="A63" t="inlineStr">
        <is>
          <t>2018-04-30</t>
        </is>
      </c>
      <c r="B63" t="n">
        <v>-0.33</v>
      </c>
    </row>
    <row r="64">
      <c r="A64" t="inlineStr">
        <is>
          <t>2018-05-31</t>
        </is>
      </c>
      <c r="B64" t="n">
        <v>-0.32</v>
      </c>
    </row>
    <row r="65">
      <c r="A65" t="inlineStr">
        <is>
          <t>2018-06-30</t>
        </is>
      </c>
      <c r="B65" t="n">
        <v>-0.32</v>
      </c>
    </row>
    <row r="66">
      <c r="A66" t="inlineStr">
        <is>
          <t>2018-07-31</t>
        </is>
      </c>
      <c r="B66" t="n">
        <v>-0.32</v>
      </c>
    </row>
    <row r="67">
      <c r="A67" t="inlineStr">
        <is>
          <t>2018-08-31</t>
        </is>
      </c>
      <c r="B67" t="n">
        <v>-0.32</v>
      </c>
    </row>
    <row r="68">
      <c r="A68" t="inlineStr">
        <is>
          <t>2018-09-30</t>
        </is>
      </c>
      <c r="B68" t="n">
        <v>-0.32</v>
      </c>
    </row>
    <row r="69">
      <c r="A69" t="inlineStr">
        <is>
          <t>2018-10-31</t>
        </is>
      </c>
      <c r="B69" t="n">
        <v>-0.32</v>
      </c>
    </row>
    <row r="70">
      <c r="A70" t="inlineStr">
        <is>
          <t>2018-11-30</t>
        </is>
      </c>
      <c r="B70" t="n">
        <v>-0.32</v>
      </c>
    </row>
    <row r="71">
      <c r="A71" t="inlineStr">
        <is>
          <t>2018-12-31</t>
        </is>
      </c>
      <c r="B71" t="n">
        <v>-0.31</v>
      </c>
    </row>
    <row r="72">
      <c r="A72" t="inlineStr">
        <is>
          <t>2019-01-31</t>
        </is>
      </c>
      <c r="B72" t="n">
        <v>-0.31</v>
      </c>
    </row>
    <row r="73">
      <c r="A73" t="inlineStr">
        <is>
          <t>2019-02-28</t>
        </is>
      </c>
      <c r="B73" t="n">
        <v>-0.31</v>
      </c>
    </row>
    <row r="74">
      <c r="A74" t="inlineStr">
        <is>
          <t>2019-03-31</t>
        </is>
      </c>
      <c r="B74" t="n">
        <v>-0.31</v>
      </c>
    </row>
    <row r="75">
      <c r="A75" t="inlineStr">
        <is>
          <t>2019-04-30</t>
        </is>
      </c>
      <c r="B75" t="n">
        <v>-0.31</v>
      </c>
    </row>
    <row r="76">
      <c r="A76" t="inlineStr">
        <is>
          <t>2019-05-31</t>
        </is>
      </c>
      <c r="B76" t="n">
        <v>-0.32</v>
      </c>
    </row>
    <row r="77">
      <c r="A77" t="inlineStr">
        <is>
          <t>2019-06-30</t>
        </is>
      </c>
      <c r="B77" t="n">
        <v>-0.35</v>
      </c>
    </row>
    <row r="78">
      <c r="A78" t="inlineStr">
        <is>
          <t>2019-07-31</t>
        </is>
      </c>
      <c r="B78" t="n">
        <v>-0.37</v>
      </c>
    </row>
    <row r="79">
      <c r="A79" t="inlineStr">
        <is>
          <t>2019-08-31</t>
        </is>
      </c>
      <c r="B79" t="n">
        <v>-0.43</v>
      </c>
    </row>
    <row r="80">
      <c r="A80" t="inlineStr">
        <is>
          <t>2019-09-30</t>
        </is>
      </c>
      <c r="B80" t="n">
        <v>-0.42</v>
      </c>
    </row>
    <row r="81">
      <c r="A81" t="inlineStr">
        <is>
          <t>2019-10-31</t>
        </is>
      </c>
      <c r="B81" t="n">
        <v>-0.39</v>
      </c>
    </row>
    <row r="82">
      <c r="A82" t="inlineStr">
        <is>
          <t>2019-11-30</t>
        </is>
      </c>
      <c r="B82" t="n">
        <v>-0.4</v>
      </c>
    </row>
    <row r="83">
      <c r="A83" t="inlineStr">
        <is>
          <t>2019-12-31</t>
        </is>
      </c>
      <c r="B83" t="n">
        <v>-0.38</v>
      </c>
    </row>
    <row r="84">
      <c r="A84" t="inlineStr">
        <is>
          <t>2020-01-31</t>
        </is>
      </c>
      <c r="B84" t="n">
        <v>-0.39</v>
      </c>
    </row>
    <row r="85">
      <c r="A85" t="inlineStr">
        <is>
          <t>2020-02-29</t>
        </is>
      </c>
      <c r="B85" t="n">
        <v>-0.42</v>
      </c>
    </row>
    <row r="86">
      <c r="A86" t="inlineStr">
        <is>
          <t>2020-03-31</t>
        </is>
      </c>
      <c r="B86" t="n">
        <v>-0.36</v>
      </c>
    </row>
    <row r="87">
      <c r="A87" t="inlineStr">
        <is>
          <t>2020-04-30</t>
        </is>
      </c>
      <c r="B87" t="n">
        <v>-0.26</v>
      </c>
    </row>
    <row r="88">
      <c r="A88" t="inlineStr">
        <is>
          <t>2020-05-31</t>
        </is>
      </c>
      <c r="B88" t="n">
        <v>-0.31</v>
      </c>
    </row>
    <row r="89">
      <c r="A89" t="inlineStr">
        <is>
          <t>2020-06-30</t>
        </is>
      </c>
      <c r="B89" t="n">
        <v>-0.42</v>
      </c>
    </row>
    <row r="90">
      <c r="A90" t="inlineStr">
        <is>
          <t>2020-07-31</t>
        </is>
      </c>
      <c r="B90" t="n">
        <v>-0.46</v>
      </c>
    </row>
    <row r="91">
      <c r="A91" t="inlineStr">
        <is>
          <t>2020-08-31</t>
        </is>
      </c>
      <c r="B91" t="n">
        <v>-0.48</v>
      </c>
    </row>
    <row r="92">
      <c r="A92" t="inlineStr">
        <is>
          <t>2020-09-30</t>
        </is>
      </c>
      <c r="B92" t="n">
        <v>-0.49</v>
      </c>
    </row>
    <row r="98">
      <c r="A98" t="inlineStr">
        <is>
          <t>Abfrage Risikokennzahlen Vola Valor</t>
        </is>
      </c>
    </row>
    <row r="99">
      <c r="A99" t="inlineStr">
        <is>
          <t>Datum</t>
        </is>
      </c>
      <c r="B99" t="inlineStr">
        <is>
          <t>Wert</t>
        </is>
      </c>
      <c r="D99" s="57" t="inlineStr">
        <is>
          <t>arithmetisches Mittel</t>
        </is>
      </c>
      <c r="E99" s="57" t="inlineStr">
        <is>
          <t>Differenz</t>
        </is>
      </c>
      <c r="F99" s="57" t="inlineStr">
        <is>
          <t>Varianz</t>
        </is>
      </c>
      <c r="G99" s="49" t="inlineStr">
        <is>
          <t>durch 35</t>
        </is>
      </c>
    </row>
    <row r="100">
      <c r="A100" t="inlineStr">
        <is>
          <t>2017-09-30</t>
        </is>
      </c>
      <c r="B100" t="n">
        <v>104.17</v>
      </c>
    </row>
    <row r="101">
      <c r="A101" t="inlineStr">
        <is>
          <t>2017-10-31</t>
        </is>
      </c>
      <c r="B101" t="n">
        <v>110.72</v>
      </c>
      <c r="C101" s="82">
        <f>B101/B100-1</f>
        <v/>
      </c>
      <c r="D101" s="75">
        <f>SUM($C$101:$C$136)/36</f>
        <v/>
      </c>
      <c r="E101" s="75">
        <f>C101-D101</f>
        <v/>
      </c>
      <c r="F101" s="76">
        <f>E101^2</f>
        <v/>
      </c>
    </row>
    <row r="102">
      <c r="A102" t="inlineStr">
        <is>
          <t>2017-11-30</t>
        </is>
      </c>
      <c r="B102" t="n">
        <v>110.33</v>
      </c>
      <c r="C102" s="82">
        <f>B102/B101-1</f>
        <v/>
      </c>
      <c r="D102" s="75">
        <f>SUM($C$101:$C$136)/36</f>
        <v/>
      </c>
      <c r="E102" s="75">
        <f>C102-D102</f>
        <v/>
      </c>
      <c r="F102" s="76">
        <f>E102^2</f>
        <v/>
      </c>
    </row>
    <row r="103">
      <c r="A103" t="inlineStr">
        <is>
          <t>2017-12-31</t>
        </is>
      </c>
      <c r="B103" t="n">
        <v>112.15</v>
      </c>
      <c r="C103" s="82">
        <f>B103/B102-1</f>
        <v/>
      </c>
      <c r="D103" s="75">
        <f>SUM($C$101:$C$136)/36</f>
        <v/>
      </c>
      <c r="E103" s="75">
        <f>C103-D103</f>
        <v/>
      </c>
      <c r="F103" s="76">
        <f>E103^2</f>
        <v/>
      </c>
    </row>
    <row r="104">
      <c r="A104" t="inlineStr">
        <is>
          <t>2018-01-31</t>
        </is>
      </c>
      <c r="B104" t="n">
        <v>113.13</v>
      </c>
      <c r="C104" s="82">
        <f>B104/B103-1</f>
        <v/>
      </c>
      <c r="D104" s="75">
        <f>SUM($C$101:$C$136)/36</f>
        <v/>
      </c>
      <c r="E104" s="75">
        <f>C104-D104</f>
        <v/>
      </c>
      <c r="F104" s="76">
        <f>E104^2</f>
        <v/>
      </c>
    </row>
    <row r="105">
      <c r="A105" t="inlineStr">
        <is>
          <t>2018-02-28</t>
        </is>
      </c>
      <c r="B105" t="n">
        <v>111.58</v>
      </c>
      <c r="C105" s="82">
        <f>B105/B104-1</f>
        <v/>
      </c>
      <c r="D105" s="75">
        <f>SUM($C$101:$C$136)/36</f>
        <v/>
      </c>
      <c r="E105" s="75">
        <f>C105-D105</f>
        <v/>
      </c>
      <c r="F105" s="76">
        <f>E105^2</f>
        <v/>
      </c>
    </row>
    <row r="106">
      <c r="A106" t="inlineStr">
        <is>
          <t>2018-03-31</t>
        </is>
      </c>
      <c r="B106" t="n">
        <v>106.62</v>
      </c>
      <c r="C106" s="82">
        <f>B106/B105-1</f>
        <v/>
      </c>
      <c r="D106" s="75">
        <f>SUM($C$101:$C$136)/36</f>
        <v/>
      </c>
      <c r="E106" s="75">
        <f>C106-D106</f>
        <v/>
      </c>
      <c r="F106" s="76">
        <f>E106^2</f>
        <v/>
      </c>
    </row>
    <row r="107">
      <c r="A107" t="inlineStr">
        <is>
          <t>2018-04-30</t>
        </is>
      </c>
      <c r="B107" t="n">
        <v>109.07</v>
      </c>
      <c r="C107" s="82">
        <f>B107/B106-1</f>
        <v/>
      </c>
      <c r="D107" s="75">
        <f>SUM($C$101:$C$136)/36</f>
        <v/>
      </c>
      <c r="E107" s="75">
        <f>C107-D107</f>
        <v/>
      </c>
      <c r="F107" s="76">
        <f>E107^2</f>
        <v/>
      </c>
    </row>
    <row r="108">
      <c r="A108" t="inlineStr">
        <is>
          <t>2018-05-31</t>
        </is>
      </c>
      <c r="B108" t="n">
        <v>113.3</v>
      </c>
      <c r="C108" s="82">
        <f>B108/B107-1</f>
        <v/>
      </c>
      <c r="D108" s="75">
        <f>SUM($C$101:$C$136)/36</f>
        <v/>
      </c>
      <c r="E108" s="75">
        <f>C108-D108</f>
        <v/>
      </c>
      <c r="F108" s="76">
        <f>E108^2</f>
        <v/>
      </c>
    </row>
    <row r="109">
      <c r="A109" t="inlineStr">
        <is>
          <t>2018-06-30</t>
        </is>
      </c>
      <c r="B109" t="n">
        <v>107.99</v>
      </c>
      <c r="C109" s="82">
        <f>B109/B108-1</f>
        <v/>
      </c>
      <c r="D109" s="75">
        <f>SUM($C$101:$C$136)/36</f>
        <v/>
      </c>
      <c r="E109" s="75">
        <f>C109-D109</f>
        <v/>
      </c>
      <c r="F109" s="76">
        <f>E109^2</f>
        <v/>
      </c>
    </row>
    <row r="110">
      <c r="A110" t="inlineStr">
        <is>
          <t>2018-07-31</t>
        </is>
      </c>
      <c r="B110" t="n">
        <v>107.04</v>
      </c>
      <c r="C110" s="82">
        <f>B110/B109-1</f>
        <v/>
      </c>
      <c r="D110" s="75">
        <f>SUM($C$101:$C$136)/36</f>
        <v/>
      </c>
      <c r="E110" s="75">
        <f>C110-D110</f>
        <v/>
      </c>
      <c r="F110" s="76">
        <f>E110^2</f>
        <v/>
      </c>
    </row>
    <row r="111">
      <c r="A111" t="inlineStr">
        <is>
          <t>2018-08-31</t>
        </is>
      </c>
      <c r="B111" t="n">
        <v>101.71</v>
      </c>
      <c r="C111" s="82">
        <f>B111/B110-1</f>
        <v/>
      </c>
      <c r="D111" s="75">
        <f>SUM($C$101:$C$136)/36</f>
        <v/>
      </c>
      <c r="E111" s="75">
        <f>C111-D111</f>
        <v/>
      </c>
      <c r="F111" s="76">
        <f>E111^2</f>
        <v/>
      </c>
    </row>
    <row r="112">
      <c r="A112" t="inlineStr">
        <is>
          <t>2018-09-30</t>
        </is>
      </c>
      <c r="B112" t="n">
        <v>101.07</v>
      </c>
      <c r="C112" s="82">
        <f>B112/B111-1</f>
        <v/>
      </c>
      <c r="D112" s="75">
        <f>SUM($C$101:$C$136)/36</f>
        <v/>
      </c>
      <c r="E112" s="75">
        <f>C112-D112</f>
        <v/>
      </c>
      <c r="F112" s="76">
        <f>E112^2</f>
        <v/>
      </c>
    </row>
    <row r="113">
      <c r="A113" t="inlineStr">
        <is>
          <t>2018-10-31</t>
        </is>
      </c>
      <c r="B113" t="n">
        <v>94.86</v>
      </c>
      <c r="C113" s="82">
        <f>B113/B112-1</f>
        <v/>
      </c>
      <c r="D113" s="75">
        <f>SUM($C$101:$C$136)/36</f>
        <v/>
      </c>
      <c r="E113" s="75">
        <f>C113-D113</f>
        <v/>
      </c>
      <c r="F113" s="76">
        <f>E113^2</f>
        <v/>
      </c>
    </row>
    <row r="114">
      <c r="A114" t="inlineStr">
        <is>
          <t>2018-11-30</t>
        </is>
      </c>
      <c r="B114" t="n">
        <v>98.5</v>
      </c>
      <c r="C114" s="82">
        <f>B114/B113-1</f>
        <v/>
      </c>
      <c r="D114" s="75">
        <f>SUM($C$101:$C$136)/36</f>
        <v/>
      </c>
      <c r="E114" s="75">
        <f>C114-D114</f>
        <v/>
      </c>
      <c r="F114" s="76">
        <f>E114^2</f>
        <v/>
      </c>
    </row>
    <row r="115">
      <c r="A115" t="inlineStr">
        <is>
          <t>2018-12-31</t>
        </is>
      </c>
      <c r="B115" t="n">
        <v>93.06</v>
      </c>
      <c r="C115" s="82">
        <f>B115/B114-1</f>
        <v/>
      </c>
      <c r="D115" s="75">
        <f>SUM($C$101:$C$136)/36</f>
        <v/>
      </c>
      <c r="E115" s="75">
        <f>C115-D115</f>
        <v/>
      </c>
      <c r="F115" s="76">
        <f>E115^2</f>
        <v/>
      </c>
    </row>
    <row r="116">
      <c r="A116" t="inlineStr">
        <is>
          <t>2019-01-31</t>
        </is>
      </c>
      <c r="B116" t="n">
        <v>98.39</v>
      </c>
      <c r="C116" s="82">
        <f>B116/B115-1</f>
        <v/>
      </c>
      <c r="D116" s="75">
        <f>SUM($C$101:$C$136)/36</f>
        <v/>
      </c>
      <c r="E116" s="75">
        <f>C116-D116</f>
        <v/>
      </c>
      <c r="F116" s="76">
        <f>E116^2</f>
        <v/>
      </c>
    </row>
    <row r="117">
      <c r="A117" t="inlineStr">
        <is>
          <t>2019-02-28</t>
        </is>
      </c>
      <c r="B117" t="n">
        <v>103.75</v>
      </c>
      <c r="C117" s="82">
        <f>B117/B116-1</f>
        <v/>
      </c>
      <c r="D117" s="75">
        <f>SUM($C$101:$C$136)/36</f>
        <v/>
      </c>
      <c r="E117" s="75">
        <f>C117-D117</f>
        <v/>
      </c>
      <c r="F117" s="76">
        <f>E117^2</f>
        <v/>
      </c>
    </row>
    <row r="118">
      <c r="A118" t="inlineStr">
        <is>
          <t>2019-03-31</t>
        </is>
      </c>
      <c r="B118" t="n">
        <v>103.83</v>
      </c>
      <c r="C118" s="82">
        <f>B118/B117-1</f>
        <v/>
      </c>
      <c r="D118" s="75">
        <f>SUM($C$101:$C$136)/36</f>
        <v/>
      </c>
      <c r="E118" s="75">
        <f>C118-D118</f>
        <v/>
      </c>
      <c r="F118" s="76">
        <f>E118^2</f>
        <v/>
      </c>
    </row>
    <row r="119">
      <c r="A119" t="inlineStr">
        <is>
          <t>2019-04-30</t>
        </is>
      </c>
      <c r="B119" t="n">
        <v>103.98</v>
      </c>
      <c r="C119" s="82">
        <f>B119/B118-1</f>
        <v/>
      </c>
      <c r="D119" s="75">
        <f>SUM($C$101:$C$136)/36</f>
        <v/>
      </c>
      <c r="E119" s="75">
        <f>C119-D119</f>
        <v/>
      </c>
      <c r="F119" s="76">
        <f>E119^2</f>
        <v/>
      </c>
    </row>
    <row r="120">
      <c r="A120" t="inlineStr">
        <is>
          <t>2019-05-31</t>
        </is>
      </c>
      <c r="B120" t="n">
        <v>100.99</v>
      </c>
      <c r="C120" s="82">
        <f>B120/B119-1</f>
        <v/>
      </c>
      <c r="D120" s="75">
        <f>SUM($C$101:$C$136)/36</f>
        <v/>
      </c>
      <c r="E120" s="75">
        <f>C120-D120</f>
        <v/>
      </c>
      <c r="F120" s="76">
        <f>E120^2</f>
        <v/>
      </c>
    </row>
    <row r="121">
      <c r="A121" t="inlineStr">
        <is>
          <t>2019-06-30</t>
        </is>
      </c>
      <c r="B121" t="n">
        <v>102.67</v>
      </c>
      <c r="C121" s="82">
        <f>B121/B120-1</f>
        <v/>
      </c>
      <c r="D121" s="75">
        <f>SUM($C$101:$C$136)/36</f>
        <v/>
      </c>
      <c r="E121" s="75">
        <f>C121-D121</f>
        <v/>
      </c>
      <c r="F121" s="76">
        <f>E121^2</f>
        <v/>
      </c>
    </row>
    <row r="122">
      <c r="A122" t="inlineStr">
        <is>
          <t>2019-07-31</t>
        </is>
      </c>
      <c r="B122" t="n">
        <v>105.93</v>
      </c>
      <c r="C122" s="82">
        <f>B122/B121-1</f>
        <v/>
      </c>
      <c r="D122" s="75">
        <f>SUM($C$101:$C$136)/36</f>
        <v/>
      </c>
      <c r="E122" s="75">
        <f>C122-D122</f>
        <v/>
      </c>
      <c r="F122" s="76">
        <f>E122^2</f>
        <v/>
      </c>
    </row>
    <row r="123">
      <c r="A123" t="inlineStr">
        <is>
          <t>2019-08-31</t>
        </is>
      </c>
      <c r="B123" t="n">
        <v>103.29</v>
      </c>
      <c r="C123" s="82">
        <f>B123/B122-1</f>
        <v/>
      </c>
      <c r="D123" s="75">
        <f>SUM($C$101:$C$136)/36</f>
        <v/>
      </c>
      <c r="E123" s="75">
        <f>C123-D123</f>
        <v/>
      </c>
      <c r="F123" s="76">
        <f>E123^2</f>
        <v/>
      </c>
    </row>
    <row r="124">
      <c r="A124" t="inlineStr">
        <is>
          <t>2019-09-30</t>
        </is>
      </c>
      <c r="B124" t="n">
        <v>108.62</v>
      </c>
      <c r="C124" s="82">
        <f>B124/B123-1</f>
        <v/>
      </c>
      <c r="D124" s="75">
        <f>SUM($C$101:$C$136)/36</f>
        <v/>
      </c>
      <c r="E124" s="75">
        <f>C124-D124</f>
        <v/>
      </c>
      <c r="F124" s="76">
        <f>E124^2</f>
        <v/>
      </c>
    </row>
    <row r="125">
      <c r="A125" t="inlineStr">
        <is>
          <t>2019-10-31</t>
        </is>
      </c>
      <c r="B125" t="n">
        <v>110.3</v>
      </c>
      <c r="C125" s="82">
        <f>B125/B124-1</f>
        <v/>
      </c>
      <c r="D125" s="75">
        <f>SUM($C$101:$C$136)/36</f>
        <v/>
      </c>
      <c r="E125" s="75">
        <f>C125-D125</f>
        <v/>
      </c>
      <c r="F125" s="76">
        <f>E125^2</f>
        <v/>
      </c>
    </row>
    <row r="126">
      <c r="A126" t="inlineStr">
        <is>
          <t>2019-11-30</t>
        </is>
      </c>
      <c r="B126" t="n">
        <v>111.53</v>
      </c>
      <c r="C126" s="82">
        <f>B126/B125-1</f>
        <v/>
      </c>
      <c r="D126" s="75">
        <f>SUM($C$101:$C$136)/36</f>
        <v/>
      </c>
      <c r="E126" s="75">
        <f>C126-D126</f>
        <v/>
      </c>
      <c r="F126" s="76">
        <f>E126^2</f>
        <v/>
      </c>
    </row>
    <row r="127">
      <c r="A127" t="inlineStr">
        <is>
          <t>2019-12-31</t>
        </is>
      </c>
      <c r="B127" t="n">
        <v>114.28</v>
      </c>
      <c r="C127" s="82">
        <f>B127/B126-1</f>
        <v/>
      </c>
      <c r="D127" s="75">
        <f>SUM($C$101:$C$136)/36</f>
        <v/>
      </c>
      <c r="E127" s="75">
        <f>C127-D127</f>
        <v/>
      </c>
      <c r="F127" s="76">
        <f>E127^2</f>
        <v/>
      </c>
    </row>
    <row r="128">
      <c r="A128" t="inlineStr">
        <is>
          <t>2020-01-31</t>
        </is>
      </c>
      <c r="B128" t="n">
        <v>118.52</v>
      </c>
      <c r="C128" s="82">
        <f>B128/B127-1</f>
        <v/>
      </c>
      <c r="D128" s="75">
        <f>SUM($C$101:$C$136)/36</f>
        <v/>
      </c>
      <c r="E128" s="75">
        <f>C128-D128</f>
        <v/>
      </c>
      <c r="F128" s="76">
        <f>E128^2</f>
        <v/>
      </c>
    </row>
    <row r="129">
      <c r="A129" t="inlineStr">
        <is>
          <t>2020-02-29</t>
        </is>
      </c>
      <c r="B129" t="n">
        <v>121.91</v>
      </c>
      <c r="C129" s="82">
        <f>B129/B128-1</f>
        <v/>
      </c>
      <c r="D129" s="75">
        <f>SUM($C$101:$C$136)/36</f>
        <v/>
      </c>
      <c r="E129" s="75">
        <f>C129-D129</f>
        <v/>
      </c>
      <c r="F129" s="76">
        <f>E129^2</f>
        <v/>
      </c>
    </row>
    <row r="130">
      <c r="A130" t="inlineStr">
        <is>
          <t>2020-03-31</t>
        </is>
      </c>
      <c r="B130" t="n">
        <v>97.68000000000001</v>
      </c>
      <c r="C130" s="82">
        <f>B130/B129-1</f>
        <v/>
      </c>
      <c r="D130" s="75">
        <f>SUM($C$101:$C$136)/36</f>
        <v/>
      </c>
      <c r="E130" s="75">
        <f>C130-D130</f>
        <v/>
      </c>
      <c r="F130" s="76">
        <f>E130^2</f>
        <v/>
      </c>
    </row>
    <row r="131">
      <c r="A131" t="inlineStr">
        <is>
          <t>2020-04-30</t>
        </is>
      </c>
      <c r="B131" t="n">
        <v>112.65</v>
      </c>
      <c r="C131" s="82">
        <f>B131/B130-1</f>
        <v/>
      </c>
      <c r="D131" s="75">
        <f>SUM($C$101:$C$136)/36</f>
        <v/>
      </c>
      <c r="E131" s="75">
        <f>C131-D131</f>
        <v/>
      </c>
      <c r="F131" s="76">
        <f>E131^2</f>
        <v/>
      </c>
    </row>
    <row r="132">
      <c r="A132" t="inlineStr">
        <is>
          <t>2020-05-31</t>
        </is>
      </c>
      <c r="B132" t="n">
        <v>114.87</v>
      </c>
      <c r="C132" s="82">
        <f>B132/B131-1</f>
        <v/>
      </c>
      <c r="D132" s="75">
        <f>SUM($C$101:$C$136)/36</f>
        <v/>
      </c>
      <c r="E132" s="75">
        <f>C132-D132</f>
        <v/>
      </c>
      <c r="F132" s="76">
        <f>E132^2</f>
        <v/>
      </c>
    </row>
    <row r="133">
      <c r="A133" t="inlineStr">
        <is>
          <t>2020-06-30</t>
        </is>
      </c>
      <c r="B133" t="n">
        <v>119.95</v>
      </c>
      <c r="C133" s="82">
        <f>B133/B132-1</f>
        <v/>
      </c>
      <c r="D133" s="75">
        <f>SUM($C$101:$C$136)/36</f>
        <v/>
      </c>
      <c r="E133" s="75">
        <f>C133-D133</f>
        <v/>
      </c>
      <c r="F133" s="76">
        <f>E133^2</f>
        <v/>
      </c>
    </row>
    <row r="134">
      <c r="A134" t="inlineStr">
        <is>
          <t>2020-07-31</t>
        </is>
      </c>
      <c r="B134" t="n">
        <v>129.65</v>
      </c>
      <c r="C134" s="82">
        <f>B134/B133-1</f>
        <v/>
      </c>
      <c r="D134" s="75">
        <f>SUM($C$101:$C$136)/36</f>
        <v/>
      </c>
      <c r="E134" s="75">
        <f>C134-D134</f>
        <v/>
      </c>
      <c r="F134" s="76">
        <f>E134^2</f>
        <v/>
      </c>
    </row>
    <row r="135">
      <c r="A135" t="inlineStr">
        <is>
          <t>2020-08-31</t>
        </is>
      </c>
      <c r="B135" t="n">
        <v>134.28</v>
      </c>
      <c r="C135" s="82">
        <f>B135/B134-1</f>
        <v/>
      </c>
      <c r="D135" s="75">
        <f>SUM($C$101:$C$136)/36</f>
        <v/>
      </c>
      <c r="E135" s="75">
        <f>C135-D135</f>
        <v/>
      </c>
      <c r="F135" s="76">
        <f>E135^2</f>
        <v/>
      </c>
    </row>
    <row r="136">
      <c r="A136" t="inlineStr">
        <is>
          <t>2020-09-30</t>
        </is>
      </c>
      <c r="B136" t="n">
        <v>131.68</v>
      </c>
      <c r="C136" s="82">
        <f>B136/B135-1</f>
        <v/>
      </c>
      <c r="D136" s="75">
        <f>SUM($C$101:$C$136)/36</f>
        <v/>
      </c>
      <c r="E136" s="75">
        <f>C136-D136</f>
        <v/>
      </c>
      <c r="F136" s="76">
        <f>E136^2</f>
        <v/>
      </c>
    </row>
    <row r="137">
      <c r="F137" s="83">
        <f>SUM(F101:F136)</f>
        <v/>
      </c>
      <c r="G137">
        <f>F137/35</f>
        <v/>
      </c>
    </row>
    <row r="139">
      <c r="C139" t="inlineStr">
        <is>
          <t>Volatilität</t>
        </is>
      </c>
      <c r="D139" s="83">
        <f>G137^0.5*12^0.5</f>
        <v/>
      </c>
      <c r="E139">
        <f>STDEV(C101:C136)*SQRT(12)</f>
        <v/>
      </c>
    </row>
    <row r="140">
      <c r="C140" t="inlineStr">
        <is>
          <t>1 Jahr</t>
        </is>
      </c>
      <c r="E140">
        <f>STDEV(C125:C136)*SQRT(12)</f>
        <v/>
      </c>
    </row>
  </sheetData>
  <conditionalFormatting sqref="B11:B49">
    <cfRule type="colorScale" priority="1">
      <colorScale>
        <cfvo type="min"/>
        <cfvo type="max"/>
        <color rgb="FFAA0000"/>
        <color rgb="FF00AA00"/>
      </colorScale>
    </cfRule>
    <cfRule type="colorScale" priority="4">
      <colorScale>
        <cfvo type="min"/>
        <cfvo type="max"/>
        <color rgb="00FF4B24"/>
        <color rgb="FF00AA00"/>
      </colorScale>
    </cfRule>
    <cfRule type="colorScale" priority="7">
      <colorScale>
        <cfvo type="min"/>
        <cfvo type="max"/>
        <color rgb="00FF0000"/>
        <color rgb="0000FF00"/>
      </colorScale>
    </cfRule>
    <cfRule type="colorScale" priority="10">
      <colorScale>
        <cfvo type="min"/>
        <cfvo type="max"/>
        <color rgb="00AA0000"/>
        <color rgb="0000AA00"/>
      </colorScale>
    </cfRule>
  </conditionalFormatting>
  <conditionalFormatting sqref="B55:B93">
    <cfRule type="colorScale" priority="2">
      <colorScale>
        <cfvo type="min"/>
        <cfvo type="max"/>
        <color rgb="FFAA0000"/>
        <color rgb="FF00AA00"/>
      </colorScale>
    </cfRule>
    <cfRule type="colorScale" priority="5">
      <colorScale>
        <cfvo type="min"/>
        <cfvo type="max"/>
        <color rgb="00FF4B24"/>
        <color rgb="FF00AA00"/>
      </colorScale>
    </cfRule>
    <cfRule type="colorScale" priority="8">
      <colorScale>
        <cfvo type="min"/>
        <cfvo type="max"/>
        <color rgb="00FF0000"/>
        <color rgb="0000FF00"/>
      </colorScale>
    </cfRule>
    <cfRule type="colorScale" priority="11">
      <colorScale>
        <cfvo type="min"/>
        <cfvo type="max"/>
        <color rgb="00AA0000"/>
        <color rgb="0000AA00"/>
      </colorScale>
    </cfRule>
  </conditionalFormatting>
  <conditionalFormatting sqref="B99:B137">
    <cfRule type="colorScale" priority="3">
      <colorScale>
        <cfvo type="min"/>
        <cfvo type="max"/>
        <color rgb="FFAA0000"/>
        <color rgb="FF00AA00"/>
      </colorScale>
    </cfRule>
    <cfRule type="colorScale" priority="6">
      <colorScale>
        <cfvo type="min"/>
        <cfvo type="max"/>
        <color rgb="00FF4B24"/>
        <color rgb="FF00AA00"/>
      </colorScale>
    </cfRule>
    <cfRule type="colorScale" priority="9">
      <colorScale>
        <cfvo type="min"/>
        <cfvo type="max"/>
        <color rgb="00FF0000"/>
        <color rgb="0000FF00"/>
      </colorScale>
    </cfRule>
    <cfRule type="colorScale" priority="12">
      <colorScale>
        <cfvo type="min"/>
        <cfvo type="max"/>
        <color rgb="00AA0000"/>
        <color rgb="0000AA00"/>
      </colorScale>
    </cfRule>
  </conditionalFormatting>
  <pageMargins left="0.7" right="0.7" top="0.75" bottom="0.75" header="0.511805555555555" footer="0.511805555555555"/>
  <pageSetup orientation="portrait" paperSize="9" firstPageNumber="0" horizontalDpi="300" verticalDpi="300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18"/>
  <sheetViews>
    <sheetView workbookViewId="0">
      <selection activeCell="K18" sqref="K18"/>
    </sheetView>
  </sheetViews>
  <sheetFormatPr baseColWidth="10" defaultColWidth="11.33203125" defaultRowHeight="15" outlineLevelCol="0"/>
  <cols>
    <col width="22.33203125" customWidth="1" style="57" min="1" max="1"/>
    <col width="21.1640625" customWidth="1" style="57" min="2" max="2"/>
    <col width="15.1640625" customWidth="1" style="57" min="3" max="3"/>
    <col width="30" customWidth="1" style="57" min="4" max="4"/>
    <col width="18.6640625" customWidth="1" style="57" min="5" max="5"/>
    <col width="28.1640625" customWidth="1" style="57" min="6" max="6"/>
    <col width="12" bestFit="1" customWidth="1" style="57" min="7" max="7"/>
    <col width="22.33203125" bestFit="1" customWidth="1" style="57" min="8" max="8"/>
    <col width="12" bestFit="1" customWidth="1" style="57" min="9" max="9"/>
    <col width="11.33203125" customWidth="1" style="57" min="10" max="11"/>
    <col width="16.83203125" customWidth="1" style="57" min="12" max="12"/>
    <col width="11.33203125" customWidth="1" style="57" min="13" max="28"/>
    <col width="11.33203125" customWidth="1" style="57" min="29" max="16384"/>
  </cols>
  <sheetData>
    <row r="1" ht="18.75" customHeight="1" s="68">
      <c r="A1" s="40" t="inlineStr">
        <is>
          <t>Risikokennzahlen</t>
        </is>
      </c>
      <c r="B1" s="41" t="n"/>
      <c r="D1" s="40" t="inlineStr">
        <is>
          <t>Risikokennzahlen</t>
        </is>
      </c>
      <c r="E1" s="41" t="n"/>
    </row>
    <row r="2">
      <c r="A2" s="42" t="n"/>
      <c r="B2" s="43" t="n"/>
      <c r="D2" s="42" t="n"/>
      <c r="E2" s="43" t="n"/>
    </row>
    <row r="3">
      <c r="A3" s="44" t="inlineStr">
        <is>
          <t>Volatilität (1 Jahr):</t>
        </is>
      </c>
      <c r="B3" s="45">
        <f>E53</f>
        <v/>
      </c>
      <c r="D3" s="44" t="inlineStr">
        <is>
          <t>Volatilität (3 Jahre):</t>
        </is>
      </c>
      <c r="E3" s="45">
        <f>E52</f>
        <v/>
      </c>
    </row>
    <row r="4">
      <c r="A4" s="44" t="inlineStr">
        <is>
          <t>Sharpe Ratio (1 Jahr):</t>
        </is>
      </c>
      <c r="B4" s="46">
        <f>D218</f>
        <v/>
      </c>
      <c r="D4" s="44" t="inlineStr">
        <is>
          <t>Sharpe Ratio (3 Jahre):</t>
        </is>
      </c>
      <c r="E4" s="46">
        <f>D190</f>
        <v/>
      </c>
    </row>
    <row r="5">
      <c r="A5" s="44" t="inlineStr">
        <is>
          <t>Tracking Error (1 Jahr):</t>
        </is>
      </c>
      <c r="B5" s="47">
        <f>C200</f>
        <v/>
      </c>
      <c r="D5" s="44" t="inlineStr">
        <is>
          <t>Tracking Error (3 Jahre):</t>
        </is>
      </c>
      <c r="E5" s="47">
        <f>C149</f>
        <v/>
      </c>
    </row>
    <row r="6">
      <c r="A6" s="44" t="inlineStr">
        <is>
          <t>Korrelation (1 Jahr):</t>
        </is>
      </c>
      <c r="B6" s="48">
        <f>C198</f>
        <v/>
      </c>
      <c r="D6" s="44" t="inlineStr">
        <is>
          <t>Korrelation (3 Jahre):</t>
        </is>
      </c>
      <c r="E6" s="48">
        <f>C147</f>
        <v/>
      </c>
    </row>
    <row r="7" ht="15" customHeight="1" s="68">
      <c r="A7" s="44" t="inlineStr">
        <is>
          <t>Information Ratio (1 Jahr):</t>
        </is>
      </c>
      <c r="B7" s="46">
        <f>D214</f>
        <v/>
      </c>
      <c r="D7" s="44" t="inlineStr">
        <is>
          <t>Information Ratio (3 Jahre):</t>
        </is>
      </c>
      <c r="E7" s="46">
        <f>D186</f>
        <v/>
      </c>
    </row>
    <row r="8">
      <c r="A8" s="44" t="inlineStr">
        <is>
          <t>Beta (1 Jahr):</t>
        </is>
      </c>
      <c r="B8" s="46">
        <f>C196</f>
        <v/>
      </c>
      <c r="D8" s="44" t="inlineStr">
        <is>
          <t>Beta (3 Jahre):</t>
        </is>
      </c>
      <c r="E8" s="46">
        <f>E142</f>
        <v/>
      </c>
    </row>
    <row r="9">
      <c r="A9" s="44" t="inlineStr">
        <is>
          <t>Treynor Ratio (1 Jahr):</t>
        </is>
      </c>
      <c r="B9" s="46">
        <f>D216*100</f>
        <v/>
      </c>
      <c r="D9" s="44" t="inlineStr">
        <is>
          <t>Treynor Ratio (3 Jahre):</t>
        </is>
      </c>
      <c r="E9" s="46">
        <f>D188*100</f>
        <v/>
      </c>
    </row>
    <row r="11">
      <c r="A11" s="57" t="inlineStr">
        <is>
          <t>Volatilität</t>
        </is>
      </c>
    </row>
    <row r="12">
      <c r="A12" s="54" t="inlineStr">
        <is>
          <t>Zeilenbeschriftungen</t>
        </is>
      </c>
      <c r="B12" s="54" t="inlineStr">
        <is>
          <t>Summe von valor</t>
        </is>
      </c>
      <c r="C12" s="54" t="n"/>
      <c r="D12" s="57" t="inlineStr">
        <is>
          <t>arithmetisches Mittel</t>
        </is>
      </c>
      <c r="E12" s="57" t="inlineStr">
        <is>
          <t>Differenz</t>
        </is>
      </c>
      <c r="F12" s="57" t="inlineStr">
        <is>
          <t>Varianz</t>
        </is>
      </c>
      <c r="G12" s="49" t="inlineStr">
        <is>
          <t>durch 35</t>
        </is>
      </c>
    </row>
    <row r="13">
      <c r="A13" s="50" t="inlineStr">
        <is>
          <t>2017-07-31</t>
        </is>
      </c>
      <c r="B13" s="4" t="n"/>
      <c r="C13" s="4" t="n"/>
    </row>
    <row r="14">
      <c r="A14" s="50" t="inlineStr">
        <is>
          <t>2017-08-31</t>
        </is>
      </c>
      <c r="B14" s="4" t="n">
        <v>0.007771246388363067</v>
      </c>
      <c r="C14" s="4">
        <f>B14</f>
        <v/>
      </c>
      <c r="D14" s="75">
        <f>SUM($C$14:$C$49)/36</f>
        <v/>
      </c>
      <c r="E14" s="75">
        <f>C14-D14</f>
        <v/>
      </c>
      <c r="F14" s="76">
        <f>E14^2</f>
        <v/>
      </c>
    </row>
    <row r="15">
      <c r="A15" s="50" t="inlineStr">
        <is>
          <t>2017-09-30</t>
        </is>
      </c>
      <c r="B15" s="4" t="n">
        <v>0.02985664854176961</v>
      </c>
      <c r="C15" s="4">
        <f>B15</f>
        <v/>
      </c>
      <c r="D15" s="75">
        <f>SUM($C$14:$C$49)/36</f>
        <v/>
      </c>
      <c r="E15" s="75">
        <f>C15-D15</f>
        <v/>
      </c>
      <c r="F15" s="76">
        <f>E15^2</f>
        <v/>
      </c>
    </row>
    <row r="16">
      <c r="A16" s="50" t="inlineStr">
        <is>
          <t>2017-10-31</t>
        </is>
      </c>
      <c r="B16" s="4" t="n">
        <v>0.06287798790438703</v>
      </c>
      <c r="C16" s="4">
        <f>B16</f>
        <v/>
      </c>
      <c r="D16" s="75">
        <f>SUM($C$14:$C$49)/36</f>
        <v/>
      </c>
      <c r="E16" s="75">
        <f>C16-D16</f>
        <v/>
      </c>
      <c r="F16" s="76">
        <f>E16^2</f>
        <v/>
      </c>
    </row>
    <row r="17">
      <c r="A17" s="50" t="inlineStr">
        <is>
          <t>2017-11-30</t>
        </is>
      </c>
      <c r="B17" s="4" t="n">
        <v>-0.003522398843930641</v>
      </c>
      <c r="C17" s="4">
        <f>B17</f>
        <v/>
      </c>
      <c r="D17" s="75">
        <f>SUM($C$14:$C$49)/36</f>
        <v/>
      </c>
      <c r="E17" s="75">
        <f>C17-D17</f>
        <v/>
      </c>
      <c r="F17" s="76">
        <f>E17^2</f>
        <v/>
      </c>
    </row>
    <row r="18">
      <c r="A18" s="50" t="inlineStr">
        <is>
          <t>2017-12-31</t>
        </is>
      </c>
      <c r="B18" s="4" t="n">
        <v>0.01649596664551806</v>
      </c>
      <c r="C18" s="4">
        <f>B18</f>
        <v/>
      </c>
      <c r="D18" s="75">
        <f>SUM($C$14:$C$49)/36</f>
        <v/>
      </c>
      <c r="E18" s="75">
        <f>C18-D18</f>
        <v/>
      </c>
      <c r="F18" s="76">
        <f>E18^2</f>
        <v/>
      </c>
    </row>
    <row r="19">
      <c r="A19" s="50" t="inlineStr">
        <is>
          <t>2018-01-31</t>
        </is>
      </c>
      <c r="B19" s="4" t="n">
        <v>0.008738296923762726</v>
      </c>
      <c r="C19" s="4">
        <f>B19</f>
        <v/>
      </c>
      <c r="D19" s="75">
        <f>SUM($C$14:$C$49)/36</f>
        <v/>
      </c>
      <c r="E19" s="75">
        <f>C19-D19</f>
        <v/>
      </c>
      <c r="F19" s="76">
        <f>E19^2</f>
        <v/>
      </c>
    </row>
    <row r="20">
      <c r="A20" s="50" t="inlineStr">
        <is>
          <t>2018-02-28</t>
        </is>
      </c>
      <c r="B20" s="4" t="n">
        <v>-0.01370105188720938</v>
      </c>
      <c r="C20" s="4">
        <f>B20</f>
        <v/>
      </c>
      <c r="D20" s="75">
        <f>SUM($C$14:$C$49)/36</f>
        <v/>
      </c>
      <c r="E20" s="75">
        <f>C20-D20</f>
        <v/>
      </c>
      <c r="F20" s="76">
        <f>E20^2</f>
        <v/>
      </c>
    </row>
    <row r="21">
      <c r="A21" s="50" t="inlineStr">
        <is>
          <t>2018-03-31</t>
        </is>
      </c>
      <c r="B21" s="4" t="n">
        <v>-0.0444524108263129</v>
      </c>
      <c r="C21" s="4">
        <f>B21</f>
        <v/>
      </c>
      <c r="D21" s="75">
        <f>SUM($C$14:$C$49)/36</f>
        <v/>
      </c>
      <c r="E21" s="75">
        <f>C21-D21</f>
        <v/>
      </c>
      <c r="F21" s="76">
        <f>E21^2</f>
        <v/>
      </c>
    </row>
    <row r="22">
      <c r="A22" s="50" t="inlineStr">
        <is>
          <t>2018-04-30</t>
        </is>
      </c>
      <c r="B22" s="4" t="n">
        <v>0.02297880322641145</v>
      </c>
      <c r="C22" s="4">
        <f>B22</f>
        <v/>
      </c>
      <c r="D22" s="75">
        <f>SUM($C$14:$C$49)/36</f>
        <v/>
      </c>
      <c r="E22" s="75">
        <f>C22-D22</f>
        <v/>
      </c>
      <c r="F22" s="76">
        <f>E22^2</f>
        <v/>
      </c>
    </row>
    <row r="23">
      <c r="A23" s="50" t="inlineStr">
        <is>
          <t>2018-05-31</t>
        </is>
      </c>
      <c r="B23" s="4" t="n">
        <v>0.03878243329971582</v>
      </c>
      <c r="C23" s="4">
        <f>B23</f>
        <v/>
      </c>
      <c r="D23" s="75">
        <f>SUM($C$14:$C$49)/36</f>
        <v/>
      </c>
      <c r="E23" s="75">
        <f>C23-D23</f>
        <v/>
      </c>
      <c r="F23" s="76">
        <f>E23^2</f>
        <v/>
      </c>
    </row>
    <row r="24">
      <c r="A24" s="50" t="inlineStr">
        <is>
          <t>2018-06-30</t>
        </is>
      </c>
      <c r="B24" s="4" t="n">
        <v>-0.04686672550750223</v>
      </c>
      <c r="C24" s="4">
        <f>B24</f>
        <v/>
      </c>
      <c r="D24" s="75">
        <f>SUM($C$14:$C$49)/36</f>
        <v/>
      </c>
      <c r="E24" s="75">
        <f>C24-D24</f>
        <v/>
      </c>
      <c r="F24" s="76">
        <f>E24^2</f>
        <v/>
      </c>
    </row>
    <row r="25">
      <c r="A25" s="50" t="inlineStr">
        <is>
          <t>2018-07-31</t>
        </is>
      </c>
      <c r="B25" s="4" t="n">
        <v>-0.008797110843596525</v>
      </c>
      <c r="C25" s="4">
        <f>B25</f>
        <v/>
      </c>
      <c r="D25" s="75">
        <f>SUM($C$14:$C$49)/36</f>
        <v/>
      </c>
      <c r="E25" s="75">
        <f>C25-D25</f>
        <v/>
      </c>
      <c r="F25" s="76">
        <f>E25^2</f>
        <v/>
      </c>
    </row>
    <row r="26">
      <c r="A26" s="50" t="inlineStr">
        <is>
          <t>2018-08-31</t>
        </is>
      </c>
      <c r="B26" s="4" t="n">
        <v>-0.04979446935724974</v>
      </c>
      <c r="C26" s="4">
        <f>B26</f>
        <v/>
      </c>
      <c r="D26" s="75">
        <f>SUM($C$14:$C$49)/36</f>
        <v/>
      </c>
      <c r="E26" s="75">
        <f>C26-D26</f>
        <v/>
      </c>
      <c r="F26" s="76">
        <f>E26^2</f>
        <v/>
      </c>
    </row>
    <row r="27">
      <c r="A27" s="50" t="inlineStr">
        <is>
          <t>2018-09-30</t>
        </is>
      </c>
      <c r="B27" s="4" t="n">
        <v>-0.006292399960672507</v>
      </c>
      <c r="C27" s="4">
        <f>B27</f>
        <v/>
      </c>
      <c r="D27" s="75">
        <f>SUM($C$14:$C$49)/36</f>
        <v/>
      </c>
      <c r="E27" s="75">
        <f>C27-D27</f>
        <v/>
      </c>
      <c r="F27" s="76">
        <f>E27^2</f>
        <v/>
      </c>
    </row>
    <row r="28">
      <c r="A28" s="50" t="inlineStr">
        <is>
          <t>2018-10-31</t>
        </is>
      </c>
      <c r="B28" s="4" t="n">
        <v>-0.06144256455921632</v>
      </c>
      <c r="C28" s="4">
        <f>B28</f>
        <v/>
      </c>
      <c r="D28" s="75">
        <f>SUM($C$14:$C$49)/36</f>
        <v/>
      </c>
      <c r="E28" s="75">
        <f>C28-D28</f>
        <v/>
      </c>
      <c r="F28" s="76">
        <f>E28^2</f>
        <v/>
      </c>
    </row>
    <row r="29">
      <c r="A29" s="50" t="inlineStr">
        <is>
          <t>2018-11-30</t>
        </is>
      </c>
      <c r="B29" s="4" t="n">
        <v>0.03837233818258487</v>
      </c>
      <c r="C29" s="4">
        <f>B29</f>
        <v/>
      </c>
      <c r="D29" s="75">
        <f>SUM($C$14:$C$49)/36</f>
        <v/>
      </c>
      <c r="E29" s="75">
        <f>C29-D29</f>
        <v/>
      </c>
      <c r="F29" s="76">
        <f>E29^2</f>
        <v/>
      </c>
    </row>
    <row r="30">
      <c r="A30" s="50" t="inlineStr">
        <is>
          <t>2018-12-31</t>
        </is>
      </c>
      <c r="B30" s="4" t="n">
        <v>-0.05522842639593906</v>
      </c>
      <c r="C30" s="4">
        <f>B30</f>
        <v/>
      </c>
      <c r="D30" s="75">
        <f>SUM($C$14:$C$49)/36</f>
        <v/>
      </c>
      <c r="E30" s="75">
        <f>C30-D30</f>
        <v/>
      </c>
      <c r="F30" s="76">
        <f>E30^2</f>
        <v/>
      </c>
    </row>
    <row r="31">
      <c r="A31" s="50" t="inlineStr">
        <is>
          <t>2019-01-31</t>
        </is>
      </c>
      <c r="B31" s="4" t="n">
        <v>0.05727487642381258</v>
      </c>
      <c r="C31" s="4">
        <f>B31</f>
        <v/>
      </c>
      <c r="D31" s="75">
        <f>SUM($C$14:$C$49)/36</f>
        <v/>
      </c>
      <c r="E31" s="75">
        <f>C31-D31</f>
        <v/>
      </c>
      <c r="F31" s="76">
        <f>E31^2</f>
        <v/>
      </c>
    </row>
    <row r="32">
      <c r="A32" s="50" t="inlineStr">
        <is>
          <t>2019-02-28</t>
        </is>
      </c>
      <c r="B32" s="4" t="n">
        <v>0.05447708100416709</v>
      </c>
      <c r="C32" s="4">
        <f>B32</f>
        <v/>
      </c>
      <c r="D32" s="75">
        <f>SUM($C$14:$C$49)/36</f>
        <v/>
      </c>
      <c r="E32" s="75">
        <f>C32-D32</f>
        <v/>
      </c>
      <c r="F32" s="76">
        <f>E32^2</f>
        <v/>
      </c>
    </row>
    <row r="33">
      <c r="A33" s="50" t="inlineStr">
        <is>
          <t>2019-03-31</t>
        </is>
      </c>
      <c r="B33" s="4" t="n">
        <v>0.0007710843373493812</v>
      </c>
      <c r="C33" s="4">
        <f>B33</f>
        <v/>
      </c>
      <c r="D33" s="75">
        <f>SUM($C$14:$C$49)/36</f>
        <v/>
      </c>
      <c r="E33" s="75">
        <f>C33-D33</f>
        <v/>
      </c>
      <c r="F33" s="76">
        <f>E33^2</f>
        <v/>
      </c>
    </row>
    <row r="34">
      <c r="A34" s="50" t="inlineStr">
        <is>
          <t>2019-04-30</t>
        </is>
      </c>
      <c r="B34" s="4" t="n">
        <v>0.001444669170759951</v>
      </c>
      <c r="C34" s="4">
        <f>B34</f>
        <v/>
      </c>
      <c r="D34" s="75">
        <f>SUM($C$14:$C$49)/36</f>
        <v/>
      </c>
      <c r="E34" s="75">
        <f>C34-D34</f>
        <v/>
      </c>
      <c r="F34" s="76">
        <f>E34^2</f>
        <v/>
      </c>
    </row>
    <row r="35">
      <c r="A35" s="50" t="inlineStr">
        <is>
          <t>2019-05-31</t>
        </is>
      </c>
      <c r="B35" s="4" t="n">
        <v>-0.02875552990959809</v>
      </c>
      <c r="C35" s="4">
        <f>B35</f>
        <v/>
      </c>
      <c r="D35" s="75">
        <f>SUM($C$14:$C$49)/36</f>
        <v/>
      </c>
      <c r="E35" s="75">
        <f>C35-D35</f>
        <v/>
      </c>
      <c r="F35" s="76">
        <f>E35^2</f>
        <v/>
      </c>
    </row>
    <row r="36">
      <c r="A36" s="50" t="inlineStr">
        <is>
          <t>2019-06-30</t>
        </is>
      </c>
      <c r="B36" s="4" t="n">
        <v>0.016635310426775</v>
      </c>
      <c r="C36" s="4">
        <f>B36</f>
        <v/>
      </c>
      <c r="D36" s="75">
        <f>SUM($C$14:$C$49)/36</f>
        <v/>
      </c>
      <c r="E36" s="75">
        <f>C36-D36</f>
        <v/>
      </c>
      <c r="F36" s="76">
        <f>E36^2</f>
        <v/>
      </c>
    </row>
    <row r="37">
      <c r="A37" s="50" t="inlineStr">
        <is>
          <t>2019-07-31</t>
        </is>
      </c>
      <c r="B37" s="4" t="n">
        <v>0.03175221583714819</v>
      </c>
      <c r="C37" s="4">
        <f>B37</f>
        <v/>
      </c>
      <c r="D37" s="75">
        <f>SUM($C$14:$C$49)/36</f>
        <v/>
      </c>
      <c r="E37" s="75">
        <f>C37-D37</f>
        <v/>
      </c>
      <c r="F37" s="76">
        <f>E37^2</f>
        <v/>
      </c>
    </row>
    <row r="38">
      <c r="A38" s="50" t="inlineStr">
        <is>
          <t>2019-08-31</t>
        </is>
      </c>
      <c r="B38" s="4" t="n">
        <v>-0.02492211838006231</v>
      </c>
      <c r="C38" s="4">
        <f>B38</f>
        <v/>
      </c>
      <c r="D38" s="75">
        <f>SUM($C$14:$C$49)/36</f>
        <v/>
      </c>
      <c r="E38" s="75">
        <f>C38-D38</f>
        <v/>
      </c>
      <c r="F38" s="76">
        <f>E38^2</f>
        <v/>
      </c>
    </row>
    <row r="39">
      <c r="A39" s="50" t="inlineStr">
        <is>
          <t>2019-09-30</t>
        </is>
      </c>
      <c r="B39" s="4" t="n">
        <v>0.05160228482912187</v>
      </c>
      <c r="C39" s="4">
        <f>B39</f>
        <v/>
      </c>
      <c r="D39" s="75">
        <f>SUM($C$14:$C$49)/36</f>
        <v/>
      </c>
      <c r="E39" s="75">
        <f>C39-D39</f>
        <v/>
      </c>
      <c r="F39" s="76">
        <f>E39^2</f>
        <v/>
      </c>
    </row>
    <row r="40">
      <c r="A40" s="50" t="inlineStr">
        <is>
          <t>2019-10-31</t>
        </is>
      </c>
      <c r="B40" s="4" t="n">
        <v>0.0154667648683483</v>
      </c>
      <c r="C40" s="4">
        <f>B40</f>
        <v/>
      </c>
      <c r="D40" s="75">
        <f>SUM($C$14:$C$49)/36</f>
        <v/>
      </c>
      <c r="E40" s="75">
        <f>C40-D40</f>
        <v/>
      </c>
      <c r="F40" s="76">
        <f>E40^2</f>
        <v/>
      </c>
    </row>
    <row r="41">
      <c r="A41" s="50" t="inlineStr">
        <is>
          <t>2019-11-30</t>
        </is>
      </c>
      <c r="B41" s="4" t="n">
        <v>0.01115140525838626</v>
      </c>
      <c r="C41" s="4">
        <f>B41</f>
        <v/>
      </c>
      <c r="D41" s="75">
        <f>SUM($C$14:$C$49)/36</f>
        <v/>
      </c>
      <c r="E41" s="75">
        <f>C41-D41</f>
        <v/>
      </c>
      <c r="F41" s="76">
        <f>E41^2</f>
        <v/>
      </c>
    </row>
    <row r="42">
      <c r="A42" s="50" t="inlineStr">
        <is>
          <t>2019-12-31</t>
        </is>
      </c>
      <c r="B42" s="4" t="n">
        <v>0.02465704294808572</v>
      </c>
      <c r="C42" s="4">
        <f>B42</f>
        <v/>
      </c>
      <c r="D42" s="75">
        <f>SUM($C$14:$C$49)/36</f>
        <v/>
      </c>
      <c r="E42" s="75">
        <f>C42-D42</f>
        <v/>
      </c>
      <c r="F42" s="76">
        <f>E42^2</f>
        <v/>
      </c>
    </row>
    <row r="43">
      <c r="A43" s="50" t="inlineStr">
        <is>
          <t>2020-01-31</t>
        </is>
      </c>
      <c r="B43" s="4" t="n">
        <v>0.03710185509275459</v>
      </c>
      <c r="C43" s="4">
        <f>B43</f>
        <v/>
      </c>
      <c r="D43" s="75">
        <f>SUM($C$14:$C$49)/36</f>
        <v/>
      </c>
      <c r="E43" s="75">
        <f>C43-D43</f>
        <v/>
      </c>
      <c r="F43" s="76">
        <f>E43^2</f>
        <v/>
      </c>
    </row>
    <row r="44">
      <c r="A44" s="50" t="inlineStr">
        <is>
          <t>2020-02-29</t>
        </is>
      </c>
      <c r="B44" s="4" t="n">
        <v>0.02860276746540669</v>
      </c>
      <c r="C44" s="4">
        <f>B44</f>
        <v/>
      </c>
      <c r="D44" s="75">
        <f>SUM($C$14:$C$49)/36</f>
        <v/>
      </c>
      <c r="E44" s="75">
        <f>C44-D44</f>
        <v/>
      </c>
      <c r="F44" s="76">
        <f>E44^2</f>
        <v/>
      </c>
    </row>
    <row r="45">
      <c r="A45" s="50" t="inlineStr">
        <is>
          <t>2020-03-31</t>
        </is>
      </c>
      <c r="B45" s="4" t="n">
        <v>-0.1987531785743581</v>
      </c>
      <c r="C45" s="4">
        <f>B45</f>
        <v/>
      </c>
      <c r="D45" s="75">
        <f>SUM($C$14:$C$49)/36</f>
        <v/>
      </c>
      <c r="E45" s="75">
        <f>C45-D45</f>
        <v/>
      </c>
      <c r="F45" s="76">
        <f>E45^2</f>
        <v/>
      </c>
    </row>
    <row r="46">
      <c r="A46" s="50" t="inlineStr">
        <is>
          <t>2020-04-30</t>
        </is>
      </c>
      <c r="B46" s="4" t="n">
        <v>0.1532555282555282</v>
      </c>
      <c r="C46" s="4">
        <f>B46</f>
        <v/>
      </c>
      <c r="D46" s="75">
        <f>SUM($C$14:$C$49)/36</f>
        <v/>
      </c>
      <c r="E46" s="75">
        <f>C46-D46</f>
        <v/>
      </c>
      <c r="F46" s="76">
        <f>E46^2</f>
        <v/>
      </c>
    </row>
    <row r="47">
      <c r="A47" s="50" t="inlineStr">
        <is>
          <t>2020-05-31</t>
        </is>
      </c>
      <c r="B47" s="4" t="n">
        <v>0.01970705725699067</v>
      </c>
      <c r="C47" s="4">
        <f>B47</f>
        <v/>
      </c>
      <c r="D47" s="75">
        <f>SUM($C$14:$C$49)/36</f>
        <v/>
      </c>
      <c r="E47" s="75">
        <f>C47-D47</f>
        <v/>
      </c>
      <c r="F47" s="76">
        <f>E47^2</f>
        <v/>
      </c>
    </row>
    <row r="48">
      <c r="A48" s="50" t="inlineStr">
        <is>
          <t>2020-06-30</t>
        </is>
      </c>
      <c r="B48" s="4" t="n">
        <v>0.04422390528423434</v>
      </c>
      <c r="C48" s="4">
        <f>B48</f>
        <v/>
      </c>
      <c r="D48" s="75">
        <f>SUM($C$14:$C$49)/36</f>
        <v/>
      </c>
      <c r="E48" s="75">
        <f>C48-D48</f>
        <v/>
      </c>
      <c r="F48" s="76">
        <f>E48^2</f>
        <v/>
      </c>
    </row>
    <row r="49">
      <c r="A49" s="50" t="inlineStr">
        <is>
          <t>2020-07-31</t>
        </is>
      </c>
      <c r="B49" s="4" t="n">
        <v>0.08086702792830348</v>
      </c>
      <c r="C49" s="4">
        <f>B49</f>
        <v/>
      </c>
      <c r="D49" s="75">
        <f>SUM($C$14:$C$49)/36</f>
        <v/>
      </c>
      <c r="E49" s="75">
        <f>C49-D49</f>
        <v/>
      </c>
      <c r="F49" s="76">
        <f>E49^2</f>
        <v/>
      </c>
    </row>
    <row r="50">
      <c r="A50" s="50" t="inlineStr">
        <is>
          <t>Gesamtergebnis</t>
        </is>
      </c>
      <c r="B50" s="4" t="n"/>
      <c r="C50" s="54" t="n"/>
      <c r="F50" s="76">
        <f>SUM(F14:F49)</f>
        <v/>
      </c>
      <c r="G50" s="57">
        <f>F50/35</f>
        <v/>
      </c>
    </row>
    <row r="51">
      <c r="A51" s="50" t="n"/>
      <c r="B51" s="4" t="n"/>
      <c r="C51" s="54" t="n"/>
      <c r="F51" s="76" t="n"/>
    </row>
    <row r="52">
      <c r="C52" s="51" t="inlineStr">
        <is>
          <t>Volatilität</t>
        </is>
      </c>
      <c r="D52" s="57">
        <f>G50^0.5*12^0.5</f>
        <v/>
      </c>
      <c r="E52" s="57">
        <f>STDEV(C14,C15,C16,C17,C18,C19,C20,C21,C22,C23,C24,C25,C26,C27,C28,C29,C30,C31,C32,C33,C34,C35,C36,C37,C38,C39,C40,C41,C42,C43,C44,C45,C46,C47,C48,C49)*SQRT(12)</f>
        <v/>
      </c>
    </row>
    <row r="53">
      <c r="C53" s="51" t="inlineStr">
        <is>
          <t>1 Jahr</t>
        </is>
      </c>
      <c r="E53" s="57">
        <f>STDEV(C38,C39,C40,C41,C42,C43,C44,C45,C46,C47,C48,C49)*SQRT(12)</f>
        <v/>
      </c>
    </row>
    <row r="55">
      <c r="A55" s="54" t="inlineStr">
        <is>
          <t>Zeilenbeschriftungen</t>
        </is>
      </c>
      <c r="B55" s="54" t="inlineStr">
        <is>
          <t>Summe von CRB</t>
        </is>
      </c>
      <c r="C55" s="54" t="n"/>
      <c r="D55" s="57" t="inlineStr">
        <is>
          <t>arithmetisches Mittel</t>
        </is>
      </c>
      <c r="E55" s="57" t="inlineStr">
        <is>
          <t>Differenz</t>
        </is>
      </c>
      <c r="F55" s="57" t="inlineStr">
        <is>
          <t>Varianz</t>
        </is>
      </c>
      <c r="G55" s="49" t="inlineStr">
        <is>
          <t>durch 35</t>
        </is>
      </c>
    </row>
    <row r="56">
      <c r="A56" s="50" t="inlineStr">
        <is>
          <t>2017-07-31</t>
        </is>
      </c>
      <c r="B56" s="4" t="n"/>
      <c r="C56" s="4" t="n"/>
    </row>
    <row r="57">
      <c r="A57" s="50" t="inlineStr">
        <is>
          <t>2017-08-31</t>
        </is>
      </c>
      <c r="B57" s="4" t="n">
        <v>-0.01646250567113871</v>
      </c>
      <c r="C57" s="4">
        <f>B57</f>
        <v/>
      </c>
      <c r="D57" s="57">
        <f>SUM($C$57:$C$92)/36</f>
        <v/>
      </c>
      <c r="E57" s="57">
        <f>C57-D57</f>
        <v/>
      </c>
      <c r="F57" s="57">
        <f>E57^2</f>
        <v/>
      </c>
    </row>
    <row r="58">
      <c r="A58" s="50" t="inlineStr">
        <is>
          <t>2017-09-30</t>
        </is>
      </c>
      <c r="B58" s="4" t="n">
        <v>0.02115321252059313</v>
      </c>
      <c r="C58" s="4">
        <f>B58</f>
        <v/>
      </c>
      <c r="D58" s="57">
        <f>SUM($C$57:$C$92)/36</f>
        <v/>
      </c>
      <c r="E58" s="57">
        <f>C58-D58</f>
        <v/>
      </c>
      <c r="F58" s="57">
        <f>E58^2</f>
        <v/>
      </c>
    </row>
    <row r="59">
      <c r="A59" s="50" t="inlineStr">
        <is>
          <t>2017-10-31</t>
        </is>
      </c>
      <c r="B59" s="4" t="n">
        <v>0.03884873515745987</v>
      </c>
      <c r="C59" s="4">
        <f>B59</f>
        <v/>
      </c>
      <c r="D59" s="57">
        <f>SUM($C$57:$C$92)/36</f>
        <v/>
      </c>
      <c r="E59" s="57">
        <f>C59-D59</f>
        <v/>
      </c>
      <c r="F59" s="57">
        <f>E59^2</f>
        <v/>
      </c>
    </row>
    <row r="60">
      <c r="A60" s="50" t="inlineStr">
        <is>
          <t>2017-11-30</t>
        </is>
      </c>
      <c r="B60" s="4" t="n">
        <v>-0.01161634985712496</v>
      </c>
      <c r="C60" s="4">
        <f>B60</f>
        <v/>
      </c>
      <c r="D60" s="57">
        <f>SUM($C$57:$C$92)/36</f>
        <v/>
      </c>
      <c r="E60" s="57">
        <f>C60-D60</f>
        <v/>
      </c>
      <c r="F60" s="57">
        <f>E60^2</f>
        <v/>
      </c>
    </row>
    <row r="61">
      <c r="A61" s="50" t="inlineStr">
        <is>
          <t>2017-12-31</t>
        </is>
      </c>
      <c r="B61" s="4" t="n">
        <v>0.01464395701087288</v>
      </c>
      <c r="C61" s="4">
        <f>B61</f>
        <v/>
      </c>
      <c r="D61" s="57">
        <f>SUM($C$57:$C$92)/36</f>
        <v/>
      </c>
      <c r="E61" s="57">
        <f>C61-D61</f>
        <v/>
      </c>
      <c r="F61" s="57">
        <f>E61^2</f>
        <v/>
      </c>
    </row>
    <row r="62">
      <c r="A62" s="50" t="inlineStr">
        <is>
          <t>2018-01-31</t>
        </is>
      </c>
      <c r="B62" s="4" t="n">
        <v>-0.01511397423191277</v>
      </c>
      <c r="C62" s="4">
        <f>B62</f>
        <v/>
      </c>
      <c r="D62" s="57">
        <f>SUM($C$57:$C$92)/36</f>
        <v/>
      </c>
      <c r="E62" s="57">
        <f>C62-D62</f>
        <v/>
      </c>
      <c r="F62" s="57">
        <f>E62^2</f>
        <v/>
      </c>
    </row>
    <row r="63">
      <c r="A63" s="50" t="inlineStr">
        <is>
          <t>2018-02-28</t>
        </is>
      </c>
      <c r="B63" s="4" t="n">
        <v>0.0003144654088051029</v>
      </c>
      <c r="C63" s="4">
        <f>B63</f>
        <v/>
      </c>
      <c r="D63" s="57">
        <f>SUM($C$57:$C$92)/36</f>
        <v/>
      </c>
      <c r="E63" s="57">
        <f>C63-D63</f>
        <v/>
      </c>
      <c r="F63" s="57">
        <f>E63^2</f>
        <v/>
      </c>
    </row>
    <row r="64">
      <c r="A64" s="50" t="inlineStr">
        <is>
          <t>2018-03-31</t>
        </is>
      </c>
      <c r="B64" s="4" t="n">
        <v>-0.003206538824269219</v>
      </c>
      <c r="C64" s="4">
        <f>B64</f>
        <v/>
      </c>
      <c r="D64" s="57">
        <f>SUM($C$57:$C$92)/36</f>
        <v/>
      </c>
      <c r="E64" s="57">
        <f>C64-D64</f>
        <v/>
      </c>
      <c r="F64" s="57">
        <f>E64^2</f>
        <v/>
      </c>
    </row>
    <row r="65">
      <c r="A65" s="50" t="inlineStr">
        <is>
          <t>2018-04-30</t>
        </is>
      </c>
      <c r="B65" s="4" t="n">
        <v>0.05506496783146221</v>
      </c>
      <c r="C65" s="4">
        <f>B65</f>
        <v/>
      </c>
      <c r="D65" s="57">
        <f>SUM($C$57:$C$92)/36</f>
        <v/>
      </c>
      <c r="E65" s="57">
        <f>C65-D65</f>
        <v/>
      </c>
      <c r="F65" s="57">
        <f>E65^2</f>
        <v/>
      </c>
    </row>
    <row r="66">
      <c r="A66" s="50" t="inlineStr">
        <is>
          <t>2018-05-31</t>
        </is>
      </c>
      <c r="B66" s="4" t="n">
        <v>0.03718538889221019</v>
      </c>
      <c r="C66" s="4">
        <f>B66</f>
        <v/>
      </c>
      <c r="D66" s="57">
        <f>SUM($C$57:$C$92)/36</f>
        <v/>
      </c>
      <c r="E66" s="57">
        <f>C66-D66</f>
        <v/>
      </c>
      <c r="F66" s="57">
        <f>E66^2</f>
        <v/>
      </c>
    </row>
    <row r="67">
      <c r="A67" s="50" t="inlineStr">
        <is>
          <t>2018-06-30</t>
        </is>
      </c>
      <c r="B67" s="4" t="n">
        <v>-0.01193152343074541</v>
      </c>
      <c r="C67" s="4">
        <f>B67</f>
        <v/>
      </c>
      <c r="D67" s="57">
        <f>SUM($C$57:$C$92)/36</f>
        <v/>
      </c>
      <c r="E67" s="57">
        <f>C67-D67</f>
        <v/>
      </c>
      <c r="F67" s="57">
        <f>E67^2</f>
        <v/>
      </c>
    </row>
    <row r="68">
      <c r="A68" s="50" t="inlineStr">
        <is>
          <t>2018-07-31</t>
        </is>
      </c>
      <c r="B68" s="4" t="n">
        <v>-0.02893478007233683</v>
      </c>
      <c r="C68" s="4">
        <f>B68</f>
        <v/>
      </c>
      <c r="D68" s="57">
        <f>SUM($C$57:$C$92)/36</f>
        <v/>
      </c>
      <c r="E68" s="57">
        <f>C68-D68</f>
        <v/>
      </c>
      <c r="F68" s="57">
        <f>E68^2</f>
        <v/>
      </c>
    </row>
    <row r="69">
      <c r="A69" s="50" t="inlineStr">
        <is>
          <t>2018-08-31</t>
        </is>
      </c>
      <c r="B69" s="4" t="n">
        <v>0.006307821698906541</v>
      </c>
      <c r="C69" s="4">
        <f>B69</f>
        <v/>
      </c>
      <c r="D69" s="57">
        <f>SUM($C$57:$C$92)/36</f>
        <v/>
      </c>
      <c r="E69" s="57">
        <f>C69-D69</f>
        <v/>
      </c>
      <c r="F69" s="57">
        <f>E69^2</f>
        <v/>
      </c>
    </row>
    <row r="70">
      <c r="A70" s="50" t="inlineStr">
        <is>
          <t>2018-09-30</t>
        </is>
      </c>
      <c r="B70" s="4" t="n">
        <v>-0.007999522416572166</v>
      </c>
      <c r="C70" s="4">
        <f>B70</f>
        <v/>
      </c>
      <c r="D70" s="57">
        <f>SUM($C$57:$C$92)/36</f>
        <v/>
      </c>
      <c r="E70" s="57">
        <f>C70-D70</f>
        <v/>
      </c>
      <c r="F70" s="57">
        <f>E70^2</f>
        <v/>
      </c>
    </row>
    <row r="71">
      <c r="A71" s="50" t="inlineStr">
        <is>
          <t>2018-10-31</t>
        </is>
      </c>
      <c r="B71" s="4" t="n">
        <v>0.01558644761388941</v>
      </c>
      <c r="C71" s="4">
        <f>B71</f>
        <v/>
      </c>
      <c r="D71" s="57">
        <f>SUM($C$57:$C$92)/36</f>
        <v/>
      </c>
      <c r="E71" s="57">
        <f>C71-D71</f>
        <v/>
      </c>
      <c r="F71" s="57">
        <f>E71^2</f>
        <v/>
      </c>
    </row>
    <row r="72">
      <c r="A72" s="50" t="inlineStr">
        <is>
          <t>2018-11-30</t>
        </is>
      </c>
      <c r="B72" s="4" t="n">
        <v>-0.04864896894998803</v>
      </c>
      <c r="C72" s="4">
        <f>B72</f>
        <v/>
      </c>
      <c r="D72" s="57">
        <f>SUM($C$57:$C$92)/36</f>
        <v/>
      </c>
      <c r="E72" s="57">
        <f>C72-D72</f>
        <v/>
      </c>
      <c r="F72" s="57">
        <f>E72^2</f>
        <v/>
      </c>
    </row>
    <row r="73">
      <c r="A73" s="50" t="inlineStr">
        <is>
          <t>2018-12-31</t>
        </is>
      </c>
      <c r="B73" s="4" t="n">
        <v>-0.07598878853939593</v>
      </c>
      <c r="C73" s="4">
        <f>B73</f>
        <v/>
      </c>
      <c r="D73" s="57">
        <f>SUM($C$57:$C$92)/36</f>
        <v/>
      </c>
      <c r="E73" s="57">
        <f>C73-D73</f>
        <v/>
      </c>
      <c r="F73" s="57">
        <f>E73^2</f>
        <v/>
      </c>
    </row>
    <row r="74">
      <c r="A74" s="50" t="inlineStr">
        <is>
          <t>2019-01-31</t>
        </is>
      </c>
      <c r="B74" s="4" t="n">
        <v>0.05797101449275359</v>
      </c>
      <c r="C74" s="4">
        <f>B74</f>
        <v/>
      </c>
      <c r="D74" s="57">
        <f>SUM($C$57:$C$92)/36</f>
        <v/>
      </c>
      <c r="E74" s="57">
        <f>C74-D74</f>
        <v/>
      </c>
      <c r="F74" s="57">
        <f>E74^2</f>
        <v/>
      </c>
    </row>
    <row r="75">
      <c r="A75" s="50" t="inlineStr">
        <is>
          <t>2019-02-28</t>
        </is>
      </c>
      <c r="B75" s="4" t="n">
        <v>0.02351067218859508</v>
      </c>
      <c r="C75" s="4">
        <f>B75</f>
        <v/>
      </c>
      <c r="D75" s="57">
        <f>SUM($C$57:$C$92)/36</f>
        <v/>
      </c>
      <c r="E75" s="57">
        <f>C75-D75</f>
        <v/>
      </c>
      <c r="F75" s="57">
        <f>E75^2</f>
        <v/>
      </c>
    </row>
    <row r="76">
      <c r="A76" s="50" t="inlineStr">
        <is>
          <t>2019-03-31</t>
        </is>
      </c>
      <c r="B76" s="4" t="n">
        <v>0.01960906374501996</v>
      </c>
      <c r="C76" s="4">
        <f>B76</f>
        <v/>
      </c>
      <c r="D76" s="57">
        <f>SUM($C$57:$C$92)/36</f>
        <v/>
      </c>
      <c r="E76" s="57">
        <f>C76-D76</f>
        <v/>
      </c>
      <c r="F76" s="57">
        <f>E76^2</f>
        <v/>
      </c>
    </row>
    <row r="77">
      <c r="A77" s="50" t="inlineStr">
        <is>
          <t>2019-04-30</t>
        </is>
      </c>
      <c r="B77" s="4" t="n">
        <v>0.00311374320776616</v>
      </c>
      <c r="C77" s="4">
        <f>B77</f>
        <v/>
      </c>
      <c r="D77" s="57">
        <f>SUM($C$57:$C$92)/36</f>
        <v/>
      </c>
      <c r="E77" s="57">
        <f>C77-D77</f>
        <v/>
      </c>
      <c r="F77" s="57">
        <f>E77^2</f>
        <v/>
      </c>
    </row>
    <row r="78">
      <c r="A78" s="50" t="inlineStr">
        <is>
          <t>2019-05-31</t>
        </is>
      </c>
      <c r="B78" s="4" t="n">
        <v>-0.04443091905051741</v>
      </c>
      <c r="C78" s="4">
        <f>B78</f>
        <v/>
      </c>
      <c r="D78" s="57">
        <f>SUM($C$57:$C$92)/36</f>
        <v/>
      </c>
      <c r="E78" s="57">
        <f>C78-D78</f>
        <v/>
      </c>
      <c r="F78" s="57">
        <f>E78^2</f>
        <v/>
      </c>
    </row>
    <row r="79">
      <c r="A79" s="50" t="inlineStr">
        <is>
          <t>2019-06-30</t>
        </is>
      </c>
      <c r="B79" s="4" t="n">
        <v>0.01414012738853502</v>
      </c>
      <c r="C79" s="4">
        <f>B79</f>
        <v/>
      </c>
      <c r="D79" s="57">
        <f>SUM($C$57:$C$92)/36</f>
        <v/>
      </c>
      <c r="E79" s="57">
        <f>C79-D79</f>
        <v/>
      </c>
      <c r="F79" s="57">
        <f>E79^2</f>
        <v/>
      </c>
    </row>
    <row r="80">
      <c r="A80" s="50" t="inlineStr">
        <is>
          <t>2019-07-31</t>
        </is>
      </c>
      <c r="B80" s="4" t="n">
        <v>0.01249842984549685</v>
      </c>
      <c r="C80" s="4">
        <f>B80</f>
        <v/>
      </c>
      <c r="D80" s="57">
        <f>SUM($C$57:$C$92)/36</f>
        <v/>
      </c>
      <c r="E80" s="57">
        <f>C80-D80</f>
        <v/>
      </c>
      <c r="F80" s="57">
        <f>E80^2</f>
        <v/>
      </c>
    </row>
    <row r="81">
      <c r="A81" s="50" t="inlineStr">
        <is>
          <t>2019-08-31</t>
        </is>
      </c>
      <c r="B81" s="4" t="n">
        <v>-0.0384591526580238</v>
      </c>
      <c r="C81" s="4">
        <f>B81</f>
        <v/>
      </c>
      <c r="D81" s="57">
        <f>SUM($C$57:$C$92)/36</f>
        <v/>
      </c>
      <c r="E81" s="57">
        <f>C81-D81</f>
        <v/>
      </c>
      <c r="F81" s="57">
        <f>E81^2</f>
        <v/>
      </c>
    </row>
    <row r="82">
      <c r="A82" s="50" t="inlineStr">
        <is>
          <t>2019-09-30</t>
        </is>
      </c>
      <c r="B82" s="4" t="n">
        <v>0.02967550480614169</v>
      </c>
      <c r="C82" s="4">
        <f>B82</f>
        <v/>
      </c>
      <c r="D82" s="57">
        <f>SUM($C$57:$C$92)/36</f>
        <v/>
      </c>
      <c r="E82" s="57">
        <f>C82-D82</f>
        <v/>
      </c>
      <c r="F82" s="57">
        <f>E82^2</f>
        <v/>
      </c>
    </row>
    <row r="83">
      <c r="A83" s="50" t="inlineStr">
        <is>
          <t>2019-10-31</t>
        </is>
      </c>
      <c r="B83" s="4" t="n">
        <v>-0.006139966167533476</v>
      </c>
      <c r="C83" s="4">
        <f>B83</f>
        <v/>
      </c>
      <c r="D83" s="57">
        <f>SUM($C$57:$C$92)/36</f>
        <v/>
      </c>
      <c r="E83" s="57">
        <f>C83-D83</f>
        <v/>
      </c>
      <c r="F83" s="57">
        <f>E83^2</f>
        <v/>
      </c>
    </row>
    <row r="84">
      <c r="A84" s="50" t="inlineStr">
        <is>
          <t>2019-11-30</t>
        </is>
      </c>
      <c r="B84" s="4" t="n">
        <v>0.01077980205509682</v>
      </c>
      <c r="C84" s="4">
        <f>B84</f>
        <v/>
      </c>
      <c r="D84" s="57">
        <f>SUM($C$57:$C$92)/36</f>
        <v/>
      </c>
      <c r="E84" s="57">
        <f>C84-D84</f>
        <v/>
      </c>
      <c r="F84" s="57">
        <f>E84^2</f>
        <v/>
      </c>
    </row>
    <row r="85">
      <c r="A85" s="50" t="inlineStr">
        <is>
          <t>2019-12-31</t>
        </is>
      </c>
      <c r="B85" s="4" t="n">
        <v>0.03255581888486964</v>
      </c>
      <c r="C85" s="4">
        <f>B85</f>
        <v/>
      </c>
      <c r="D85" s="57">
        <f>SUM($C$57:$C$92)/36</f>
        <v/>
      </c>
      <c r="E85" s="57">
        <f>C85-D85</f>
        <v/>
      </c>
      <c r="F85" s="57">
        <f>E85^2</f>
        <v/>
      </c>
    </row>
    <row r="86">
      <c r="A86" s="50" t="inlineStr">
        <is>
          <t>2020-01-31</t>
        </is>
      </c>
      <c r="B86" s="4" t="n">
        <v>-0.07284368204880406</v>
      </c>
      <c r="C86" s="4">
        <f>B86</f>
        <v/>
      </c>
      <c r="D86" s="57">
        <f>SUM($C$57:$C$92)/36</f>
        <v/>
      </c>
      <c r="E86" s="57">
        <f>C86-D86</f>
        <v/>
      </c>
      <c r="F86" s="57">
        <f>E86^2</f>
        <v/>
      </c>
    </row>
    <row r="87">
      <c r="A87" s="50" t="inlineStr">
        <is>
          <t>2020-02-29</t>
        </is>
      </c>
      <c r="B87" s="4" t="n">
        <v>-0.05804560260586317</v>
      </c>
      <c r="C87" s="4">
        <f>B87</f>
        <v/>
      </c>
      <c r="D87" s="57">
        <f>SUM($C$57:$C$92)/36</f>
        <v/>
      </c>
      <c r="E87" s="57">
        <f>C87-D87</f>
        <v/>
      </c>
      <c r="F87" s="57">
        <f>E87^2</f>
        <v/>
      </c>
    </row>
    <row r="88">
      <c r="A88" s="50" t="inlineStr">
        <is>
          <t>2020-03-31</t>
        </is>
      </c>
      <c r="B88" s="4" t="n">
        <v>-0.2366000414966457</v>
      </c>
      <c r="C88" s="4">
        <f>B88</f>
        <v/>
      </c>
      <c r="D88" s="57">
        <f>SUM($C$57:$C$92)/36</f>
        <v/>
      </c>
      <c r="E88" s="57">
        <f>C88-D88</f>
        <v/>
      </c>
      <c r="F88" s="57">
        <f>E88^2</f>
        <v/>
      </c>
    </row>
    <row r="89">
      <c r="A89" s="50" t="inlineStr">
        <is>
          <t>2020-04-30</t>
        </is>
      </c>
      <c r="B89" s="4" t="n">
        <v>-0.03034970103279575</v>
      </c>
      <c r="C89" s="4">
        <f>B89</f>
        <v/>
      </c>
      <c r="D89" s="57">
        <f>SUM($C$57:$C$92)/36</f>
        <v/>
      </c>
      <c r="E89" s="57">
        <f>C89-D89</f>
        <v/>
      </c>
      <c r="F89" s="57">
        <f>E89^2</f>
        <v/>
      </c>
    </row>
    <row r="90">
      <c r="A90" s="50" t="inlineStr">
        <is>
          <t>2020-05-31</t>
        </is>
      </c>
      <c r="B90" s="4" t="n">
        <v>0.1125852564701485</v>
      </c>
      <c r="C90" s="4">
        <f>B90</f>
        <v/>
      </c>
      <c r="D90" s="57">
        <f>SUM($C$57:$C$92)/36</f>
        <v/>
      </c>
      <c r="E90" s="57">
        <f>C90-D90</f>
        <v/>
      </c>
      <c r="F90" s="57">
        <f>E90^2</f>
        <v/>
      </c>
    </row>
    <row r="91">
      <c r="A91" s="50" t="inlineStr">
        <is>
          <t>2020-06-30</t>
        </is>
      </c>
      <c r="B91" s="4" t="n">
        <v>0.03149143432986228</v>
      </c>
      <c r="C91" s="4">
        <f>B91</f>
        <v/>
      </c>
      <c r="D91" s="57">
        <f>SUM($C$57:$C$92)/36</f>
        <v/>
      </c>
      <c r="E91" s="57">
        <f>C91-D91</f>
        <v/>
      </c>
      <c r="F91" s="57">
        <f>E91^2</f>
        <v/>
      </c>
    </row>
    <row r="92">
      <c r="A92" s="50" t="inlineStr">
        <is>
          <t>2020-07-31</t>
        </is>
      </c>
      <c r="B92" s="4" t="n">
        <v>-0.0068387201823659</v>
      </c>
      <c r="C92" s="4">
        <f>B92</f>
        <v/>
      </c>
      <c r="D92" s="57">
        <f>SUM($C$57:$C$92)/36</f>
        <v/>
      </c>
      <c r="E92" s="57">
        <f>C92-D92</f>
        <v/>
      </c>
      <c r="F92" s="57">
        <f>E92^2</f>
        <v/>
      </c>
    </row>
    <row r="93">
      <c r="A93" s="50" t="inlineStr">
        <is>
          <t>Gesamtergebnis</t>
        </is>
      </c>
      <c r="B93" s="4" t="n"/>
      <c r="C93" s="54" t="n"/>
      <c r="F93" s="57">
        <f>SUM(F57:F92)</f>
        <v/>
      </c>
      <c r="G93" s="57">
        <f>F93/35</f>
        <v/>
      </c>
    </row>
    <row r="94">
      <c r="A94" s="50" t="n"/>
      <c r="B94" s="4" t="n"/>
      <c r="C94" s="54" t="n"/>
    </row>
    <row r="95">
      <c r="A95" s="54" t="n"/>
      <c r="B95" s="54" t="n"/>
      <c r="C95" s="54" t="n"/>
    </row>
    <row r="96">
      <c r="C96" s="51" t="inlineStr">
        <is>
          <t xml:space="preserve">3 Jahre </t>
        </is>
      </c>
      <c r="D96" s="57">
        <f>G93^0.5*12^0.5</f>
        <v/>
      </c>
      <c r="E96" s="57">
        <f>STDEV(C57,C58,C59,C60,C61,C62,C63,C64,C65,C66,C67,C68,C69,C70,C71,C72,C73,C74,C75,C76,C77,C78,C79,C80,C81,C82,C83,C84,C85,C86,C87,C88,C89,C90,C91,C92)*SQRT(12)</f>
        <v/>
      </c>
    </row>
    <row r="97">
      <c r="C97" s="51" t="inlineStr">
        <is>
          <t>1 Jahr</t>
        </is>
      </c>
      <c r="E97" s="57">
        <f>STDEV(C81,C82,C83,C84,C85,C86,C87,C88,C89,C90,C91,C92,C93)*SQRT(12)</f>
        <v/>
      </c>
    </row>
    <row r="99">
      <c r="C99" s="49" t="inlineStr">
        <is>
          <t>risikoloser zinssatz</t>
        </is>
      </c>
      <c r="D99" s="49" t="inlineStr">
        <is>
          <t>Überschussrendite Portfolio</t>
        </is>
      </c>
      <c r="E99" s="49" t="inlineStr">
        <is>
          <t>Differnez</t>
        </is>
      </c>
      <c r="F99" s="49" t="inlineStr">
        <is>
          <t>Überschussrendite Benchmark</t>
        </is>
      </c>
      <c r="G99" s="49" t="inlineStr">
        <is>
          <t>Differenz</t>
        </is>
      </c>
      <c r="H99" s="49" t="inlineStr">
        <is>
          <t>Produkt</t>
        </is>
      </c>
      <c r="I99" s="49" t="inlineStr">
        <is>
          <t>Quadrat</t>
        </is>
      </c>
      <c r="J99" s="52" t="inlineStr">
        <is>
          <t>Differenz 1 Jahr</t>
        </is>
      </c>
      <c r="K99" s="49" t="inlineStr">
        <is>
          <t>Differenz</t>
        </is>
      </c>
      <c r="L99" s="49" t="inlineStr">
        <is>
          <t>Produkt</t>
        </is>
      </c>
      <c r="M99" s="49" t="inlineStr">
        <is>
          <t>Quadrat</t>
        </is>
      </c>
    </row>
    <row r="100">
      <c r="J100" s="53" t="n"/>
    </row>
    <row r="101">
      <c r="A101" s="54" t="inlineStr">
        <is>
          <t>Zeilenbeschriftungen</t>
        </is>
      </c>
      <c r="B101" s="54" t="inlineStr">
        <is>
          <t>Summe von Euribor3m</t>
        </is>
      </c>
      <c r="C101" s="54" t="n"/>
      <c r="J101" s="53" t="n"/>
    </row>
    <row r="102">
      <c r="A102" s="50" t="inlineStr">
        <is>
          <t>2017-07-31</t>
        </is>
      </c>
      <c r="B102" s="54" t="n">
        <v>-0.33</v>
      </c>
      <c r="C102" s="4" t="n"/>
      <c r="D102" s="55" t="n"/>
      <c r="E102" s="55" t="n"/>
      <c r="F102" s="55" t="n"/>
      <c r="G102" s="55" t="n"/>
      <c r="H102" s="77" t="n"/>
      <c r="I102" s="78" t="n"/>
      <c r="J102" s="53" t="n"/>
    </row>
    <row r="103">
      <c r="A103" s="50" t="inlineStr">
        <is>
          <t>2017-08-31</t>
        </is>
      </c>
      <c r="B103" s="54" t="n">
        <v>-0.33</v>
      </c>
      <c r="C103" s="80">
        <f>GETPIVOTDATA("Euribor3m",$A$101,"datum",A103)/1200</f>
        <v/>
      </c>
      <c r="D103" s="55">
        <f>C14-C103</f>
        <v/>
      </c>
      <c r="E103" s="55">
        <f>D103-$D$139</f>
        <v/>
      </c>
      <c r="F103" s="55">
        <f>C57-C103</f>
        <v/>
      </c>
      <c r="G103" s="55">
        <f>F103-$F$139</f>
        <v/>
      </c>
      <c r="H103" s="77">
        <f>E103*G103*100</f>
        <v/>
      </c>
      <c r="I103" s="78">
        <f>G103^2*100</f>
        <v/>
      </c>
      <c r="J103" s="53" t="n"/>
    </row>
    <row r="104">
      <c r="A104" s="50" t="inlineStr">
        <is>
          <t>2017-09-30</t>
        </is>
      </c>
      <c r="B104" s="54" t="n">
        <v>-0.33</v>
      </c>
      <c r="C104" s="80">
        <f>GETPIVOTDATA("Euribor3m",$A$101,"datum",A104)/1200</f>
        <v/>
      </c>
      <c r="D104" s="55">
        <f>C15-C104</f>
        <v/>
      </c>
      <c r="E104" s="55">
        <f>D104-$D$139</f>
        <v/>
      </c>
      <c r="F104" s="55">
        <f>C58-C104</f>
        <v/>
      </c>
      <c r="G104" s="55">
        <f>F104-$F$139</f>
        <v/>
      </c>
      <c r="H104" s="77">
        <f>E104*G104*100</f>
        <v/>
      </c>
      <c r="I104" s="78">
        <f>G104^2*100</f>
        <v/>
      </c>
      <c r="J104" s="53" t="n"/>
    </row>
    <row r="105">
      <c r="A105" s="50" t="inlineStr">
        <is>
          <t>2017-10-31</t>
        </is>
      </c>
      <c r="B105" s="54" t="n">
        <v>-0.33</v>
      </c>
      <c r="C105" s="80">
        <f>GETPIVOTDATA("Euribor3m",$A$101,"datum",A105)/1200</f>
        <v/>
      </c>
      <c r="D105" s="55">
        <f>C16-C105</f>
        <v/>
      </c>
      <c r="E105" s="55">
        <f>D105-$D$139</f>
        <v/>
      </c>
      <c r="F105" s="55">
        <f>C59-C105</f>
        <v/>
      </c>
      <c r="G105" s="55">
        <f>F105-$F$139</f>
        <v/>
      </c>
      <c r="H105" s="77">
        <f>E105*G105*100</f>
        <v/>
      </c>
      <c r="I105" s="78">
        <f>G105^2*100</f>
        <v/>
      </c>
      <c r="J105" s="53" t="n"/>
    </row>
    <row r="106">
      <c r="A106" s="50" t="inlineStr">
        <is>
          <t>2017-11-30</t>
        </is>
      </c>
      <c r="B106" s="54" t="n">
        <v>-0.33</v>
      </c>
      <c r="C106" s="80">
        <f>GETPIVOTDATA("Euribor3m",$A$101,"datum",A106)/1200</f>
        <v/>
      </c>
      <c r="D106" s="55">
        <f>C17-C106</f>
        <v/>
      </c>
      <c r="E106" s="55">
        <f>D106-$D$139</f>
        <v/>
      </c>
      <c r="F106" s="55">
        <f>C60-C106</f>
        <v/>
      </c>
      <c r="G106" s="55">
        <f>F106-$F$139</f>
        <v/>
      </c>
      <c r="H106" s="77">
        <f>E106*G106*100</f>
        <v/>
      </c>
      <c r="I106" s="78">
        <f>G106^2*100</f>
        <v/>
      </c>
      <c r="J106" s="53" t="n"/>
    </row>
    <row r="107">
      <c r="A107" s="50" t="inlineStr">
        <is>
          <t>2017-12-31</t>
        </is>
      </c>
      <c r="B107" s="54" t="n">
        <v>-0.33</v>
      </c>
      <c r="C107" s="79">
        <f>GETPIVOTDATA("Euribor3m",$A$101,"datum",A107)/1200</f>
        <v/>
      </c>
      <c r="D107" s="55">
        <f>C18-C107</f>
        <v/>
      </c>
      <c r="E107" s="55">
        <f>D107-$D$139</f>
        <v/>
      </c>
      <c r="F107" s="55">
        <f>C61-C107</f>
        <v/>
      </c>
      <c r="G107" s="55">
        <f>F107-$F$139</f>
        <v/>
      </c>
      <c r="H107" s="77">
        <f>E107*G107*100</f>
        <v/>
      </c>
      <c r="I107" s="78">
        <f>G107^2*100</f>
        <v/>
      </c>
      <c r="J107" s="53" t="n"/>
    </row>
    <row r="108">
      <c r="A108" s="50" t="inlineStr">
        <is>
          <t>2018-01-31</t>
        </is>
      </c>
      <c r="B108" s="54" t="n">
        <v>-0.33</v>
      </c>
      <c r="C108" s="79">
        <f>GETPIVOTDATA("Euribor3m",$A$101,"datum",A108)/1200</f>
        <v/>
      </c>
      <c r="D108" s="55">
        <f>C19-C108</f>
        <v/>
      </c>
      <c r="E108" s="55">
        <f>D108-$D$139</f>
        <v/>
      </c>
      <c r="F108" s="55">
        <f>C62-C108</f>
        <v/>
      </c>
      <c r="G108" s="55">
        <f>F108-$F$139</f>
        <v/>
      </c>
      <c r="H108" s="77">
        <f>E108*G108*100</f>
        <v/>
      </c>
      <c r="I108" s="78">
        <f>G108^2*100</f>
        <v/>
      </c>
      <c r="J108" s="53" t="n"/>
    </row>
    <row r="109">
      <c r="A109" s="50" t="inlineStr">
        <is>
          <t>2018-02-28</t>
        </is>
      </c>
      <c r="B109" s="54" t="n">
        <v>-0.33</v>
      </c>
      <c r="C109" s="79">
        <f>GETPIVOTDATA("Euribor3m",$A$101,"datum",A109)/1200</f>
        <v/>
      </c>
      <c r="D109" s="55">
        <f>C20-C109</f>
        <v/>
      </c>
      <c r="E109" s="55">
        <f>D109-$D$139</f>
        <v/>
      </c>
      <c r="F109" s="55">
        <f>C63-C109</f>
        <v/>
      </c>
      <c r="G109" s="55">
        <f>F109-$F$139</f>
        <v/>
      </c>
      <c r="H109" s="77">
        <f>E109*G109*100</f>
        <v/>
      </c>
      <c r="I109" s="78">
        <f>G109^2*100</f>
        <v/>
      </c>
      <c r="J109" s="53" t="n"/>
    </row>
    <row r="110">
      <c r="A110" s="50" t="inlineStr">
        <is>
          <t>2018-03-31</t>
        </is>
      </c>
      <c r="B110" s="54" t="n">
        <v>-0.33</v>
      </c>
      <c r="C110" s="79">
        <f>GETPIVOTDATA("Euribor3m",$A$101,"datum",A110)/1200</f>
        <v/>
      </c>
      <c r="D110" s="55">
        <f>C21-C110</f>
        <v/>
      </c>
      <c r="E110" s="55">
        <f>D110-$D$139</f>
        <v/>
      </c>
      <c r="F110" s="55">
        <f>C64-C110</f>
        <v/>
      </c>
      <c r="G110" s="55">
        <f>F110-$F$139</f>
        <v/>
      </c>
      <c r="H110" s="77">
        <f>E110*G110*100</f>
        <v/>
      </c>
      <c r="I110" s="78">
        <f>G110^2*100</f>
        <v/>
      </c>
      <c r="J110" s="53" t="n"/>
    </row>
    <row r="111">
      <c r="A111" s="50" t="inlineStr">
        <is>
          <t>2018-04-30</t>
        </is>
      </c>
      <c r="B111" s="54" t="n">
        <v>-0.33</v>
      </c>
      <c r="C111" s="79">
        <f>GETPIVOTDATA("Euribor3m",$A$101,"datum",A111)/1200</f>
        <v/>
      </c>
      <c r="D111" s="55">
        <f>C22-C111</f>
        <v/>
      </c>
      <c r="E111" s="55">
        <f>D111-$D$139</f>
        <v/>
      </c>
      <c r="F111" s="55">
        <f>C65-C111</f>
        <v/>
      </c>
      <c r="G111" s="55">
        <f>F111-$F$139</f>
        <v/>
      </c>
      <c r="H111" s="77">
        <f>E111*G111*100</f>
        <v/>
      </c>
      <c r="I111" s="78">
        <f>G111^2*100</f>
        <v/>
      </c>
      <c r="J111" s="53" t="n"/>
    </row>
    <row r="112">
      <c r="A112" s="50" t="inlineStr">
        <is>
          <t>2018-05-31</t>
        </is>
      </c>
      <c r="B112" s="54" t="n">
        <v>-0.32</v>
      </c>
      <c r="C112" s="79">
        <f>GETPIVOTDATA("Euribor3m",$A$101,"datum",A112)/1200</f>
        <v/>
      </c>
      <c r="D112" s="55">
        <f>C23-C112</f>
        <v/>
      </c>
      <c r="E112" s="55">
        <f>D112-$D$139</f>
        <v/>
      </c>
      <c r="F112" s="55">
        <f>C66-C112</f>
        <v/>
      </c>
      <c r="G112" s="55">
        <f>F112-$F$139</f>
        <v/>
      </c>
      <c r="H112" s="77">
        <f>E112*G112*100</f>
        <v/>
      </c>
      <c r="I112" s="78">
        <f>G112^2*100</f>
        <v/>
      </c>
      <c r="J112" s="53" t="n"/>
    </row>
    <row r="113">
      <c r="A113" s="50" t="inlineStr">
        <is>
          <t>2018-06-30</t>
        </is>
      </c>
      <c r="B113" s="54" t="n">
        <v>-0.32</v>
      </c>
      <c r="C113" s="79">
        <f>GETPIVOTDATA("Euribor3m",$A$101,"datum",A113)/1200</f>
        <v/>
      </c>
      <c r="D113" s="55">
        <f>C24-C113</f>
        <v/>
      </c>
      <c r="E113" s="55">
        <f>D113-$D$139</f>
        <v/>
      </c>
      <c r="F113" s="55">
        <f>C67-C113</f>
        <v/>
      </c>
      <c r="G113" s="55">
        <f>F113-$F$139</f>
        <v/>
      </c>
      <c r="H113" s="77">
        <f>E113*G113*100</f>
        <v/>
      </c>
      <c r="I113" s="78">
        <f>G113^2*100</f>
        <v/>
      </c>
      <c r="J113" s="53" t="n"/>
    </row>
    <row r="114">
      <c r="A114" s="50" t="inlineStr">
        <is>
          <t>2018-07-31</t>
        </is>
      </c>
      <c r="B114" s="54" t="n">
        <v>-0.32</v>
      </c>
      <c r="C114" s="79">
        <f>GETPIVOTDATA("Euribor3m",$A$101,"datum",A114)/1200</f>
        <v/>
      </c>
      <c r="D114" s="55">
        <f>C25-C114</f>
        <v/>
      </c>
      <c r="E114" s="55">
        <f>D114-$D$139</f>
        <v/>
      </c>
      <c r="F114" s="55">
        <f>C68-C114</f>
        <v/>
      </c>
      <c r="G114" s="55">
        <f>F114-$F$139</f>
        <v/>
      </c>
      <c r="H114" s="77">
        <f>E114*G114*100</f>
        <v/>
      </c>
      <c r="I114" s="78">
        <f>G114^2*100</f>
        <v/>
      </c>
      <c r="J114" s="53" t="n"/>
    </row>
    <row r="115">
      <c r="A115" s="50" t="inlineStr">
        <is>
          <t>2018-08-31</t>
        </is>
      </c>
      <c r="B115" s="54" t="n">
        <v>-0.32</v>
      </c>
      <c r="C115" s="79">
        <f>GETPIVOTDATA("Euribor3m",$A$101,"datum",A115)/1200</f>
        <v/>
      </c>
      <c r="D115" s="55">
        <f>C26-C115</f>
        <v/>
      </c>
      <c r="E115" s="55">
        <f>D115-$D$139</f>
        <v/>
      </c>
      <c r="F115" s="55">
        <f>C69-C115</f>
        <v/>
      </c>
      <c r="G115" s="55">
        <f>F115-$F$139</f>
        <v/>
      </c>
      <c r="H115" s="77">
        <f>E115*G115*100</f>
        <v/>
      </c>
      <c r="I115" s="78">
        <f>G115^2*100</f>
        <v/>
      </c>
      <c r="J115" s="53" t="n"/>
    </row>
    <row r="116">
      <c r="A116" s="50" t="inlineStr">
        <is>
          <t>2018-09-30</t>
        </is>
      </c>
      <c r="B116" s="54" t="n">
        <v>-0.32</v>
      </c>
      <c r="C116" s="79">
        <f>GETPIVOTDATA("Euribor3m",$A$101,"datum",A116)/1200</f>
        <v/>
      </c>
      <c r="D116" s="55">
        <f>C27-C116</f>
        <v/>
      </c>
      <c r="E116" s="55">
        <f>D116-$D$139</f>
        <v/>
      </c>
      <c r="F116" s="55">
        <f>C70-C116</f>
        <v/>
      </c>
      <c r="G116" s="55">
        <f>F116-$F$139</f>
        <v/>
      </c>
      <c r="H116" s="77">
        <f>E116*G116*100</f>
        <v/>
      </c>
      <c r="I116" s="78">
        <f>G116^2*100</f>
        <v/>
      </c>
      <c r="J116" s="53" t="n"/>
    </row>
    <row r="117">
      <c r="A117" s="50" t="inlineStr">
        <is>
          <t>2018-10-31</t>
        </is>
      </c>
      <c r="B117" s="54" t="n">
        <v>-0.32</v>
      </c>
      <c r="C117" s="79">
        <f>GETPIVOTDATA("Euribor3m",$A$101,"datum",A117)/1200</f>
        <v/>
      </c>
      <c r="D117" s="55">
        <f>C28-C117</f>
        <v/>
      </c>
      <c r="E117" s="55">
        <f>D117-$D$139</f>
        <v/>
      </c>
      <c r="F117" s="55">
        <f>C71-C117</f>
        <v/>
      </c>
      <c r="G117" s="55">
        <f>F117-$F$139</f>
        <v/>
      </c>
      <c r="H117" s="77">
        <f>E117*G117*100</f>
        <v/>
      </c>
      <c r="I117" s="78">
        <f>G117^2*100</f>
        <v/>
      </c>
      <c r="J117" s="53" t="n"/>
    </row>
    <row r="118">
      <c r="A118" s="50" t="inlineStr">
        <is>
          <t>2018-11-30</t>
        </is>
      </c>
      <c r="B118" s="54" t="n">
        <v>-0.32</v>
      </c>
      <c r="C118" s="79">
        <f>GETPIVOTDATA("Euribor3m",$A$101,"datum",A118)/1200</f>
        <v/>
      </c>
      <c r="D118" s="55">
        <f>C29-C118</f>
        <v/>
      </c>
      <c r="E118" s="55">
        <f>D118-$D$139</f>
        <v/>
      </c>
      <c r="F118" s="55">
        <f>C72-C118</f>
        <v/>
      </c>
      <c r="G118" s="55">
        <f>F118-$F$139</f>
        <v/>
      </c>
      <c r="H118" s="77">
        <f>E118*G118*100</f>
        <v/>
      </c>
      <c r="I118" s="78">
        <f>G118^2*100</f>
        <v/>
      </c>
      <c r="J118" s="53" t="n"/>
    </row>
    <row r="119">
      <c r="A119" s="50" t="inlineStr">
        <is>
          <t>2018-12-31</t>
        </is>
      </c>
      <c r="B119" s="54" t="n">
        <v>-0.31</v>
      </c>
      <c r="C119" s="79">
        <f>GETPIVOTDATA("Euribor3m",$A$101,"datum",A119)/1200</f>
        <v/>
      </c>
      <c r="D119" s="55">
        <f>C30-C119</f>
        <v/>
      </c>
      <c r="E119" s="55">
        <f>D119-$D$139</f>
        <v/>
      </c>
      <c r="F119" s="55">
        <f>C73-C119</f>
        <v/>
      </c>
      <c r="G119" s="55">
        <f>F119-$F$139</f>
        <v/>
      </c>
      <c r="H119" s="77">
        <f>E119*G119*100</f>
        <v/>
      </c>
      <c r="I119" s="78">
        <f>G119^2*100</f>
        <v/>
      </c>
      <c r="J119" s="53" t="n"/>
    </row>
    <row r="120">
      <c r="A120" s="50" t="inlineStr">
        <is>
          <t>2019-01-31</t>
        </is>
      </c>
      <c r="B120" s="54" t="n">
        <v>-0.31</v>
      </c>
      <c r="C120" s="79">
        <f>GETPIVOTDATA("Euribor3m",$A$101,"datum",A120)/1200</f>
        <v/>
      </c>
      <c r="D120" s="55">
        <f>C31-C120</f>
        <v/>
      </c>
      <c r="E120" s="55">
        <f>D120-$D$139</f>
        <v/>
      </c>
      <c r="F120" s="55">
        <f>C74-C120</f>
        <v/>
      </c>
      <c r="G120" s="55">
        <f>F120-$F$139</f>
        <v/>
      </c>
      <c r="H120" s="77">
        <f>E120*G120*100</f>
        <v/>
      </c>
      <c r="I120" s="78">
        <f>G120^2*100</f>
        <v/>
      </c>
      <c r="J120" s="53" t="n"/>
    </row>
    <row r="121">
      <c r="A121" s="50" t="inlineStr">
        <is>
          <t>2019-02-28</t>
        </is>
      </c>
      <c r="B121" s="54" t="n">
        <v>-0.31</v>
      </c>
      <c r="C121" s="79">
        <f>GETPIVOTDATA("Euribor3m",$A$101,"datum",A121)/1200</f>
        <v/>
      </c>
      <c r="D121" s="55">
        <f>C32-C121</f>
        <v/>
      </c>
      <c r="E121" s="55">
        <f>D121-$D$139</f>
        <v/>
      </c>
      <c r="F121" s="55">
        <f>C75-C121</f>
        <v/>
      </c>
      <c r="G121" s="55">
        <f>F121-$F$139</f>
        <v/>
      </c>
      <c r="H121" s="77">
        <f>E121*G121*100</f>
        <v/>
      </c>
      <c r="I121" s="78">
        <f>G121^2*100</f>
        <v/>
      </c>
      <c r="J121" s="53" t="n"/>
    </row>
    <row r="122">
      <c r="A122" s="50" t="inlineStr">
        <is>
          <t>2019-03-31</t>
        </is>
      </c>
      <c r="B122" s="54" t="n">
        <v>-0.31</v>
      </c>
      <c r="C122" s="79">
        <f>GETPIVOTDATA("Euribor3m",$A$101,"datum",A122)/1200</f>
        <v/>
      </c>
      <c r="D122" s="55">
        <f>C33-C122</f>
        <v/>
      </c>
      <c r="E122" s="55">
        <f>D122-$D$139</f>
        <v/>
      </c>
      <c r="F122" s="55">
        <f>C76-C122</f>
        <v/>
      </c>
      <c r="G122" s="55">
        <f>F122-$F$139</f>
        <v/>
      </c>
      <c r="H122" s="77">
        <f>E122*G122*100</f>
        <v/>
      </c>
      <c r="I122" s="78">
        <f>G122^2*100</f>
        <v/>
      </c>
      <c r="J122" s="53" t="n"/>
    </row>
    <row r="123">
      <c r="A123" s="50" t="inlineStr">
        <is>
          <t>2019-04-30</t>
        </is>
      </c>
      <c r="B123" s="54" t="n">
        <v>-0.31</v>
      </c>
      <c r="C123" s="79">
        <f>GETPIVOTDATA("Euribor3m",$A$101,"datum",A123)/1200</f>
        <v/>
      </c>
      <c r="D123" s="55">
        <f>C34-C123</f>
        <v/>
      </c>
      <c r="E123" s="55">
        <f>D123-$D$139</f>
        <v/>
      </c>
      <c r="F123" s="55">
        <f>C77-C123</f>
        <v/>
      </c>
      <c r="G123" s="55">
        <f>F123-$F$139</f>
        <v/>
      </c>
      <c r="H123" s="77">
        <f>E123*G123*100</f>
        <v/>
      </c>
      <c r="I123" s="78">
        <f>G123^2*100</f>
        <v/>
      </c>
      <c r="J123" s="53" t="n"/>
    </row>
    <row r="124">
      <c r="A124" s="50" t="inlineStr">
        <is>
          <t>2019-05-31</t>
        </is>
      </c>
      <c r="B124" s="54" t="n">
        <v>-0.32</v>
      </c>
      <c r="C124" s="79">
        <f>GETPIVOTDATA("Euribor3m",$A$101,"datum",A124)/1200</f>
        <v/>
      </c>
      <c r="D124" s="55">
        <f>C35-C124</f>
        <v/>
      </c>
      <c r="E124" s="55">
        <f>D124-$D$139</f>
        <v/>
      </c>
      <c r="F124" s="55">
        <f>C78-C124</f>
        <v/>
      </c>
      <c r="G124" s="55">
        <f>F124-$F$139</f>
        <v/>
      </c>
      <c r="H124" s="77">
        <f>E124*G124*100</f>
        <v/>
      </c>
      <c r="I124" s="78">
        <f>G124^2*100</f>
        <v/>
      </c>
      <c r="J124" s="53" t="n"/>
    </row>
    <row r="125">
      <c r="A125" s="50" t="inlineStr">
        <is>
          <t>2019-06-30</t>
        </is>
      </c>
      <c r="B125" s="54" t="n">
        <v>-0.35</v>
      </c>
      <c r="C125" s="79">
        <f>GETPIVOTDATA("Euribor3m",$A$101,"datum",A125)/1200</f>
        <v/>
      </c>
      <c r="D125" s="55">
        <f>C36-C125</f>
        <v/>
      </c>
      <c r="E125" s="55">
        <f>D125-$D$139</f>
        <v/>
      </c>
      <c r="F125" s="55">
        <f>C79-C125</f>
        <v/>
      </c>
      <c r="G125" s="55">
        <f>F125-$F$139</f>
        <v/>
      </c>
      <c r="H125" s="77">
        <f>E125*G125*100</f>
        <v/>
      </c>
      <c r="I125" s="78">
        <f>G125^2*100</f>
        <v/>
      </c>
      <c r="J125" s="53" t="n"/>
    </row>
    <row r="126">
      <c r="A126" s="50" t="inlineStr">
        <is>
          <t>2019-07-31</t>
        </is>
      </c>
      <c r="B126" s="54" t="n">
        <v>-0.37</v>
      </c>
      <c r="C126" s="79">
        <f>GETPIVOTDATA("Euribor3m",$A$101,"datum",A126)/1200</f>
        <v/>
      </c>
      <c r="D126" s="55">
        <f>C37-C126</f>
        <v/>
      </c>
      <c r="E126" s="55">
        <f>D126-$D$139</f>
        <v/>
      </c>
      <c r="F126" s="55">
        <f>C80-C126</f>
        <v/>
      </c>
      <c r="G126" s="55">
        <f>F126-$F$139</f>
        <v/>
      </c>
      <c r="H126" s="77">
        <f>E126*G126*100</f>
        <v/>
      </c>
      <c r="I126" s="78">
        <f>G126^2*100</f>
        <v/>
      </c>
      <c r="J126" s="53" t="n"/>
    </row>
    <row r="127">
      <c r="A127" s="50" t="inlineStr">
        <is>
          <t>2019-08-31</t>
        </is>
      </c>
      <c r="B127" s="54" t="n">
        <v>-0.43</v>
      </c>
      <c r="C127" s="79">
        <f>GETPIVOTDATA("Euribor3m",$A$101,"datum",A127)/1200</f>
        <v/>
      </c>
      <c r="D127" s="55">
        <f>C38-C127</f>
        <v/>
      </c>
      <c r="E127" s="55">
        <f>D127-$D$139</f>
        <v/>
      </c>
      <c r="F127" s="55">
        <f>C81-C127</f>
        <v/>
      </c>
      <c r="G127" s="55">
        <f>F127-$F$139</f>
        <v/>
      </c>
      <c r="H127" s="77">
        <f>E127*G127*100</f>
        <v/>
      </c>
      <c r="I127" s="78">
        <f>G127^2*100</f>
        <v/>
      </c>
      <c r="J127" s="55">
        <f>D127-$D$140</f>
        <v/>
      </c>
      <c r="K127" s="55">
        <f>F127-$F$140</f>
        <v/>
      </c>
      <c r="L127" s="77">
        <f>J127*K127*100</f>
        <v/>
      </c>
      <c r="M127" s="78">
        <f>K127^2*100</f>
        <v/>
      </c>
    </row>
    <row r="128">
      <c r="A128" s="50" t="inlineStr">
        <is>
          <t>2019-09-30</t>
        </is>
      </c>
      <c r="B128" s="54" t="n">
        <v>-0.42</v>
      </c>
      <c r="C128" s="79">
        <f>GETPIVOTDATA("Euribor3m",$A$101,"datum",A128)/1200</f>
        <v/>
      </c>
      <c r="D128" s="55">
        <f>C39-C128</f>
        <v/>
      </c>
      <c r="E128" s="55">
        <f>D128-$D$139</f>
        <v/>
      </c>
      <c r="F128" s="55">
        <f>C82-C128</f>
        <v/>
      </c>
      <c r="G128" s="55">
        <f>F128-$F$139</f>
        <v/>
      </c>
      <c r="H128" s="77">
        <f>E128*G128*100</f>
        <v/>
      </c>
      <c r="I128" s="78">
        <f>G128^2*100</f>
        <v/>
      </c>
      <c r="J128" s="55">
        <f>D128-$D$140</f>
        <v/>
      </c>
      <c r="K128" s="55">
        <f>F128-$F$140</f>
        <v/>
      </c>
      <c r="L128" s="77">
        <f>J128*K128*100</f>
        <v/>
      </c>
      <c r="M128" s="78">
        <f>K128^2*100</f>
        <v/>
      </c>
    </row>
    <row r="129">
      <c r="A129" s="50" t="inlineStr">
        <is>
          <t>2019-10-31</t>
        </is>
      </c>
      <c r="B129" s="54" t="n">
        <v>-0.39</v>
      </c>
      <c r="C129" s="79">
        <f>GETPIVOTDATA("Euribor3m",$A$101,"datum",A129)/1200</f>
        <v/>
      </c>
      <c r="D129" s="55">
        <f>C40-C129</f>
        <v/>
      </c>
      <c r="E129" s="55">
        <f>D129-$D$139</f>
        <v/>
      </c>
      <c r="F129" s="55">
        <f>C83-C129</f>
        <v/>
      </c>
      <c r="G129" s="55">
        <f>F129-$F$139</f>
        <v/>
      </c>
      <c r="H129" s="77">
        <f>E129*G129*100</f>
        <v/>
      </c>
      <c r="I129" s="78">
        <f>G129^2*100</f>
        <v/>
      </c>
      <c r="J129" s="55">
        <f>D129-$D$140</f>
        <v/>
      </c>
      <c r="K129" s="55">
        <f>F129-$F$140</f>
        <v/>
      </c>
      <c r="L129" s="77">
        <f>J129*K129*100</f>
        <v/>
      </c>
      <c r="M129" s="78">
        <f>K129^2*100</f>
        <v/>
      </c>
    </row>
    <row r="130">
      <c r="A130" s="50" t="inlineStr">
        <is>
          <t>2019-11-30</t>
        </is>
      </c>
      <c r="B130" s="54" t="n">
        <v>-0.4</v>
      </c>
      <c r="C130" s="79">
        <f>GETPIVOTDATA("Euribor3m",$A$101,"datum",A130)/1200</f>
        <v/>
      </c>
      <c r="D130" s="55">
        <f>C41-C130</f>
        <v/>
      </c>
      <c r="E130" s="55">
        <f>D130-$D$139</f>
        <v/>
      </c>
      <c r="F130" s="55">
        <f>C84-C130</f>
        <v/>
      </c>
      <c r="G130" s="55">
        <f>F130-$F$139</f>
        <v/>
      </c>
      <c r="H130" s="77">
        <f>E130*G130*100</f>
        <v/>
      </c>
      <c r="I130" s="78">
        <f>G130^2*100</f>
        <v/>
      </c>
      <c r="J130" s="55">
        <f>D130-$D$140</f>
        <v/>
      </c>
      <c r="K130" s="55">
        <f>F130-$F$140</f>
        <v/>
      </c>
      <c r="L130" s="77">
        <f>J130*K130*100</f>
        <v/>
      </c>
      <c r="M130" s="78">
        <f>K130^2*100</f>
        <v/>
      </c>
    </row>
    <row r="131">
      <c r="A131" s="50" t="inlineStr">
        <is>
          <t>2019-12-31</t>
        </is>
      </c>
      <c r="B131" s="54" t="n">
        <v>-0.38</v>
      </c>
      <c r="C131" s="79">
        <f>GETPIVOTDATA("Euribor3m",$A$101,"datum",A131)/1200</f>
        <v/>
      </c>
      <c r="D131" s="55">
        <f>C42-C131</f>
        <v/>
      </c>
      <c r="E131" s="55">
        <f>D131-$D$139</f>
        <v/>
      </c>
      <c r="F131" s="55">
        <f>C85-C131</f>
        <v/>
      </c>
      <c r="G131" s="55">
        <f>F131-$F$139</f>
        <v/>
      </c>
      <c r="H131" s="77">
        <f>E131*G131*100</f>
        <v/>
      </c>
      <c r="I131" s="78">
        <f>G131^2*100</f>
        <v/>
      </c>
      <c r="J131" s="55">
        <f>D131-$D$140</f>
        <v/>
      </c>
      <c r="K131" s="55">
        <f>F131-$F$140</f>
        <v/>
      </c>
      <c r="L131" s="77">
        <f>J131*K131*100</f>
        <v/>
      </c>
      <c r="M131" s="78">
        <f>K131^2*100</f>
        <v/>
      </c>
    </row>
    <row r="132">
      <c r="A132" s="50" t="inlineStr">
        <is>
          <t>2020-01-31</t>
        </is>
      </c>
      <c r="B132" s="54" t="n">
        <v>-0.39</v>
      </c>
      <c r="C132" s="79">
        <f>GETPIVOTDATA("Euribor3m",$A$101,"datum",A132)/1200</f>
        <v/>
      </c>
      <c r="D132" s="55">
        <f>C43-C132</f>
        <v/>
      </c>
      <c r="E132" s="55">
        <f>D132-$D$139</f>
        <v/>
      </c>
      <c r="F132" s="55">
        <f>C86-C132</f>
        <v/>
      </c>
      <c r="G132" s="55">
        <f>F132-$F$139</f>
        <v/>
      </c>
      <c r="H132" s="77">
        <f>E132*G132*100</f>
        <v/>
      </c>
      <c r="I132" s="78">
        <f>G132^2*100</f>
        <v/>
      </c>
      <c r="J132" s="55">
        <f>D132-$D$140</f>
        <v/>
      </c>
      <c r="K132" s="55">
        <f>F132-$F$140</f>
        <v/>
      </c>
      <c r="L132" s="77">
        <f>J132*K132*100</f>
        <v/>
      </c>
      <c r="M132" s="78">
        <f>K132^2*100</f>
        <v/>
      </c>
    </row>
    <row r="133">
      <c r="A133" s="50" t="inlineStr">
        <is>
          <t>2020-02-29</t>
        </is>
      </c>
      <c r="B133" s="54" t="n">
        <v>-0.42</v>
      </c>
      <c r="C133" s="79">
        <f>GETPIVOTDATA("Euribor3m",$A$101,"datum",A133)/1200</f>
        <v/>
      </c>
      <c r="D133" s="55">
        <f>C44-C133</f>
        <v/>
      </c>
      <c r="E133" s="55">
        <f>D133-$D$139</f>
        <v/>
      </c>
      <c r="F133" s="55">
        <f>C87-C133</f>
        <v/>
      </c>
      <c r="G133" s="55">
        <f>F133-$F$139</f>
        <v/>
      </c>
      <c r="H133" s="77">
        <f>E133*G133*100</f>
        <v/>
      </c>
      <c r="I133" s="78">
        <f>G133^2*100</f>
        <v/>
      </c>
      <c r="J133" s="55">
        <f>D133-$D$140</f>
        <v/>
      </c>
      <c r="K133" s="55">
        <f>F133-$F$140</f>
        <v/>
      </c>
      <c r="L133" s="77">
        <f>J133*K133*100</f>
        <v/>
      </c>
      <c r="M133" s="78">
        <f>K133^2*100</f>
        <v/>
      </c>
    </row>
    <row r="134">
      <c r="A134" s="50" t="inlineStr">
        <is>
          <t>2020-03-31</t>
        </is>
      </c>
      <c r="B134" s="54" t="n">
        <v>-0.36</v>
      </c>
      <c r="C134" s="79">
        <f>GETPIVOTDATA("Euribor3m",$A$101,"datum",A134)/1200</f>
        <v/>
      </c>
      <c r="D134" s="55">
        <f>C45-C134</f>
        <v/>
      </c>
      <c r="E134" s="55">
        <f>D134-$D$139</f>
        <v/>
      </c>
      <c r="F134" s="55">
        <f>C88-C134</f>
        <v/>
      </c>
      <c r="G134" s="55">
        <f>F134-$F$139</f>
        <v/>
      </c>
      <c r="H134" s="77">
        <f>E134*G134*100</f>
        <v/>
      </c>
      <c r="I134" s="78">
        <f>G134^2*100</f>
        <v/>
      </c>
      <c r="J134" s="55">
        <f>D134-$D$140</f>
        <v/>
      </c>
      <c r="K134" s="55">
        <f>F134-$F$140</f>
        <v/>
      </c>
      <c r="L134" s="77">
        <f>J134*K134*100</f>
        <v/>
      </c>
      <c r="M134" s="78">
        <f>K134^2*100</f>
        <v/>
      </c>
    </row>
    <row r="135">
      <c r="A135" s="50" t="inlineStr">
        <is>
          <t>2020-04-30</t>
        </is>
      </c>
      <c r="B135" s="54" t="n">
        <v>-0.26</v>
      </c>
      <c r="C135" s="79">
        <f>GETPIVOTDATA("Euribor3m",$A$101,"datum",A135)/1200</f>
        <v/>
      </c>
      <c r="D135" s="55">
        <f>C46-C135</f>
        <v/>
      </c>
      <c r="E135" s="55">
        <f>D135-$D$139</f>
        <v/>
      </c>
      <c r="F135" s="55">
        <f>C89-C135</f>
        <v/>
      </c>
      <c r="G135" s="55">
        <f>F135-$F$139</f>
        <v/>
      </c>
      <c r="H135" s="77">
        <f>E135*G135*100</f>
        <v/>
      </c>
      <c r="I135" s="78">
        <f>G135^2*100</f>
        <v/>
      </c>
      <c r="J135" s="55">
        <f>D135-$D$140</f>
        <v/>
      </c>
      <c r="K135" s="55">
        <f>F135-$F$140</f>
        <v/>
      </c>
      <c r="L135" s="77">
        <f>J135*K135*100</f>
        <v/>
      </c>
      <c r="M135" s="78">
        <f>K135^2*100</f>
        <v/>
      </c>
    </row>
    <row r="136">
      <c r="A136" s="50" t="inlineStr">
        <is>
          <t>2020-05-31</t>
        </is>
      </c>
      <c r="B136" s="54" t="n">
        <v>-0.31</v>
      </c>
      <c r="C136" s="79">
        <f>GETPIVOTDATA("Euribor3m",$A$101,"datum",A136)/1200</f>
        <v/>
      </c>
      <c r="D136" s="55">
        <f>C47-C136</f>
        <v/>
      </c>
      <c r="E136" s="55">
        <f>D136-$D$139</f>
        <v/>
      </c>
      <c r="F136" s="55">
        <f>C90-C136</f>
        <v/>
      </c>
      <c r="G136" s="55">
        <f>F136-$F$139</f>
        <v/>
      </c>
      <c r="H136" s="77">
        <f>E136*G136*100</f>
        <v/>
      </c>
      <c r="I136" s="78">
        <f>G136^2*100</f>
        <v/>
      </c>
      <c r="J136" s="55">
        <f>D136-$D$140</f>
        <v/>
      </c>
      <c r="K136" s="55">
        <f>F136-$F$140</f>
        <v/>
      </c>
      <c r="L136" s="77">
        <f>J136*K136*100</f>
        <v/>
      </c>
      <c r="M136" s="78">
        <f>K136^2*100</f>
        <v/>
      </c>
    </row>
    <row r="137">
      <c r="A137" s="50" t="inlineStr">
        <is>
          <t>2020-06-30</t>
        </is>
      </c>
      <c r="B137" s="54" t="n">
        <v>-0.42</v>
      </c>
      <c r="C137" s="79">
        <f>GETPIVOTDATA("Euribor3m",$A$101,"datum",A137)/1200</f>
        <v/>
      </c>
      <c r="D137" s="55">
        <f>C48-C137</f>
        <v/>
      </c>
      <c r="E137" s="55">
        <f>D137-$D$139</f>
        <v/>
      </c>
      <c r="F137" s="55">
        <f>C91-C137</f>
        <v/>
      </c>
      <c r="G137" s="55">
        <f>F137-$F$139</f>
        <v/>
      </c>
      <c r="H137" s="77">
        <f>E137*G137*100</f>
        <v/>
      </c>
      <c r="I137" s="78">
        <f>G137^2*100</f>
        <v/>
      </c>
      <c r="J137" s="55">
        <f>D137-$D$140</f>
        <v/>
      </c>
      <c r="K137" s="55">
        <f>F137-$F$140</f>
        <v/>
      </c>
      <c r="L137" s="77">
        <f>J137*K137*100</f>
        <v/>
      </c>
      <c r="M137" s="78">
        <f>K137^2*100</f>
        <v/>
      </c>
    </row>
    <row r="138">
      <c r="A138" s="50" t="inlineStr">
        <is>
          <t>2020-07-31</t>
        </is>
      </c>
      <c r="B138" s="54" t="n">
        <v>-0.46</v>
      </c>
      <c r="C138" s="79">
        <f>GETPIVOTDATA("Euribor3m",$A$101,"datum",A138)/1200</f>
        <v/>
      </c>
      <c r="D138" s="55">
        <f>C49-C138</f>
        <v/>
      </c>
      <c r="E138" s="55">
        <f>D138-$D$139</f>
        <v/>
      </c>
      <c r="F138" s="55">
        <f>C92-C138</f>
        <v/>
      </c>
      <c r="G138" s="55">
        <f>F138-$F$139</f>
        <v/>
      </c>
      <c r="H138" s="77">
        <f>E138*G138*100</f>
        <v/>
      </c>
      <c r="I138" s="78">
        <f>G138^2*100</f>
        <v/>
      </c>
      <c r="J138" s="55">
        <f>D138-$D$140</f>
        <v/>
      </c>
      <c r="K138" s="55">
        <f>F138-$F$140</f>
        <v/>
      </c>
      <c r="L138" s="77">
        <f>J138*K138*100</f>
        <v/>
      </c>
      <c r="M138" s="78">
        <f>K138^2*100</f>
        <v/>
      </c>
    </row>
    <row r="139">
      <c r="A139" s="50" t="inlineStr">
        <is>
          <t>Gesamtergebnis</t>
        </is>
      </c>
      <c r="B139" s="54" t="n">
        <v>-12.77</v>
      </c>
      <c r="C139" s="54" t="inlineStr">
        <is>
          <t>3 Jahre</t>
        </is>
      </c>
      <c r="D139" s="55">
        <f>SUM(D103:D138)/36</f>
        <v/>
      </c>
      <c r="E139" s="55" t="n"/>
      <c r="F139" s="55">
        <f>SUM(F103:F138)/36</f>
        <v/>
      </c>
      <c r="G139" s="55" t="n"/>
      <c r="H139" s="77">
        <f>SUM(H103:H138)</f>
        <v/>
      </c>
      <c r="I139" s="78">
        <f>SUM(I103:I138)</f>
        <v/>
      </c>
      <c r="J139" s="55" t="n"/>
    </row>
    <row r="140">
      <c r="A140" s="50" t="n"/>
      <c r="B140" s="54" t="n"/>
      <c r="C140" s="54" t="inlineStr">
        <is>
          <t>1 Jahr</t>
        </is>
      </c>
      <c r="D140" s="55">
        <f>SUM(D127:D138)/12</f>
        <v/>
      </c>
      <c r="E140" s="55" t="n"/>
      <c r="F140" s="55">
        <f>SUM(F127:F138)/12</f>
        <v/>
      </c>
      <c r="G140" s="55" t="n"/>
      <c r="H140" s="77" t="n"/>
      <c r="I140" s="78" t="n"/>
    </row>
    <row r="141">
      <c r="A141" s="50" t="n"/>
      <c r="B141" s="54" t="n"/>
      <c r="C141" s="54" t="n"/>
      <c r="D141" s="55" t="n"/>
      <c r="E141" s="55" t="n"/>
      <c r="F141" s="55" t="n"/>
      <c r="G141" s="55" t="n"/>
      <c r="H141" s="77" t="n"/>
      <c r="I141" s="78" t="n"/>
      <c r="J141" s="55" t="n"/>
      <c r="L141" s="77">
        <f>SUM(L127:L138)</f>
        <v/>
      </c>
      <c r="M141" s="78">
        <f>SUM(M127:M139)</f>
        <v/>
      </c>
    </row>
    <row r="142" ht="16" customHeight="1" s="68">
      <c r="A142" s="56" t="inlineStr">
        <is>
          <t>3 Jahre</t>
        </is>
      </c>
      <c r="B142" s="51" t="inlineStr">
        <is>
          <t>Beta Faktor:</t>
        </is>
      </c>
      <c r="C142" s="49" t="inlineStr">
        <is>
          <t>Kovarianz</t>
        </is>
      </c>
      <c r="D142" s="57">
        <f>H139/36</f>
        <v/>
      </c>
      <c r="E142" s="57">
        <f>D142/D143</f>
        <v/>
      </c>
      <c r="F142" s="55" t="n"/>
      <c r="G142" s="55" t="n"/>
      <c r="H142" s="77" t="n"/>
      <c r="I142" s="78" t="n"/>
    </row>
    <row r="143">
      <c r="A143" s="50" t="n"/>
      <c r="B143" s="51" t="n"/>
      <c r="C143" s="49" t="inlineStr">
        <is>
          <t>Varianz</t>
        </is>
      </c>
      <c r="D143" s="57">
        <f>I139/36</f>
        <v/>
      </c>
      <c r="F143" s="55" t="n"/>
      <c r="G143" s="55" t="n"/>
      <c r="H143" s="77" t="n"/>
      <c r="I143" s="78" t="n"/>
    </row>
    <row r="144">
      <c r="A144" s="50" t="n"/>
      <c r="B144" s="51" t="n"/>
      <c r="F144" s="55" t="n"/>
      <c r="G144" s="55" t="n"/>
      <c r="H144" s="77" t="n"/>
      <c r="I144" s="78" t="n"/>
    </row>
    <row r="145">
      <c r="A145" s="50" t="n"/>
      <c r="B145" s="51" t="inlineStr">
        <is>
          <t>Excel-Formel:</t>
        </is>
      </c>
      <c r="C145" s="57">
        <f>SLOPE((D103:D138),(F103:F138))</f>
        <v/>
      </c>
      <c r="F145" s="55" t="n"/>
      <c r="G145" s="55" t="n"/>
      <c r="H145" s="77" t="n"/>
      <c r="I145" s="78" t="n"/>
    </row>
    <row r="146">
      <c r="A146" s="50" t="n"/>
      <c r="B146" s="51" t="n"/>
      <c r="F146" s="55" t="n"/>
      <c r="G146" s="55" t="n"/>
      <c r="H146" s="77" t="n"/>
      <c r="I146" s="78" t="n"/>
    </row>
    <row r="147">
      <c r="A147" s="50" t="n"/>
      <c r="B147" s="51" t="inlineStr">
        <is>
          <t>Korrelation</t>
        </is>
      </c>
      <c r="C147" s="49">
        <f>CORREL((C14:C49),(C57:C92))</f>
        <v/>
      </c>
      <c r="F147" s="55" t="n"/>
      <c r="G147" s="55" t="n"/>
      <c r="H147" s="77" t="n"/>
      <c r="I147" s="78" t="n"/>
    </row>
    <row r="148">
      <c r="A148" s="50" t="n"/>
      <c r="B148" s="51" t="n"/>
      <c r="F148" s="55" t="n"/>
      <c r="G148" s="55" t="n"/>
      <c r="H148" s="77" t="n"/>
      <c r="I148" s="78" t="n"/>
    </row>
    <row r="149">
      <c r="A149" s="50" t="n"/>
      <c r="B149" s="51" t="inlineStr">
        <is>
          <t>Tracking Error</t>
        </is>
      </c>
      <c r="C149" s="57">
        <f>STDEV(D150,D151,D152,D153,D154,D155,D156,D157,D158,D159,D160,D161,D162,D163,D164,D165,D166,D167,D168,D169,D170,D171,D172,D173,D174,D175,D176,D177,D178,D179,D180,D181,D182,D183,D184,D185)*12^0.5</f>
        <v/>
      </c>
      <c r="D149" s="49" t="inlineStr">
        <is>
          <t>Differenz Rendite</t>
        </is>
      </c>
      <c r="E149" s="49" t="n"/>
      <c r="F149" s="55" t="n"/>
      <c r="G149" s="55" t="n"/>
      <c r="H149" s="77" t="n"/>
      <c r="I149" s="78" t="n"/>
    </row>
    <row r="150">
      <c r="A150" s="50" t="n"/>
      <c r="B150" s="51" t="n"/>
      <c r="D150" s="55">
        <f>C14-C57</f>
        <v/>
      </c>
      <c r="E150" s="55" t="n"/>
      <c r="F150" s="55" t="n"/>
      <c r="G150" s="55" t="n"/>
      <c r="H150" s="77" t="n"/>
      <c r="I150" s="78" t="n"/>
    </row>
    <row r="151">
      <c r="A151" s="50" t="n"/>
      <c r="B151" s="51" t="n"/>
      <c r="D151" s="55">
        <f>C15-C58</f>
        <v/>
      </c>
      <c r="E151" s="55" t="n"/>
      <c r="F151" s="55" t="n"/>
      <c r="G151" s="55" t="n"/>
      <c r="H151" s="77" t="n"/>
      <c r="I151" s="78" t="n"/>
    </row>
    <row r="152">
      <c r="A152" s="50" t="n"/>
      <c r="B152" s="51" t="n"/>
      <c r="D152" s="55">
        <f>C16-C59</f>
        <v/>
      </c>
      <c r="E152" s="55" t="n"/>
      <c r="F152" s="55" t="n"/>
      <c r="G152" s="55" t="n"/>
      <c r="H152" s="77" t="n"/>
      <c r="I152" s="78" t="n"/>
    </row>
    <row r="153">
      <c r="A153" s="50" t="n"/>
      <c r="B153" s="51" t="n"/>
      <c r="D153" s="55">
        <f>C17-C60</f>
        <v/>
      </c>
      <c r="E153" s="55" t="n"/>
      <c r="F153" s="55" t="n"/>
      <c r="G153" s="55" t="n"/>
      <c r="H153" s="77" t="n"/>
      <c r="I153" s="78" t="n"/>
    </row>
    <row r="154">
      <c r="A154" s="50" t="n"/>
      <c r="B154" s="51" t="n"/>
      <c r="D154" s="55">
        <f>C18-C61</f>
        <v/>
      </c>
      <c r="E154" s="55" t="n"/>
      <c r="F154" s="55" t="n"/>
      <c r="G154" s="55" t="n"/>
      <c r="H154" s="77" t="n"/>
      <c r="I154" s="78" t="n"/>
    </row>
    <row r="155">
      <c r="A155" s="50" t="n"/>
      <c r="B155" s="51" t="n"/>
      <c r="D155" s="55">
        <f>C19-C62</f>
        <v/>
      </c>
      <c r="E155" s="55" t="n"/>
      <c r="F155" s="55" t="n"/>
      <c r="G155" s="55" t="n"/>
      <c r="H155" s="77" t="n"/>
      <c r="I155" s="78" t="n"/>
    </row>
    <row r="156">
      <c r="A156" s="50" t="n"/>
      <c r="B156" s="51" t="n"/>
      <c r="D156" s="55">
        <f>C20-C63</f>
        <v/>
      </c>
      <c r="E156" s="55" t="n"/>
      <c r="F156" s="55" t="n"/>
      <c r="G156" s="55" t="n"/>
      <c r="H156" s="77" t="n"/>
      <c r="I156" s="78" t="n"/>
    </row>
    <row r="157">
      <c r="A157" s="50" t="n"/>
      <c r="B157" s="51" t="n"/>
      <c r="D157" s="55">
        <f>C21-C64</f>
        <v/>
      </c>
      <c r="E157" s="55" t="n"/>
      <c r="F157" s="55" t="n"/>
      <c r="G157" s="55" t="n"/>
      <c r="H157" s="77" t="n"/>
      <c r="I157" s="78" t="n"/>
    </row>
    <row r="158">
      <c r="A158" s="50" t="n"/>
      <c r="B158" s="51" t="n"/>
      <c r="D158" s="55">
        <f>C22-C65</f>
        <v/>
      </c>
      <c r="E158" s="55" t="n"/>
      <c r="F158" s="55" t="n"/>
      <c r="G158" s="55" t="n"/>
      <c r="H158" s="77" t="n"/>
      <c r="I158" s="78" t="n"/>
    </row>
    <row r="159">
      <c r="A159" s="50" t="n"/>
      <c r="B159" s="51" t="n"/>
      <c r="D159" s="55">
        <f>C23-C66</f>
        <v/>
      </c>
      <c r="E159" s="55" t="n"/>
      <c r="F159" s="55" t="n"/>
      <c r="G159" s="55" t="n"/>
      <c r="H159" s="77" t="n"/>
      <c r="I159" s="78" t="n"/>
    </row>
    <row r="160">
      <c r="A160" s="50" t="n"/>
      <c r="B160" s="51" t="n"/>
      <c r="D160" s="55">
        <f>C24-C67</f>
        <v/>
      </c>
      <c r="E160" s="55" t="n"/>
      <c r="F160" s="55" t="n"/>
      <c r="G160" s="55" t="n"/>
      <c r="H160" s="77" t="n"/>
      <c r="I160" s="78" t="n"/>
    </row>
    <row r="161">
      <c r="A161" s="50" t="n"/>
      <c r="B161" s="51" t="n"/>
      <c r="D161" s="55">
        <f>C25-C68</f>
        <v/>
      </c>
      <c r="E161" s="55" t="n"/>
      <c r="F161" s="55" t="n"/>
      <c r="G161" s="55" t="n"/>
      <c r="H161" s="77" t="n"/>
      <c r="I161" s="78" t="n"/>
    </row>
    <row r="162">
      <c r="A162" s="50" t="n"/>
      <c r="B162" s="51" t="n"/>
      <c r="D162" s="55">
        <f>C26-C69</f>
        <v/>
      </c>
      <c r="E162" s="55" t="n"/>
      <c r="F162" s="55" t="n"/>
      <c r="G162" s="55" t="n"/>
      <c r="H162" s="77" t="n"/>
      <c r="I162" s="78" t="n"/>
    </row>
    <row r="163">
      <c r="A163" s="50" t="n"/>
      <c r="B163" s="51" t="n"/>
      <c r="D163" s="55">
        <f>C27-C70</f>
        <v/>
      </c>
      <c r="E163" s="55" t="n"/>
      <c r="F163" s="55" t="n"/>
      <c r="G163" s="55" t="n"/>
      <c r="H163" s="77" t="n"/>
      <c r="I163" s="78" t="n"/>
    </row>
    <row r="164">
      <c r="A164" s="50" t="n"/>
      <c r="B164" s="51" t="n"/>
      <c r="D164" s="55">
        <f>C28-C71</f>
        <v/>
      </c>
      <c r="E164" s="55" t="n"/>
      <c r="F164" s="55" t="n"/>
      <c r="G164" s="55" t="n"/>
      <c r="H164" s="77" t="n"/>
      <c r="I164" s="78" t="n"/>
    </row>
    <row r="165">
      <c r="A165" s="50" t="n"/>
      <c r="B165" s="51" t="n"/>
      <c r="D165" s="55">
        <f>C29-C72</f>
        <v/>
      </c>
      <c r="E165" s="55" t="n"/>
      <c r="F165" s="55" t="n"/>
      <c r="G165" s="55" t="n"/>
      <c r="H165" s="77" t="n"/>
      <c r="I165" s="78" t="n"/>
    </row>
    <row r="166">
      <c r="A166" s="50" t="n"/>
      <c r="B166" s="51" t="n"/>
      <c r="D166" s="55">
        <f>C30-C73</f>
        <v/>
      </c>
      <c r="E166" s="55" t="n"/>
      <c r="F166" s="55" t="n"/>
      <c r="G166" s="55" t="n"/>
      <c r="H166" s="77" t="n"/>
      <c r="I166" s="78" t="n"/>
    </row>
    <row r="167">
      <c r="A167" s="50" t="n"/>
      <c r="B167" s="51" t="n"/>
      <c r="D167" s="55">
        <f>C31-C74</f>
        <v/>
      </c>
      <c r="E167" s="55" t="n"/>
      <c r="F167" s="55" t="n"/>
      <c r="G167" s="55" t="n"/>
      <c r="H167" s="77" t="n"/>
      <c r="I167" s="78" t="n"/>
    </row>
    <row r="168">
      <c r="A168" s="50" t="n"/>
      <c r="B168" s="51" t="n"/>
      <c r="D168" s="55">
        <f>C32-C75</f>
        <v/>
      </c>
      <c r="E168" s="55" t="n"/>
      <c r="F168" s="55" t="n"/>
      <c r="G168" s="55" t="n"/>
      <c r="H168" s="77" t="n"/>
      <c r="I168" s="78" t="n"/>
    </row>
    <row r="169">
      <c r="A169" s="50" t="n"/>
      <c r="B169" s="51" t="n"/>
      <c r="D169" s="55">
        <f>C33-C76</f>
        <v/>
      </c>
      <c r="E169" s="55" t="n"/>
      <c r="F169" s="55" t="n"/>
      <c r="G169" s="55" t="n"/>
      <c r="H169" s="77" t="n"/>
      <c r="I169" s="78" t="n"/>
    </row>
    <row r="170">
      <c r="A170" s="50" t="n"/>
      <c r="B170" s="51" t="n"/>
      <c r="D170" s="55">
        <f>C34-C77</f>
        <v/>
      </c>
      <c r="E170" s="55" t="n"/>
      <c r="F170" s="55" t="n"/>
      <c r="G170" s="55" t="n"/>
      <c r="H170" s="77" t="n"/>
      <c r="I170" s="78" t="n"/>
    </row>
    <row r="171">
      <c r="A171" s="50" t="n"/>
      <c r="B171" s="51" t="n"/>
      <c r="D171" s="55">
        <f>C35-C78</f>
        <v/>
      </c>
      <c r="E171" s="55" t="n"/>
      <c r="F171" s="55" t="n"/>
      <c r="G171" s="55" t="n"/>
      <c r="H171" s="77" t="n"/>
      <c r="I171" s="78" t="n"/>
    </row>
    <row r="172">
      <c r="A172" s="50" t="n"/>
      <c r="B172" s="51" t="n"/>
      <c r="D172" s="55">
        <f>C36-C79</f>
        <v/>
      </c>
      <c r="E172" s="55" t="n"/>
      <c r="F172" s="55" t="n"/>
      <c r="G172" s="55" t="n"/>
      <c r="H172" s="77" t="n"/>
      <c r="I172" s="78" t="n"/>
    </row>
    <row r="173">
      <c r="A173" s="50" t="n"/>
      <c r="B173" s="51" t="n"/>
      <c r="D173" s="55">
        <f>C37-C80</f>
        <v/>
      </c>
      <c r="E173" s="55" t="n"/>
      <c r="F173" s="55" t="n"/>
      <c r="G173" s="55" t="n"/>
      <c r="H173" s="77" t="n"/>
      <c r="I173" s="78" t="n"/>
    </row>
    <row r="174">
      <c r="A174" s="50" t="n"/>
      <c r="B174" s="51" t="n"/>
      <c r="D174" s="55">
        <f>C38-C81</f>
        <v/>
      </c>
      <c r="E174" s="55" t="n"/>
      <c r="F174" s="55" t="n"/>
      <c r="G174" s="55" t="n"/>
      <c r="H174" s="77" t="n"/>
      <c r="I174" s="78" t="n"/>
    </row>
    <row r="175">
      <c r="A175" s="50" t="n"/>
      <c r="B175" s="51" t="n"/>
      <c r="D175" s="55">
        <f>C39-C82</f>
        <v/>
      </c>
      <c r="E175" s="55" t="n"/>
      <c r="F175" s="55" t="n"/>
      <c r="G175" s="55" t="n"/>
      <c r="H175" s="77" t="n"/>
      <c r="I175" s="78" t="n"/>
    </row>
    <row r="176">
      <c r="A176" s="50" t="n"/>
      <c r="B176" s="51" t="n"/>
      <c r="D176" s="55">
        <f>C40-C83</f>
        <v/>
      </c>
      <c r="E176" s="55" t="n"/>
      <c r="F176" s="55" t="n"/>
      <c r="G176" s="55" t="n"/>
      <c r="H176" s="77" t="n"/>
      <c r="I176" s="78" t="n"/>
    </row>
    <row r="177">
      <c r="A177" s="50" t="n"/>
      <c r="B177" s="51" t="n"/>
      <c r="D177" s="55">
        <f>C41-C84</f>
        <v/>
      </c>
      <c r="E177" s="55" t="n"/>
      <c r="F177" s="55" t="n"/>
      <c r="G177" s="55" t="n"/>
      <c r="H177" s="77" t="n"/>
      <c r="I177" s="78" t="n"/>
    </row>
    <row r="178">
      <c r="A178" s="50" t="n"/>
      <c r="B178" s="51" t="n"/>
      <c r="D178" s="55">
        <f>C42-C85</f>
        <v/>
      </c>
      <c r="E178" s="55" t="n"/>
      <c r="F178" s="55" t="n"/>
      <c r="G178" s="55" t="n"/>
      <c r="H178" s="77" t="n"/>
      <c r="I178" s="78" t="n"/>
    </row>
    <row r="179">
      <c r="A179" s="50" t="n"/>
      <c r="B179" s="51" t="n"/>
      <c r="D179" s="55">
        <f>C43-C86</f>
        <v/>
      </c>
      <c r="E179" s="55" t="n"/>
      <c r="F179" s="55" t="n"/>
      <c r="G179" s="55" t="n"/>
      <c r="H179" s="77" t="n"/>
      <c r="I179" s="78" t="n"/>
    </row>
    <row r="180">
      <c r="A180" s="50" t="n"/>
      <c r="B180" s="51" t="n"/>
      <c r="D180" s="55">
        <f>C44-C87</f>
        <v/>
      </c>
      <c r="E180" s="55" t="n"/>
      <c r="F180" s="55" t="n"/>
      <c r="G180" s="55" t="n"/>
      <c r="H180" s="77" t="n"/>
      <c r="I180" s="78" t="n"/>
    </row>
    <row r="181">
      <c r="A181" s="50" t="n"/>
      <c r="B181" s="51" t="n"/>
      <c r="D181" s="55">
        <f>C45-C88</f>
        <v/>
      </c>
      <c r="E181" s="55" t="n"/>
      <c r="F181" s="55" t="n"/>
      <c r="G181" s="55" t="n"/>
      <c r="H181" s="77" t="n"/>
      <c r="I181" s="78" t="n"/>
    </row>
    <row r="182">
      <c r="A182" s="50" t="n"/>
      <c r="B182" s="51" t="n"/>
      <c r="D182" s="55">
        <f>C46-C89</f>
        <v/>
      </c>
      <c r="E182" s="55" t="n"/>
      <c r="F182" s="55" t="n"/>
      <c r="G182" s="55" t="n"/>
      <c r="H182" s="77" t="n"/>
      <c r="I182" s="78" t="n"/>
    </row>
    <row r="183">
      <c r="A183" s="50" t="n"/>
      <c r="B183" s="51" t="n"/>
      <c r="D183" s="55">
        <f>C47-C90</f>
        <v/>
      </c>
      <c r="E183" s="55" t="n"/>
      <c r="F183" s="55" t="n"/>
      <c r="G183" s="55" t="n"/>
      <c r="H183" s="77" t="n"/>
      <c r="I183" s="78" t="n"/>
    </row>
    <row r="184">
      <c r="A184" s="50" t="n"/>
      <c r="B184" s="51" t="n"/>
      <c r="D184" s="55">
        <f>C48-C91</f>
        <v/>
      </c>
      <c r="E184" s="55" t="n"/>
      <c r="F184" s="55" t="n"/>
      <c r="G184" s="55" t="n"/>
      <c r="H184" s="77" t="n"/>
      <c r="I184" s="78" t="n"/>
    </row>
    <row r="185">
      <c r="A185" s="50" t="n"/>
      <c r="B185" s="51" t="n"/>
      <c r="D185" s="55">
        <f>C49-C92</f>
        <v/>
      </c>
      <c r="F185" s="55" t="n"/>
      <c r="G185" s="55" t="n"/>
      <c r="H185" s="77" t="n"/>
      <c r="I185" s="78" t="n"/>
    </row>
    <row r="186">
      <c r="A186" s="50" t="n"/>
      <c r="B186" s="51" t="inlineStr">
        <is>
          <t>Information</t>
        </is>
      </c>
      <c r="D186" s="57">
        <f>(SUM(C14:C49)-SUM(C57:C92))/C149</f>
        <v/>
      </c>
      <c r="F186" s="55" t="n"/>
      <c r="G186" s="55" t="n"/>
      <c r="H186" s="77" t="n"/>
      <c r="I186" s="78" t="n"/>
    </row>
    <row r="187">
      <c r="A187" s="50" t="n"/>
      <c r="B187" s="51" t="n"/>
      <c r="D187" s="55" t="n"/>
      <c r="F187" s="55" t="n"/>
      <c r="G187" s="55" t="n"/>
      <c r="H187" s="77" t="n"/>
      <c r="I187" s="78" t="n"/>
    </row>
    <row r="188">
      <c r="A188" s="50" t="n"/>
      <c r="B188" s="51" t="inlineStr">
        <is>
          <t>Treynor</t>
        </is>
      </c>
      <c r="D188" s="55">
        <f>(SUM(C14:C49)-SUM(C103:C138))/E142</f>
        <v/>
      </c>
      <c r="F188" s="55" t="n"/>
      <c r="G188" s="55" t="n"/>
      <c r="H188" s="77" t="n"/>
      <c r="I188" s="78" t="n"/>
    </row>
    <row r="189">
      <c r="A189" s="50" t="n"/>
      <c r="F189" s="55" t="n"/>
      <c r="G189" s="55" t="n"/>
      <c r="H189" s="77" t="n"/>
      <c r="I189" s="78" t="n"/>
    </row>
    <row r="190">
      <c r="A190" s="50" t="n"/>
      <c r="B190" s="51" t="inlineStr">
        <is>
          <t>Sharpe Ratio</t>
        </is>
      </c>
      <c r="D190" s="55">
        <f>(SUM(C14:C49)-SUM(C103:C138))/E52</f>
        <v/>
      </c>
      <c r="F190" s="55" t="n"/>
      <c r="G190" s="55" t="n"/>
      <c r="H190" s="77" t="n"/>
      <c r="I190" s="78" t="n"/>
    </row>
    <row r="191">
      <c r="A191" s="50" t="n"/>
      <c r="B191" s="54" t="n"/>
      <c r="C191" s="54" t="n"/>
      <c r="D191" s="55" t="n"/>
      <c r="E191" s="55" t="n"/>
      <c r="F191" s="55" t="n"/>
      <c r="G191" s="55" t="n"/>
      <c r="H191" s="77" t="n"/>
      <c r="I191" s="78" t="n"/>
    </row>
    <row r="192">
      <c r="A192" s="54" t="n"/>
      <c r="B192" s="54" t="n"/>
      <c r="C192" s="54" t="n"/>
    </row>
    <row r="193" ht="16" customHeight="1" s="68">
      <c r="A193" s="56" t="inlineStr">
        <is>
          <t>1 Jahr</t>
        </is>
      </c>
      <c r="B193" s="51" t="inlineStr">
        <is>
          <t>Beta Faktor:</t>
        </is>
      </c>
      <c r="C193" s="49" t="inlineStr">
        <is>
          <t>Kovarianz</t>
        </is>
      </c>
      <c r="D193" s="57">
        <f>L141/12</f>
        <v/>
      </c>
      <c r="E193" s="57">
        <f>D193/D194</f>
        <v/>
      </c>
    </row>
    <row r="194">
      <c r="B194" s="51" t="n"/>
      <c r="C194" s="49" t="inlineStr">
        <is>
          <t>Varianz</t>
        </is>
      </c>
      <c r="D194" s="57">
        <f>M141/12</f>
        <v/>
      </c>
    </row>
    <row r="195">
      <c r="B195" s="51" t="n"/>
    </row>
    <row r="196">
      <c r="B196" s="51" t="inlineStr">
        <is>
          <t>Excel-Formel:</t>
        </is>
      </c>
      <c r="C196" s="57">
        <f>SLOPE((D127:D138),(F127:F138))</f>
        <v/>
      </c>
    </row>
    <row r="197">
      <c r="B197" s="51" t="n"/>
    </row>
    <row r="198">
      <c r="B198" s="51" t="inlineStr">
        <is>
          <t>Korrelation</t>
        </is>
      </c>
      <c r="C198" s="57">
        <f>CORREL((C38:C49),(C81:C92))</f>
        <v/>
      </c>
    </row>
    <row r="199">
      <c r="B199" s="51" t="n"/>
    </row>
    <row r="200">
      <c r="B200" s="51" t="inlineStr">
        <is>
          <t>Tracking Error</t>
        </is>
      </c>
      <c r="C200" s="57">
        <f>STDEV(D201,D202,D203,D204,D205,D206,D207,D208,D209,D210,D211,D212)*12^0.5</f>
        <v/>
      </c>
      <c r="D200" s="49" t="inlineStr">
        <is>
          <t>Differenz Rendite</t>
        </is>
      </c>
      <c r="E200" s="49" t="n"/>
      <c r="F200" s="49" t="n"/>
      <c r="G200" s="49" t="n"/>
    </row>
    <row r="201">
      <c r="B201" s="51" t="n"/>
      <c r="D201" s="55">
        <f>C38-C81</f>
        <v/>
      </c>
      <c r="E201" s="55" t="n"/>
      <c r="F201" s="55" t="n"/>
      <c r="G201" s="81" t="n"/>
    </row>
    <row r="202">
      <c r="B202" s="51" t="n"/>
      <c r="D202" s="55">
        <f>C39-C82</f>
        <v/>
      </c>
      <c r="E202" s="55" t="n"/>
      <c r="F202" s="55" t="n"/>
      <c r="G202" s="81" t="n"/>
    </row>
    <row r="203">
      <c r="B203" s="51" t="n"/>
      <c r="D203" s="55">
        <f>C40-C83</f>
        <v/>
      </c>
      <c r="E203" s="55" t="n"/>
      <c r="F203" s="55" t="n"/>
      <c r="G203" s="81" t="n"/>
    </row>
    <row r="204">
      <c r="B204" s="51" t="n"/>
      <c r="D204" s="55">
        <f>C41-C84</f>
        <v/>
      </c>
      <c r="E204" s="55" t="n"/>
      <c r="F204" s="55" t="n"/>
      <c r="G204" s="81" t="n"/>
    </row>
    <row r="205">
      <c r="B205" s="51" t="n"/>
      <c r="D205" s="55">
        <f>C42-C85</f>
        <v/>
      </c>
      <c r="E205" s="55" t="n"/>
      <c r="F205" s="55" t="n"/>
      <c r="G205" s="81" t="n"/>
    </row>
    <row r="206">
      <c r="B206" s="51" t="n"/>
      <c r="D206" s="55">
        <f>C43-C86</f>
        <v/>
      </c>
      <c r="E206" s="55" t="n"/>
      <c r="F206" s="55" t="n"/>
      <c r="G206" s="81" t="n"/>
    </row>
    <row r="207">
      <c r="B207" s="51" t="n"/>
      <c r="D207" s="55">
        <f>C44-C87</f>
        <v/>
      </c>
      <c r="E207" s="55" t="n"/>
      <c r="F207" s="55" t="n"/>
      <c r="G207" s="81" t="n"/>
    </row>
    <row r="208">
      <c r="B208" s="51" t="n"/>
      <c r="D208" s="55">
        <f>C45-C88</f>
        <v/>
      </c>
      <c r="E208" s="55" t="n"/>
      <c r="F208" s="55" t="n"/>
      <c r="G208" s="81" t="n"/>
    </row>
    <row r="209">
      <c r="B209" s="51" t="n"/>
      <c r="D209" s="55">
        <f>C46-C89</f>
        <v/>
      </c>
      <c r="E209" s="55" t="n"/>
      <c r="F209" s="55" t="n"/>
      <c r="G209" s="81" t="n"/>
    </row>
    <row r="210">
      <c r="B210" s="51" t="n"/>
      <c r="D210" s="55">
        <f>C47-C90</f>
        <v/>
      </c>
      <c r="E210" s="55" t="n"/>
      <c r="F210" s="55" t="n"/>
      <c r="G210" s="81" t="n"/>
    </row>
    <row r="211">
      <c r="B211" s="51" t="n"/>
      <c r="D211" s="55">
        <f>C48-C91</f>
        <v/>
      </c>
      <c r="E211" s="55" t="n"/>
      <c r="F211" s="55" t="n"/>
      <c r="G211" s="81" t="n"/>
    </row>
    <row r="212">
      <c r="B212" s="51" t="n"/>
      <c r="D212" s="55">
        <f>C49-C92</f>
        <v/>
      </c>
      <c r="E212" s="55" t="n"/>
      <c r="F212" s="55" t="n"/>
      <c r="G212" s="81" t="n"/>
    </row>
    <row r="213">
      <c r="B213" s="51" t="n"/>
      <c r="D213" s="55" t="n"/>
      <c r="G213" s="81" t="n"/>
    </row>
    <row r="214">
      <c r="B214" s="51" t="inlineStr">
        <is>
          <t>Information</t>
        </is>
      </c>
      <c r="D214" s="57">
        <f>(SUM(C38:C49)-SUM(C81:C92))/C200</f>
        <v/>
      </c>
    </row>
    <row r="215">
      <c r="B215" s="51" t="n"/>
      <c r="D215" s="55" t="n"/>
    </row>
    <row r="216">
      <c r="B216" s="51" t="inlineStr">
        <is>
          <t>Treynor</t>
        </is>
      </c>
      <c r="D216" s="55">
        <f>(SUM(C38:C49)-SUM(C127:C138))/C196</f>
        <v/>
      </c>
    </row>
    <row r="218">
      <c r="B218" s="51" t="inlineStr">
        <is>
          <t>Sharpe Ratio</t>
        </is>
      </c>
      <c r="D218" s="55">
        <f>(SUM(C38:C49)-SUM(C127:C138))/E53</f>
        <v/>
      </c>
    </row>
  </sheetData>
  <pageMargins left="0.7" right="0.7" top="0.787401575" bottom="0.7874015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 fitToPage="1"/>
  </sheetPr>
  <dimension ref="A1:I27"/>
  <sheetViews>
    <sheetView workbookViewId="0">
      <selection activeCell="B31" sqref="B31"/>
    </sheetView>
  </sheetViews>
  <sheetFormatPr baseColWidth="10" defaultRowHeight="15" outlineLevelCol="0"/>
  <cols>
    <col width="14.6640625" customWidth="1" style="68" min="1" max="1"/>
    <col width="37.6640625" customWidth="1" style="68" min="2" max="2"/>
  </cols>
  <sheetData>
    <row r="1">
      <c r="A1" t="inlineStr">
        <is>
          <t>ISIN</t>
        </is>
      </c>
      <c r="B1" t="inlineStr">
        <is>
          <t>Name</t>
        </is>
      </c>
      <c r="C1" t="inlineStr">
        <is>
          <t>1 Monat</t>
        </is>
      </c>
      <c r="D1" t="inlineStr">
        <is>
          <t>3 Monate</t>
        </is>
      </c>
      <c r="E1" t="inlineStr">
        <is>
          <t>1 Jahr</t>
        </is>
      </c>
      <c r="F1" t="inlineStr">
        <is>
          <t>2 Jahre</t>
        </is>
      </c>
      <c r="G1" t="inlineStr">
        <is>
          <t>3 Jahre</t>
        </is>
      </c>
      <c r="H1" t="inlineStr">
        <is>
          <t>5 Jahre</t>
        </is>
      </c>
      <c r="I1" t="inlineStr">
        <is>
          <t>10 Jahre</t>
        </is>
      </c>
    </row>
    <row r="2">
      <c r="A2" t="inlineStr">
        <is>
          <t>GB00B684MW17</t>
        </is>
      </c>
      <c r="B2" t="inlineStr">
        <is>
          <t>Rhodium ETF</t>
        </is>
      </c>
      <c r="C2" s="67" t="n">
        <v>0.2921</v>
      </c>
      <c r="D2" s="67" t="n">
        <v>0.5564</v>
      </c>
      <c r="E2" s="67" t="n">
        <v>1.5144</v>
      </c>
      <c r="F2" s="67" t="n">
        <v>3.687</v>
      </c>
      <c r="G2" s="67" t="n">
        <v>9.710800000000001</v>
      </c>
      <c r="H2" s="67" t="n">
        <v>12.8609</v>
      </c>
    </row>
    <row r="3">
      <c r="A3" t="inlineStr">
        <is>
          <t>CA8787422044</t>
        </is>
      </c>
      <c r="B3" t="inlineStr">
        <is>
          <t>Teck Resources</t>
        </is>
      </c>
      <c r="C3" s="67" t="n">
        <v>0.2026</v>
      </c>
      <c r="D3" s="67" t="n">
        <v>0.3647</v>
      </c>
      <c r="E3" s="67" t="n">
        <v>-0.0973</v>
      </c>
      <c r="F3" s="67" t="n">
        <v>-0.4414</v>
      </c>
      <c r="G3" s="67" t="n">
        <v>-0.34</v>
      </c>
      <c r="H3" s="67" t="n">
        <v>2.0261</v>
      </c>
      <c r="I3" s="67" t="n">
        <v>-0.6722</v>
      </c>
    </row>
    <row r="4">
      <c r="A4" t="inlineStr">
        <is>
          <t>AT0000705678</t>
        </is>
      </c>
      <c r="B4" t="inlineStr">
        <is>
          <t>Erste WWF Stock Environment</t>
        </is>
      </c>
      <c r="C4" s="67" t="n">
        <v>0.035</v>
      </c>
      <c r="D4" s="67" t="n">
        <v>0.2139</v>
      </c>
      <c r="E4" s="67" t="n">
        <v>0.4604</v>
      </c>
      <c r="F4" s="67" t="n">
        <v>0.7537</v>
      </c>
      <c r="G4" s="67" t="n">
        <v>0.8268</v>
      </c>
      <c r="H4" s="67" t="n">
        <v>1.0818</v>
      </c>
      <c r="I4" s="67" t="n">
        <v>1.9196</v>
      </c>
    </row>
    <row r="5">
      <c r="A5" t="inlineStr">
        <is>
          <t>LU0823438733</t>
        </is>
      </c>
      <c r="B5" t="inlineStr">
        <is>
          <t xml:space="preserve">BNP Paribas Funds Green Tigers </t>
        </is>
      </c>
      <c r="C5" s="67" t="n">
        <v>0.026</v>
      </c>
      <c r="D5" s="67" t="n">
        <v>0.1063</v>
      </c>
      <c r="E5" s="67" t="n">
        <v>0.1355</v>
      </c>
      <c r="F5" s="67" t="n">
        <v>0.2154</v>
      </c>
      <c r="G5" s="67" t="n">
        <v>0.1648</v>
      </c>
      <c r="H5" s="67" t="n">
        <v>0.4588</v>
      </c>
    </row>
    <row r="6">
      <c r="A6" t="inlineStr">
        <is>
          <t>JP3402600005</t>
        </is>
      </c>
      <c r="B6" t="inlineStr">
        <is>
          <t>Sumitomo Metal Mining Co., Ltd.</t>
        </is>
      </c>
      <c r="C6" s="67" t="n">
        <v>0.0236</v>
      </c>
      <c r="D6" s="67" t="n">
        <v>0.1066</v>
      </c>
      <c r="E6" s="67" t="n">
        <v>-0.0288</v>
      </c>
      <c r="F6" s="67" t="n">
        <v>-0.07340000000000001</v>
      </c>
      <c r="G6" s="67" t="n">
        <v>0.0048</v>
      </c>
      <c r="H6" s="67" t="n">
        <v>0.3344</v>
      </c>
      <c r="I6" s="67" t="n">
        <v>0.2301</v>
      </c>
    </row>
    <row r="7">
      <c r="A7" t="inlineStr">
        <is>
          <t>LU0384406327</t>
        </is>
      </c>
      <c r="B7" t="inlineStr">
        <is>
          <t>VONTOBEL GL.FUT.RES. Fonds</t>
        </is>
      </c>
      <c r="C7" s="67" t="n">
        <v>0.0235</v>
      </c>
      <c r="D7" s="67" t="n">
        <v>0.1655</v>
      </c>
      <c r="E7" s="67" t="n">
        <v>-0.0259</v>
      </c>
      <c r="F7" s="67" t="n">
        <v>-0.1422</v>
      </c>
      <c r="G7" s="67" t="n">
        <v>-0.0997</v>
      </c>
      <c r="H7" s="67" t="n">
        <v>0.0061</v>
      </c>
      <c r="I7" s="67" t="n">
        <v>0.1827</v>
      </c>
    </row>
    <row r="8">
      <c r="A8" t="inlineStr">
        <is>
          <t>BE0175479063</t>
        </is>
      </c>
      <c r="B8" t="inlineStr">
        <is>
          <t>KBC Eco Water Fonds</t>
        </is>
      </c>
      <c r="C8" s="67" t="n">
        <v>0.0233</v>
      </c>
      <c r="D8" s="67" t="n">
        <v>0.0546</v>
      </c>
      <c r="E8" s="67" t="n">
        <v>0.0183</v>
      </c>
      <c r="F8" s="67" t="n">
        <v>0.1213</v>
      </c>
      <c r="G8" s="67" t="n">
        <v>0.1668</v>
      </c>
      <c r="H8" s="67" t="n">
        <v>0.4875</v>
      </c>
      <c r="I8" s="67" t="n">
        <v>1.7123</v>
      </c>
    </row>
    <row r="9">
      <c r="A9" t="inlineStr">
        <is>
          <t>LU0199356550</t>
        </is>
      </c>
      <c r="B9" t="inlineStr">
        <is>
          <t>SAM Smart Ernergy Fonds</t>
        </is>
      </c>
      <c r="C9" s="67" t="n">
        <v>0.0215</v>
      </c>
      <c r="D9" s="67" t="n">
        <v>0.08400000000000001</v>
      </c>
      <c r="E9" s="67" t="n">
        <v>0.2171</v>
      </c>
      <c r="F9" s="67" t="n">
        <v>0.4457</v>
      </c>
      <c r="G9" s="67" t="n">
        <v>0.5149</v>
      </c>
      <c r="H9" s="67" t="n">
        <v>1.1146</v>
      </c>
      <c r="I9" s="67" t="n">
        <v>1.1065</v>
      </c>
    </row>
    <row r="10">
      <c r="A10" t="inlineStr">
        <is>
          <t>LU1883318666</t>
        </is>
      </c>
      <c r="B10" t="inlineStr">
        <is>
          <t>Amundi Funds Global Ecology</t>
        </is>
      </c>
      <c r="C10" s="67" t="n">
        <v>0.0214</v>
      </c>
      <c r="D10" s="67" t="n">
        <v>0.1074</v>
      </c>
      <c r="E10" s="67" t="n">
        <v>0.0882</v>
      </c>
      <c r="F10" s="67" t="n">
        <v>0.1121</v>
      </c>
      <c r="G10" s="67" t="n">
        <v>0.1694</v>
      </c>
      <c r="H10" s="67" t="n">
        <v>0.4203</v>
      </c>
      <c r="I10" s="67" t="n">
        <v>0.7926</v>
      </c>
    </row>
    <row r="11">
      <c r="A11" t="inlineStr">
        <is>
          <t>LU0805493342</t>
        </is>
      </c>
      <c r="B11" t="inlineStr">
        <is>
          <t>SAM Sustainable Health</t>
        </is>
      </c>
      <c r="C11" s="67" t="n">
        <v>0.0125</v>
      </c>
      <c r="D11" s="67" t="n">
        <v>0.015</v>
      </c>
      <c r="E11" s="67" t="n">
        <v>0.0193</v>
      </c>
      <c r="F11" s="67" t="n">
        <v>0.138</v>
      </c>
      <c r="G11" s="67" t="n">
        <v>0.3005</v>
      </c>
      <c r="H11" s="67" t="n">
        <v>0.4327</v>
      </c>
    </row>
    <row r="12">
      <c r="A12" t="inlineStr">
        <is>
          <t>DE000A0KRJU0</t>
        </is>
      </c>
      <c r="B12" t="inlineStr">
        <is>
          <t>Kupfer ETF</t>
        </is>
      </c>
      <c r="C12" s="67" t="n">
        <v>0.0094</v>
      </c>
      <c r="D12" s="67" t="n">
        <v>0.0485</v>
      </c>
      <c r="E12" s="67" t="n">
        <v>0.0664</v>
      </c>
      <c r="F12" s="67" t="n">
        <v>0.031</v>
      </c>
      <c r="G12" s="67" t="n">
        <v>-0.0171</v>
      </c>
      <c r="H12" s="67" t="n">
        <v>0.1135</v>
      </c>
      <c r="I12" s="67" t="n">
        <v>-0.2312</v>
      </c>
    </row>
    <row r="13">
      <c r="A13" t="inlineStr">
        <is>
          <t>GB00B64TSB19</t>
        </is>
      </c>
      <c r="B13" t="inlineStr">
        <is>
          <t>First State Global EM Sustain</t>
        </is>
      </c>
      <c r="C13" s="67" t="n">
        <v>0.0072</v>
      </c>
      <c r="D13" s="67" t="n">
        <v>0.0663</v>
      </c>
      <c r="E13" s="67" t="n">
        <v>-0.0003</v>
      </c>
      <c r="F13" s="67" t="n">
        <v>0.1009</v>
      </c>
      <c r="G13" s="67" t="n">
        <v>0.1366</v>
      </c>
      <c r="H13" s="67" t="n">
        <v>0.3413</v>
      </c>
      <c r="I13" s="67" t="n">
        <v>0.9877</v>
      </c>
    </row>
    <row r="14">
      <c r="A14" t="inlineStr">
        <is>
          <t>LU0175575991</t>
        </is>
      </c>
      <c r="B14" t="inlineStr">
        <is>
          <t>SAM Smart Materials Fonds</t>
        </is>
      </c>
      <c r="C14" s="67" t="n">
        <v>0.0071</v>
      </c>
      <c r="D14" s="67" t="n">
        <v>0.0589</v>
      </c>
      <c r="E14" s="67" t="n">
        <v>0.0354</v>
      </c>
      <c r="F14" s="67" t="n">
        <v>-0.0403</v>
      </c>
      <c r="G14" s="67" t="n">
        <v>0.0237</v>
      </c>
      <c r="H14" s="67" t="n">
        <v>0.519</v>
      </c>
      <c r="I14" s="67" t="n">
        <v>1.201</v>
      </c>
    </row>
    <row r="15">
      <c r="A15" t="inlineStr">
        <is>
          <t>LU0448837087</t>
        </is>
      </c>
      <c r="B15" t="inlineStr">
        <is>
          <t>Pictet Timber</t>
        </is>
      </c>
      <c r="C15" s="67" t="n">
        <v>0.0036</v>
      </c>
      <c r="D15" s="67" t="n">
        <v>0.1388</v>
      </c>
      <c r="E15" s="67" t="n">
        <v>0.0757</v>
      </c>
      <c r="F15" s="67" t="n">
        <v>-0.0158</v>
      </c>
      <c r="G15" s="67" t="n">
        <v>0.09130000000000001</v>
      </c>
      <c r="H15" s="67" t="n">
        <v>0.6562</v>
      </c>
      <c r="I15" s="67" t="n">
        <v>0.1088</v>
      </c>
    </row>
    <row r="16">
      <c r="A16" t="inlineStr">
        <is>
          <t>JE00B2QY0H68</t>
        </is>
      </c>
      <c r="B16" t="inlineStr">
        <is>
          <t>Zinn ETF</t>
        </is>
      </c>
      <c r="C16" s="67" t="n">
        <v>-0.0022</v>
      </c>
      <c r="D16" s="67" t="n">
        <v>-0.008200000000000001</v>
      </c>
      <c r="E16" s="67" t="n">
        <v>0.02</v>
      </c>
      <c r="F16" s="67" t="n">
        <v>-0.0635</v>
      </c>
      <c r="G16" s="67" t="n">
        <v>-0.091</v>
      </c>
    </row>
    <row r="17">
      <c r="A17" t="inlineStr">
        <is>
          <t>DE0009847343</t>
        </is>
      </c>
      <c r="B17" t="inlineStr">
        <is>
          <t>TerrAssisi AMI</t>
        </is>
      </c>
      <c r="C17" s="67" t="n">
        <v>-0.0149</v>
      </c>
      <c r="D17" s="67" t="n">
        <v>0.034</v>
      </c>
      <c r="E17" s="67" t="n">
        <v>0.0727</v>
      </c>
      <c r="F17" s="67" t="n">
        <v>0.1155</v>
      </c>
      <c r="G17" s="67" t="n">
        <v>0.2433</v>
      </c>
      <c r="H17" s="67" t="n">
        <v>0.5123</v>
      </c>
      <c r="I17" s="67" t="n">
        <v>1.71</v>
      </c>
    </row>
    <row r="18">
      <c r="A18" t="inlineStr">
        <is>
          <t>LU0950589498</t>
        </is>
      </c>
      <c r="B18" t="inlineStr">
        <is>
          <t>JSS OekoSar Equity</t>
        </is>
      </c>
      <c r="C18" s="67" t="n">
        <v>-0.0283</v>
      </c>
      <c r="D18" s="67" t="n">
        <v>0.0441</v>
      </c>
      <c r="E18" s="67" t="n">
        <v>0.1065</v>
      </c>
      <c r="F18" s="67" t="n">
        <v>0.2368</v>
      </c>
      <c r="G18" s="67" t="n">
        <v>0.4619</v>
      </c>
      <c r="H18" s="67" t="n">
        <v>0.6577</v>
      </c>
    </row>
    <row r="19">
      <c r="A19" t="inlineStr">
        <is>
          <t>SE0006425815</t>
        </is>
      </c>
      <c r="B19" t="inlineStr">
        <is>
          <t>Powercell Sweden</t>
        </is>
      </c>
      <c r="C19" s="67" t="n">
        <v>-0.0349</v>
      </c>
      <c r="D19" s="67" t="n">
        <v>-0.2239</v>
      </c>
      <c r="E19" s="67" t="n">
        <v>1.207</v>
      </c>
      <c r="F19" s="67" t="n">
        <v>5.4498</v>
      </c>
    </row>
    <row r="20">
      <c r="A20" t="inlineStr">
        <is>
          <t>GB0000456144</t>
        </is>
      </c>
      <c r="B20" t="inlineStr">
        <is>
          <t>Antofagasta plc</t>
        </is>
      </c>
      <c r="C20" s="67" t="n">
        <v>-0.047</v>
      </c>
      <c r="D20" s="67" t="n">
        <v>0.0992</v>
      </c>
      <c r="E20" s="67" t="n">
        <v>0.1464</v>
      </c>
      <c r="F20" s="67" t="n">
        <v>0.1808</v>
      </c>
      <c r="G20" s="67" t="n">
        <v>0.06950000000000001</v>
      </c>
      <c r="H20" s="67" t="n">
        <v>1.0259</v>
      </c>
      <c r="I20" s="67" t="n">
        <v>-0.1867</v>
      </c>
    </row>
    <row r="21">
      <c r="A21" t="inlineStr">
        <is>
          <t>JE00B1VS2W53</t>
        </is>
      </c>
      <c r="B21" t="inlineStr">
        <is>
          <t>Platin ETFS</t>
        </is>
      </c>
      <c r="C21" s="67" t="n">
        <v>-0.0516</v>
      </c>
      <c r="D21" s="67" t="n">
        <v>0.0176</v>
      </c>
      <c r="E21" s="67" t="n">
        <v>-0.1015</v>
      </c>
      <c r="F21" s="67" t="n">
        <v>0.08890000000000001</v>
      </c>
      <c r="G21" s="67" t="n">
        <v>-0.0286</v>
      </c>
      <c r="H21" s="67" t="n">
        <v>-0.065</v>
      </c>
    </row>
    <row r="22">
      <c r="A22" t="inlineStr">
        <is>
          <t>US6516391066</t>
        </is>
      </c>
      <c r="B22" t="inlineStr">
        <is>
          <t>Newmont Mining Corporation</t>
        </is>
      </c>
      <c r="C22" s="67" t="n">
        <v>-0.0569</v>
      </c>
      <c r="D22" s="67" t="n">
        <v>0.0357</v>
      </c>
      <c r="E22" s="67" t="n">
        <v>0.6919999999999999</v>
      </c>
      <c r="F22" s="67" t="n">
        <v>1.0939</v>
      </c>
      <c r="G22" s="67" t="n">
        <v>0.6942</v>
      </c>
      <c r="H22" s="67" t="n">
        <v>3.012</v>
      </c>
      <c r="I22" s="67" t="n">
        <v>-0.002</v>
      </c>
    </row>
    <row r="23">
      <c r="A23" t="inlineStr">
        <is>
          <t>IE00B43VDT70</t>
        </is>
      </c>
      <c r="B23" t="inlineStr">
        <is>
          <t>P-ETC Silber</t>
        </is>
      </c>
      <c r="C23" s="67" t="n">
        <v>-0.08599999999999999</v>
      </c>
      <c r="D23" s="67" t="n">
        <v>0.2396</v>
      </c>
      <c r="E23" s="67" t="n">
        <v>0.291</v>
      </c>
      <c r="F23" s="67" t="n">
        <v>0.5924</v>
      </c>
      <c r="G23" s="67" t="n">
        <v>0.3915</v>
      </c>
      <c r="H23" s="67" t="n">
        <v>0.5366</v>
      </c>
    </row>
    <row r="24">
      <c r="A24" t="inlineStr">
        <is>
          <t>RU000A0JNAA8</t>
        </is>
      </c>
      <c r="B24" t="inlineStr">
        <is>
          <t>Polyus Gold</t>
        </is>
      </c>
      <c r="C24" s="67" t="n">
        <v>-0.0929</v>
      </c>
      <c r="D24" s="67" t="n">
        <v>0.3573</v>
      </c>
      <c r="E24" s="67" t="n">
        <v>1.1595</v>
      </c>
      <c r="F24" s="67" t="n">
        <v>2.9858</v>
      </c>
      <c r="G24" s="67" t="n">
        <v>2.6634</v>
      </c>
      <c r="H24" s="67" t="n">
        <v>4.6972</v>
      </c>
      <c r="I24" s="67" t="n">
        <v>10.822</v>
      </c>
    </row>
    <row r="25">
      <c r="A25" t="inlineStr">
        <is>
          <t>DE000A1E0HS6</t>
        </is>
      </c>
      <c r="B25" t="inlineStr">
        <is>
          <t>Silber ETF</t>
        </is>
      </c>
      <c r="C25" s="67" t="n">
        <v>-0.1356</v>
      </c>
      <c r="D25" s="67" t="n">
        <v>0.268</v>
      </c>
      <c r="E25" s="67" t="n">
        <v>0.2682</v>
      </c>
      <c r="F25" s="67" t="n">
        <v>0.6009</v>
      </c>
      <c r="G25" s="67" t="n">
        <v>0.402</v>
      </c>
      <c r="H25" s="67" t="n">
        <v>0.5085</v>
      </c>
      <c r="I25" s="67" t="n">
        <v>0.2018</v>
      </c>
    </row>
    <row r="26">
      <c r="A26" t="inlineStr">
        <is>
          <t>NO0010081235</t>
        </is>
      </c>
      <c r="B26" t="inlineStr">
        <is>
          <t>NEL ASA NOK</t>
        </is>
      </c>
      <c r="C26" s="67" t="n">
        <v>-0.2038</v>
      </c>
      <c r="D26" s="67" t="n">
        <v>-0.041</v>
      </c>
      <c r="E26" s="67" t="n">
        <v>1.1357</v>
      </c>
      <c r="F26" s="67" t="n">
        <v>3.413</v>
      </c>
      <c r="G26" s="67" t="n">
        <v>5.6294</v>
      </c>
      <c r="H26" s="67" t="n">
        <v>8.212400000000001</v>
      </c>
      <c r="I26" s="67" t="n">
        <v>-0.1893</v>
      </c>
    </row>
    <row r="27">
      <c r="A27" t="inlineStr">
        <is>
          <t>BE0974320526</t>
        </is>
      </c>
      <c r="B27" t="inlineStr">
        <is>
          <t>UMICORE SA</t>
        </is>
      </c>
      <c r="C27" s="67" t="n">
        <v>-0.2214</v>
      </c>
      <c r="D27" s="67" t="n">
        <v>-0.1291</v>
      </c>
      <c r="E27" s="67" t="n">
        <v>0.0767</v>
      </c>
      <c r="F27" s="67" t="n">
        <v>-0.2434</v>
      </c>
      <c r="G27" s="67" t="n">
        <v>0.0485</v>
      </c>
      <c r="H27" s="67" t="n">
        <v>1.1304</v>
      </c>
      <c r="I27" s="67" t="n">
        <v>1.3249</v>
      </c>
    </row>
  </sheetData>
  <pageMargins left="0.7086614173228347" right="0.7086614173228347" top="0.7874015748031497" bottom="0.7874015748031497" header="0.3149606299212598" footer="0.3149606299212598"/>
  <pageSetup orientation="landscape" paperSize="9" scale="6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I36"/>
  <sheetViews>
    <sheetView workbookViewId="0">
      <selection activeCell="B34" sqref="B34"/>
    </sheetView>
  </sheetViews>
  <sheetFormatPr baseColWidth="10" defaultColWidth="10" defaultRowHeight="15" outlineLevelCol="0"/>
  <cols>
    <col width="16.1640625" customWidth="1" style="68" min="1" max="1"/>
    <col width="50.5" customWidth="1" style="68" min="2" max="2"/>
    <col width="9.83203125" customWidth="1" style="68" min="3" max="3"/>
    <col width="12.6640625" customWidth="1" style="68" min="4" max="4"/>
    <col width="17.33203125" customWidth="1" style="68" min="5" max="5"/>
    <col width="13.33203125" customWidth="1" style="68" min="6" max="6"/>
    <col width="20.5" customWidth="1" style="68" min="7" max="7"/>
    <col width="11.1640625" bestFit="1" customWidth="1" style="68" min="8" max="8"/>
    <col width="10" customWidth="1" style="68" min="9" max="24"/>
    <col width="10" customWidth="1" style="68" min="25" max="16384"/>
  </cols>
  <sheetData>
    <row r="1" ht="16" customHeight="1" s="68">
      <c r="A1" t="inlineStr">
        <is>
          <t>Wertpapier</t>
        </is>
      </c>
      <c r="B1" t="inlineStr">
        <is>
          <t>Spalte1</t>
        </is>
      </c>
      <c r="C1" t="inlineStr">
        <is>
          <t>Währung</t>
        </is>
      </c>
      <c r="D1" t="inlineStr">
        <is>
          <t>Stückzahl</t>
        </is>
      </c>
      <c r="E1" t="inlineStr">
        <is>
          <t>Einstandspreis</t>
        </is>
      </c>
      <c r="F1" t="inlineStr">
        <is>
          <t>Marktpreis</t>
        </is>
      </c>
      <c r="G1" t="inlineStr">
        <is>
          <t>Bewertungsbetrag</t>
        </is>
      </c>
      <c r="H1" s="69" t="inlineStr">
        <is>
          <t>Anteil</t>
        </is>
      </c>
      <c r="I1" s="69" t="inlineStr">
        <is>
          <t>Liqui</t>
        </is>
      </c>
    </row>
    <row r="2">
      <c r="A2" s="70" t="inlineStr">
        <is>
          <t>LI48 0881 2105 0156 4000 0</t>
        </is>
      </c>
      <c r="B2" s="71" t="n"/>
      <c r="C2" s="71" t="inlineStr">
        <is>
          <t>EUR</t>
        </is>
      </c>
      <c r="D2" s="71" t="n"/>
      <c r="E2" s="72" t="n">
        <v>33479.1</v>
      </c>
      <c r="G2" s="73">
        <f>Table3[[#This Row],[Einstandspreis]]</f>
        <v/>
      </c>
      <c r="H2" s="74">
        <f>Table3[[#This Row],[Bewertungsbetrag]]/Table3[[#Totals],[Bewertungsbetrag]]</f>
        <v/>
      </c>
      <c r="I2" s="71" t="n"/>
    </row>
    <row r="3">
      <c r="A3" s="70" t="inlineStr">
        <is>
          <t>LI21 0881 2105 0156 4000 1</t>
        </is>
      </c>
      <c r="B3" s="71" t="n"/>
      <c r="C3" s="71" t="inlineStr">
        <is>
          <t>USD</t>
        </is>
      </c>
      <c r="D3" s="71" t="n"/>
      <c r="E3" s="72" t="n">
        <v>525</v>
      </c>
      <c r="G3" s="73">
        <f>[1]Overview!D9</f>
        <v/>
      </c>
      <c r="H3" s="74">
        <f>Table3[[#This Row],[Bewertungsbetrag]]/Table3[[#Totals],[Bewertungsbetrag]]</f>
        <v/>
      </c>
      <c r="I3" s="71" t="n"/>
    </row>
    <row r="4">
      <c r="A4" s="70" t="inlineStr">
        <is>
          <t>LI37 0881 2105 0156 4000 4</t>
        </is>
      </c>
      <c r="B4" s="71" t="n"/>
      <c r="C4" s="71" t="inlineStr">
        <is>
          <t>GBP</t>
        </is>
      </c>
      <c r="D4" s="71" t="n"/>
      <c r="E4" s="72" t="n">
        <v>3065.55</v>
      </c>
      <c r="G4" s="73">
        <f>[1]Overview!E9</f>
        <v/>
      </c>
      <c r="H4" s="74">
        <f>Table3[[#This Row],[Bewertungsbetrag]]/Table3[[#Totals],[Bewertungsbetrag]]</f>
        <v/>
      </c>
      <c r="I4" s="71" t="n"/>
    </row>
    <row r="5">
      <c r="A5" s="70" t="inlineStr">
        <is>
          <t>LI91 0881 2105 0156 4000 2</t>
        </is>
      </c>
      <c r="B5" s="71" t="n"/>
      <c r="C5" s="71" t="inlineStr">
        <is>
          <t>CHF</t>
        </is>
      </c>
      <c r="D5" s="71" t="n"/>
      <c r="E5" s="72" t="n">
        <v>58836.98</v>
      </c>
      <c r="G5" s="73">
        <f>[1]Overview!F9</f>
        <v/>
      </c>
      <c r="H5" s="74">
        <f>Table3[[#This Row],[Bewertungsbetrag]]/Table3[[#Totals],[Bewertungsbetrag]]</f>
        <v/>
      </c>
      <c r="I5" s="71" t="n"/>
    </row>
    <row r="6">
      <c r="A6" s="70" t="inlineStr">
        <is>
          <t>LI64 0881 2105 0156 4000 3</t>
        </is>
      </c>
      <c r="B6" s="71" t="n"/>
      <c r="C6" s="71" t="inlineStr">
        <is>
          <t>NOK</t>
        </is>
      </c>
      <c r="D6" s="71" t="n"/>
      <c r="E6" s="72" t="n">
        <v>0</v>
      </c>
      <c r="G6" s="73" t="n">
        <v>0</v>
      </c>
      <c r="H6" s="74">
        <f>Table3[[#This Row],[Bewertungsbetrag]]/Table3[[#Totals],[Bewertungsbetrag]]</f>
        <v/>
      </c>
      <c r="I6" s="71" t="n"/>
    </row>
    <row r="7">
      <c r="A7" s="70" t="inlineStr">
        <is>
          <t>LI80 0881 2105 0156 4000 6</t>
        </is>
      </c>
      <c r="B7" s="71" t="n"/>
      <c r="C7" s="71" t="inlineStr">
        <is>
          <t>SEK</t>
        </is>
      </c>
      <c r="D7" s="71" t="n"/>
      <c r="E7" s="72" t="n">
        <v>-19.31</v>
      </c>
      <c r="G7" s="73">
        <f>[1]Overview!I9</f>
        <v/>
      </c>
      <c r="H7" s="74">
        <f>Table3[[#This Row],[Bewertungsbetrag]]/Table3[[#Totals],[Bewertungsbetrag]]</f>
        <v/>
      </c>
      <c r="I7" s="71" t="n"/>
    </row>
    <row r="8">
      <c r="A8" s="70" t="inlineStr">
        <is>
          <t>LI10 0881 2105 0156 4000 5</t>
        </is>
      </c>
      <c r="B8" s="71" t="n"/>
      <c r="C8" s="71" t="inlineStr">
        <is>
          <t>HKD</t>
        </is>
      </c>
      <c r="D8" s="71" t="n"/>
      <c r="E8" s="72" t="n">
        <v>0</v>
      </c>
      <c r="G8" s="73" t="n">
        <v>0</v>
      </c>
      <c r="H8" s="74">
        <f>Table3[[#This Row],[Bewertungsbetrag]]/Table3[[#Totals],[Bewertungsbetrag]]</f>
        <v/>
      </c>
      <c r="I8" s="74">
        <f>SUM(H2:H8)</f>
        <v/>
      </c>
    </row>
    <row r="9">
      <c r="A9" t="inlineStr">
        <is>
          <t>BE0974320526</t>
        </is>
      </c>
      <c r="B9" s="70" t="inlineStr">
        <is>
          <t>Umicore  Shs</t>
        </is>
      </c>
      <c r="C9" s="71" t="inlineStr">
        <is>
          <t>EUR</t>
        </is>
      </c>
      <c r="D9" s="72" t="n">
        <v>3000</v>
      </c>
      <c r="E9" s="72" t="n">
        <v>27.1279</v>
      </c>
      <c r="F9" s="72" t="n">
        <v>35.55</v>
      </c>
      <c r="G9" s="72" t="n">
        <v>106650</v>
      </c>
      <c r="H9" s="74">
        <f>Table3[[#This Row],[Bewertungsbetrag]]/Table3[[#Totals],[Bewertungsbetrag]]</f>
        <v/>
      </c>
      <c r="I9" s="71" t="n"/>
    </row>
    <row r="10">
      <c r="A10" t="inlineStr">
        <is>
          <t>GB0000456144</t>
        </is>
      </c>
      <c r="B10" s="70" t="inlineStr">
        <is>
          <t>Antofagasta / Shs</t>
        </is>
      </c>
      <c r="C10" s="71" t="inlineStr">
        <is>
          <t>GBP</t>
        </is>
      </c>
      <c r="D10" s="72" t="n">
        <v>11000</v>
      </c>
      <c r="E10" s="72" t="n">
        <v>6.1527</v>
      </c>
      <c r="F10" s="72" t="n">
        <v>10.235</v>
      </c>
      <c r="G10" s="72" t="n">
        <v>123770.04</v>
      </c>
      <c r="H10" s="74">
        <f>Table3[[#This Row],[Bewertungsbetrag]]/Table3[[#Totals],[Bewertungsbetrag]]</f>
        <v/>
      </c>
      <c r="I10" s="71" t="n"/>
    </row>
    <row r="11">
      <c r="A11" t="inlineStr">
        <is>
          <t>NO0010081235</t>
        </is>
      </c>
      <c r="B11" s="70" t="inlineStr">
        <is>
          <t>NEL ASA Reg. Shs</t>
        </is>
      </c>
      <c r="C11" s="71" t="inlineStr">
        <is>
          <t>NOK</t>
        </is>
      </c>
      <c r="D11" s="72" t="n">
        <v>101182</v>
      </c>
      <c r="E11" s="72" t="n">
        <v>10.2404</v>
      </c>
      <c r="F11" s="72" t="n">
        <v>16.96</v>
      </c>
      <c r="G11" s="72" t="n">
        <v>155102.48</v>
      </c>
      <c r="H11" s="74">
        <f>Table3[[#This Row],[Bewertungsbetrag]]/Table3[[#Totals],[Bewertungsbetrag]]</f>
        <v/>
      </c>
      <c r="I11" s="71" t="n"/>
    </row>
    <row r="12">
      <c r="A12" t="inlineStr">
        <is>
          <t>SE0006425815</t>
        </is>
      </c>
      <c r="B12" s="70" t="inlineStr">
        <is>
          <t>PowerCell Swededen AB Reg. Shs</t>
        </is>
      </c>
      <c r="C12" s="71" t="inlineStr">
        <is>
          <t>SEK</t>
        </is>
      </c>
      <c r="D12" s="72" t="n">
        <v>7000</v>
      </c>
      <c r="E12" s="72" t="n">
        <v>34.1024</v>
      </c>
      <c r="F12" s="72" t="n">
        <v>228.8</v>
      </c>
      <c r="G12" s="72" t="n">
        <v>151896.69</v>
      </c>
      <c r="H12" s="74">
        <f>Table3[[#This Row],[Bewertungsbetrag]]/Table3[[#Totals],[Bewertungsbetrag]]</f>
        <v/>
      </c>
      <c r="I12" s="71" t="n"/>
    </row>
    <row r="13">
      <c r="A13" t="inlineStr">
        <is>
          <t>CA8787422044</t>
        </is>
      </c>
      <c r="B13" s="70" t="inlineStr">
        <is>
          <t>Teck Resources Reg. Shs -B-     - in USD-</t>
        </is>
      </c>
      <c r="C13" s="71" t="inlineStr">
        <is>
          <t>USD</t>
        </is>
      </c>
      <c r="D13" s="72" t="n">
        <v>3000</v>
      </c>
      <c r="E13" s="72" t="n">
        <v>19.3094</v>
      </c>
      <c r="F13" s="72" t="n">
        <v>13.92</v>
      </c>
      <c r="G13" s="72" t="n">
        <v>35698.22</v>
      </c>
      <c r="H13" s="74">
        <f>Table3[[#This Row],[Bewertungsbetrag]]/Table3[[#Totals],[Bewertungsbetrag]]</f>
        <v/>
      </c>
      <c r="I13" s="71" t="n"/>
    </row>
    <row r="14">
      <c r="A14" t="inlineStr">
        <is>
          <t>US6516391066</t>
        </is>
      </c>
      <c r="B14" s="70" t="inlineStr">
        <is>
          <t>Newmont Goldcorp Rg  - in USD -</t>
        </is>
      </c>
      <c r="C14" s="71" t="inlineStr">
        <is>
          <t>USD</t>
        </is>
      </c>
      <c r="D14" s="72" t="n">
        <v>3000</v>
      </c>
      <c r="E14" s="72" t="n">
        <v>25.0185</v>
      </c>
      <c r="F14" s="72" t="n">
        <v>63.45</v>
      </c>
      <c r="G14" s="72" t="n">
        <v>162719.26</v>
      </c>
      <c r="H14" s="74">
        <f>Table3[[#This Row],[Bewertungsbetrag]]/Table3[[#Totals],[Bewertungsbetrag]]</f>
        <v/>
      </c>
      <c r="I14" s="71" t="n"/>
    </row>
    <row r="15">
      <c r="A15" t="inlineStr">
        <is>
          <t>JP3402600005</t>
        </is>
      </c>
      <c r="B15" s="70" t="inlineStr">
        <is>
          <t>Sumitomo Metal Mng  Registered Shs</t>
        </is>
      </c>
      <c r="C15" s="71" t="inlineStr">
        <is>
          <t>JPY</t>
        </is>
      </c>
      <c r="D15" s="72" t="n">
        <v>3500</v>
      </c>
      <c r="E15" s="72" t="n">
        <v>3222.9429</v>
      </c>
      <c r="F15" s="72" t="n">
        <v>3245</v>
      </c>
      <c r="G15" s="72" t="n">
        <v>91843.82000000001</v>
      </c>
      <c r="H15" s="74">
        <f>Table3[[#This Row],[Bewertungsbetrag]]/Table3[[#Totals],[Bewertungsbetrag]]</f>
        <v/>
      </c>
      <c r="I15" s="71" t="n"/>
    </row>
    <row r="16">
      <c r="A16" t="inlineStr">
        <is>
          <t>ZAE000018123</t>
        </is>
      </c>
      <c r="B16" s="70" t="inlineStr">
        <is>
          <t>Gold Fields Ltd Rg. Shs - in CHF -</t>
        </is>
      </c>
      <c r="C16" s="71" t="inlineStr">
        <is>
          <t>CHF</t>
        </is>
      </c>
      <c r="D16" s="72" t="n">
        <v>20000</v>
      </c>
      <c r="E16" s="72" t="n">
        <v>3.3611</v>
      </c>
      <c r="F16" s="72" t="n">
        <v>11.103</v>
      </c>
      <c r="G16" s="72" t="n">
        <v>205506.46</v>
      </c>
      <c r="H16" s="74">
        <f>Table3[[#This Row],[Bewertungsbetrag]]/Table3[[#Totals],[Bewertungsbetrag]]</f>
        <v/>
      </c>
      <c r="I16" s="71" t="n"/>
    </row>
    <row r="17">
      <c r="A17" t="inlineStr">
        <is>
          <t>RU000A0JNAA8</t>
        </is>
      </c>
      <c r="B17" s="70" t="inlineStr">
        <is>
          <t>Polyus</t>
        </is>
      </c>
      <c r="C17" s="71" t="inlineStr">
        <is>
          <t>RUB</t>
        </is>
      </c>
      <c r="D17" s="72" t="n">
        <v>1200</v>
      </c>
      <c r="E17" s="72" t="n">
        <v>4710.72</v>
      </c>
      <c r="F17" s="72" t="n">
        <v>16250</v>
      </c>
      <c r="G17" s="72" t="n">
        <v>214210.36</v>
      </c>
      <c r="H17" s="74">
        <f>Table3[[#This Row],[Bewertungsbetrag]]/Table3[[#Totals],[Bewertungsbetrag]]</f>
        <v/>
      </c>
      <c r="I17" s="71" t="n"/>
    </row>
    <row r="18">
      <c r="A18" t="inlineStr">
        <is>
          <t>LU1883318666</t>
        </is>
      </c>
      <c r="B18" s="70" t="inlineStr">
        <is>
          <t>Amundi Funds II FCP - Global Ecology -A-</t>
        </is>
      </c>
      <c r="C18" s="71" t="inlineStr">
        <is>
          <t>CHF</t>
        </is>
      </c>
      <c r="D18" s="72" t="n">
        <v>300</v>
      </c>
      <c r="E18" s="72" t="n">
        <v>258.2072</v>
      </c>
      <c r="F18" s="72" t="n">
        <v>343.89</v>
      </c>
      <c r="G18" s="72" t="n">
        <v>95476.38</v>
      </c>
      <c r="H18" s="74">
        <f>Table3[[#This Row],[Bewertungsbetrag]]/Table3[[#Totals],[Bewertungsbetrag]]</f>
        <v/>
      </c>
      <c r="I18" s="71" t="n"/>
    </row>
    <row r="19">
      <c r="A19" t="inlineStr">
        <is>
          <t>GB00B64TSB19</t>
        </is>
      </c>
      <c r="B19" s="70" t="inlineStr">
        <is>
          <t>FS Stew EM Sust  Accum.Shs Class -A- EUR</t>
        </is>
      </c>
      <c r="C19" s="71" t="inlineStr">
        <is>
          <t>EUR</t>
        </is>
      </c>
      <c r="D19" s="72" t="n">
        <v>55000</v>
      </c>
      <c r="E19" s="72" t="n">
        <v>2.9255</v>
      </c>
      <c r="F19" s="72" t="n">
        <v>3.748</v>
      </c>
      <c r="G19" s="72" t="n">
        <v>206140</v>
      </c>
      <c r="H19" s="74">
        <f>Table3[[#This Row],[Bewertungsbetrag]]/Table3[[#Totals],[Bewertungsbetrag]]</f>
        <v/>
      </c>
      <c r="I19" s="71" t="n"/>
    </row>
    <row r="20">
      <c r="A20" t="inlineStr">
        <is>
          <t>DE0009847343</t>
        </is>
      </c>
      <c r="B20" s="70" t="inlineStr">
        <is>
          <t>terrAssisi Aktien I AMI  Anteile -P (a)</t>
        </is>
      </c>
      <c r="C20" s="71" t="inlineStr">
        <is>
          <t>EUR</t>
        </is>
      </c>
      <c r="D20" s="72" t="n">
        <v>8500</v>
      </c>
      <c r="E20" s="72" t="n">
        <v>24.235</v>
      </c>
      <c r="F20" s="72" t="n">
        <v>34.39</v>
      </c>
      <c r="G20" s="72" t="n">
        <v>292315</v>
      </c>
      <c r="H20" s="74">
        <f>Table3[[#This Row],[Bewertungsbetrag]]/Table3[[#Totals],[Bewertungsbetrag]]</f>
        <v/>
      </c>
      <c r="I20" s="71" t="n"/>
    </row>
    <row r="21">
      <c r="A21" t="inlineStr">
        <is>
          <t>AT0000705678</t>
        </is>
      </c>
      <c r="B21" s="70" t="inlineStr">
        <is>
          <t>ERSTE  WWF STOCK  ENVIRONMENT FD</t>
        </is>
      </c>
      <c r="C21" s="71" t="inlineStr">
        <is>
          <t>EUR</t>
        </is>
      </c>
      <c r="D21" s="72" t="n">
        <v>1500</v>
      </c>
      <c r="E21" s="72" t="n">
        <v>180.358</v>
      </c>
      <c r="F21" s="72" t="n">
        <v>226.86</v>
      </c>
      <c r="G21" s="72" t="n">
        <v>340290</v>
      </c>
      <c r="H21" s="74">
        <f>Table3[[#This Row],[Bewertungsbetrag]]/Table3[[#Totals],[Bewertungsbetrag]]</f>
        <v/>
      </c>
      <c r="I21" s="71" t="n"/>
    </row>
    <row r="22">
      <c r="A22" t="inlineStr">
        <is>
          <t>LU0805493342</t>
        </is>
      </c>
      <c r="B22" s="70" t="inlineStr">
        <is>
          <t>Multip R Sus HL  Shs -N- Capitalisation</t>
        </is>
      </c>
      <c r="C22" s="71" t="inlineStr">
        <is>
          <t>EUR</t>
        </is>
      </c>
      <c r="D22" s="72" t="n">
        <v>700</v>
      </c>
      <c r="E22" s="72" t="n">
        <v>172.21</v>
      </c>
      <c r="F22" s="72" t="n">
        <v>221.31</v>
      </c>
      <c r="G22" s="72" t="n">
        <v>154917</v>
      </c>
      <c r="H22" s="74">
        <f>Table3[[#This Row],[Bewertungsbetrag]]/Table3[[#Totals],[Bewertungsbetrag]]</f>
        <v/>
      </c>
      <c r="I22" s="71" t="n"/>
    </row>
    <row r="23">
      <c r="A23" t="inlineStr">
        <is>
          <t>LU0823438733</t>
        </is>
      </c>
      <c r="B23" s="70" t="inlineStr">
        <is>
          <t>Parv Gr Tig  Shs -Privilege EUR-Capitalisation</t>
        </is>
      </c>
      <c r="C23" s="71" t="inlineStr">
        <is>
          <t>EUR</t>
        </is>
      </c>
      <c r="D23" s="72" t="n">
        <v>2500</v>
      </c>
      <c r="E23" s="72" t="n">
        <v>123.9777</v>
      </c>
      <c r="F23" s="72" t="n">
        <v>167.89</v>
      </c>
      <c r="G23" s="72" t="n">
        <v>419725</v>
      </c>
      <c r="H23" s="74">
        <f>Table3[[#This Row],[Bewertungsbetrag]]/Table3[[#Totals],[Bewertungsbetrag]]</f>
        <v/>
      </c>
      <c r="I23" s="71" t="n"/>
    </row>
    <row r="24">
      <c r="A24" t="inlineStr">
        <is>
          <t>LU0950589498</t>
        </is>
      </c>
      <c r="B24" s="70" t="inlineStr">
        <is>
          <t>JSS SICAV - JSS OekoSar Equity - GL</t>
        </is>
      </c>
      <c r="C24" s="71" t="inlineStr">
        <is>
          <t>EUR</t>
        </is>
      </c>
      <c r="D24" s="72" t="n">
        <v>1000</v>
      </c>
      <c r="E24" s="72" t="n">
        <v>190.5387</v>
      </c>
      <c r="F24" s="72" t="n">
        <v>254.21</v>
      </c>
      <c r="G24" s="72" t="n">
        <v>254210</v>
      </c>
      <c r="H24" s="74">
        <f>Table3[[#This Row],[Bewertungsbetrag]]/Table3[[#Totals],[Bewertungsbetrag]]</f>
        <v/>
      </c>
      <c r="I24" s="71" t="n"/>
    </row>
    <row r="25">
      <c r="A25" t="inlineStr">
        <is>
          <t>LU0384406327</t>
        </is>
      </c>
      <c r="B25" s="70" t="inlineStr">
        <is>
          <t>Vontobel Fut Re  Shs -I- Capitalisation</t>
        </is>
      </c>
      <c r="C25" s="71" t="inlineStr">
        <is>
          <t>EUR</t>
        </is>
      </c>
      <c r="D25" s="72" t="n">
        <v>1200</v>
      </c>
      <c r="E25" s="72" t="n">
        <v>201.5275</v>
      </c>
      <c r="F25" s="72" t="n">
        <v>189.9</v>
      </c>
      <c r="G25" s="72" t="n">
        <v>227880</v>
      </c>
      <c r="H25" s="74">
        <f>Table3[[#This Row],[Bewertungsbetrag]]/Table3[[#Totals],[Bewertungsbetrag]]</f>
        <v/>
      </c>
      <c r="I25" s="71" t="n"/>
    </row>
    <row r="26">
      <c r="A26" t="inlineStr">
        <is>
          <t>LU0448837087</t>
        </is>
      </c>
      <c r="B26" s="70" t="inlineStr">
        <is>
          <t>Pictet-Timber Shs -I dy GBP-</t>
        </is>
      </c>
      <c r="C26" s="71" t="inlineStr">
        <is>
          <t>GBP</t>
        </is>
      </c>
      <c r="D26" s="72" t="n">
        <v>1500</v>
      </c>
      <c r="E26" s="72" t="n">
        <v>141.79</v>
      </c>
      <c r="F26" s="72" t="n">
        <v>139.04</v>
      </c>
      <c r="G26" s="72" t="n">
        <v>229279.93</v>
      </c>
      <c r="H26" s="74">
        <f>Table3[[#This Row],[Bewertungsbetrag]]/Table3[[#Totals],[Bewertungsbetrag]]</f>
        <v/>
      </c>
      <c r="I26" s="71" t="n"/>
    </row>
    <row r="27">
      <c r="A27" t="inlineStr">
        <is>
          <t>LU0175575991</t>
        </is>
      </c>
      <c r="B27" s="70" t="inlineStr">
        <is>
          <t>Multip R Sm M Shs -B- Capitalisation</t>
        </is>
      </c>
      <c r="C27" s="71" t="inlineStr">
        <is>
          <t>EUR</t>
        </is>
      </c>
      <c r="D27" s="72" t="n">
        <v>750</v>
      </c>
      <c r="E27" s="72" t="n">
        <v>223.7067</v>
      </c>
      <c r="F27" s="72" t="n">
        <v>243.62</v>
      </c>
      <c r="G27" s="72" t="n">
        <v>182715</v>
      </c>
      <c r="H27" s="74">
        <f>Table3[[#This Row],[Bewertungsbetrag]]/Table3[[#Totals],[Bewertungsbetrag]]</f>
        <v/>
      </c>
      <c r="I27" s="71" t="n"/>
    </row>
    <row r="28">
      <c r="A28" t="inlineStr">
        <is>
          <t>BE0175479063</t>
        </is>
      </c>
      <c r="B28" s="70" t="inlineStr">
        <is>
          <t>KBC Eco Fund  SICAV -- Water / Act. Capitalisation</t>
        </is>
      </c>
      <c r="C28" s="71" t="inlineStr">
        <is>
          <t>EUR</t>
        </is>
      </c>
      <c r="D28" s="72" t="n">
        <v>150</v>
      </c>
      <c r="E28" s="72" t="n">
        <v>1360.2367</v>
      </c>
      <c r="F28" s="72" t="n">
        <v>1527.38</v>
      </c>
      <c r="G28" s="72" t="n">
        <v>229107</v>
      </c>
      <c r="H28" s="74">
        <f>Table3[[#This Row],[Bewertungsbetrag]]/Table3[[#Totals],[Bewertungsbetrag]]</f>
        <v/>
      </c>
      <c r="I28" s="71" t="n"/>
    </row>
    <row r="29">
      <c r="A29" t="inlineStr">
        <is>
          <t>LU0199356550</t>
        </is>
      </c>
      <c r="B29" s="70" t="inlineStr">
        <is>
          <t>Multi R Sm En  Shs -C- Capitalisation</t>
        </is>
      </c>
      <c r="C29" s="71" t="inlineStr">
        <is>
          <t>EUR</t>
        </is>
      </c>
      <c r="D29" s="72" t="n">
        <v>4000</v>
      </c>
      <c r="E29" s="72" t="n">
        <v>17.6513</v>
      </c>
      <c r="F29" s="72" t="n">
        <v>38.57</v>
      </c>
      <c r="G29" s="72" t="n">
        <v>154280</v>
      </c>
      <c r="H29" s="74">
        <f>Table3[[#This Row],[Bewertungsbetrag]]/Table3[[#Totals],[Bewertungsbetrag]]</f>
        <v/>
      </c>
      <c r="I29" s="71" t="n"/>
    </row>
    <row r="30">
      <c r="A30" t="inlineStr">
        <is>
          <t>DE000A1E0HS6</t>
        </is>
      </c>
      <c r="B30" s="70" t="inlineStr">
        <is>
          <t>SILBER/DB ETC 60</t>
        </is>
      </c>
      <c r="C30" s="71" t="inlineStr">
        <is>
          <t>USD</t>
        </is>
      </c>
      <c r="D30" s="72" t="n">
        <v>400</v>
      </c>
      <c r="E30" s="72" t="n">
        <v>140.06</v>
      </c>
      <c r="F30" s="72" t="n">
        <v>194.38</v>
      </c>
      <c r="G30" s="72" t="n">
        <v>77752</v>
      </c>
      <c r="H30" s="74">
        <f>Table3[[#This Row],[Bewertungsbetrag]]/Table3[[#Totals],[Bewertungsbetrag]]</f>
        <v/>
      </c>
      <c r="I30" s="71" t="n"/>
    </row>
    <row r="31">
      <c r="A31" t="inlineStr">
        <is>
          <t>DE000A0KRJU0</t>
        </is>
      </c>
      <c r="B31" s="70" t="inlineStr">
        <is>
          <t>ETFS Indiv. Cmdty Sec. witho.f.mat. Copper Cmdty</t>
        </is>
      </c>
      <c r="C31" s="71" t="inlineStr">
        <is>
          <t>USD</t>
        </is>
      </c>
      <c r="D31" s="72" t="n">
        <v>3000</v>
      </c>
      <c r="E31" s="72" t="n">
        <v>21.9743</v>
      </c>
      <c r="F31" s="72" t="n">
        <v>23.204</v>
      </c>
      <c r="G31" s="72" t="n">
        <v>69612</v>
      </c>
      <c r="H31" s="74">
        <f>Table3[[#This Row],[Bewertungsbetrag]]/Table3[[#Totals],[Bewertungsbetrag]]</f>
        <v/>
      </c>
      <c r="I31" s="71" t="n"/>
    </row>
    <row r="32">
      <c r="A32" t="inlineStr">
        <is>
          <t>GB00B684MW17</t>
        </is>
      </c>
      <c r="B32" s="70" t="inlineStr">
        <is>
          <t>DB ETC Physical Rhodium 2011-28.2.61</t>
        </is>
      </c>
      <c r="C32" s="71" t="inlineStr">
        <is>
          <t>USD</t>
        </is>
      </c>
      <c r="D32" s="72" t="n">
        <v>250</v>
      </c>
      <c r="E32" s="72" t="n">
        <v>95.03319999999999</v>
      </c>
      <c r="F32" s="72" t="n">
        <v>1165</v>
      </c>
      <c r="G32" s="72" t="n">
        <v>248972.86</v>
      </c>
      <c r="H32" s="74">
        <f>Table3[[#This Row],[Bewertungsbetrag]]/Table3[[#Totals],[Bewertungsbetrag]]</f>
        <v/>
      </c>
      <c r="I32" s="71" t="n"/>
    </row>
    <row r="33">
      <c r="A33" t="inlineStr">
        <is>
          <t>IE00B43VDT70</t>
        </is>
      </c>
      <c r="B33" s="70" t="inlineStr">
        <is>
          <t>Invesco Physical Markets PLC</t>
        </is>
      </c>
      <c r="C33" s="71" t="inlineStr">
        <is>
          <t>USD</t>
        </is>
      </c>
      <c r="D33" s="72" t="n">
        <v>15000</v>
      </c>
      <c r="E33" s="72" t="n">
        <v>16.43</v>
      </c>
      <c r="F33" s="72" t="n">
        <v>23.0725</v>
      </c>
      <c r="G33" s="72" t="n">
        <v>295850.28</v>
      </c>
      <c r="H33" s="74">
        <f>Table3[[#This Row],[Bewertungsbetrag]]/Table3[[#Totals],[Bewertungsbetrag]]</f>
        <v/>
      </c>
      <c r="I33" s="71" t="n"/>
    </row>
    <row r="34">
      <c r="A34" t="inlineStr">
        <is>
          <t>JE00B1VS2W53</t>
        </is>
      </c>
      <c r="B34" s="70" t="inlineStr">
        <is>
          <t>WisdomTree Metal Securities Limited Reg. Cert 2007-without f</t>
        </is>
      </c>
      <c r="C34" s="71" t="inlineStr">
        <is>
          <t>USD</t>
        </is>
      </c>
      <c r="D34" s="72" t="n">
        <v>2000</v>
      </c>
      <c r="E34" s="72" t="n">
        <v>101.955</v>
      </c>
      <c r="F34" s="72" t="n">
        <v>84.84999999999999</v>
      </c>
      <c r="G34" s="72" t="n">
        <v>145066.76</v>
      </c>
      <c r="H34" s="74">
        <f>Table3[[#This Row],[Bewertungsbetrag]]/Table3[[#Totals],[Bewertungsbetrag]]</f>
        <v/>
      </c>
      <c r="I34" s="71" t="n"/>
    </row>
    <row r="35">
      <c r="A35" t="inlineStr">
        <is>
          <t>JE00B2QY0H68</t>
        </is>
      </c>
      <c r="B35" s="70" t="inlineStr">
        <is>
          <t>ETFS Commodity Sec</t>
        </is>
      </c>
      <c r="C35" s="71" t="inlineStr">
        <is>
          <t>USD</t>
        </is>
      </c>
      <c r="D35" s="72" t="n">
        <v>4800</v>
      </c>
      <c r="E35" s="72" t="n">
        <v>25.9127</v>
      </c>
      <c r="F35" s="72" t="n">
        <v>31.465</v>
      </c>
      <c r="G35" s="72" t="n">
        <v>129108.56</v>
      </c>
      <c r="H35" s="74">
        <f>Table3[[#This Row],[Bewertungsbetrag]]/Table3[[#Totals],[Bewertungsbetrag]]</f>
        <v/>
      </c>
      <c r="I35" s="74">
        <f>SUM(H9:H35)</f>
        <v/>
      </c>
    </row>
    <row r="36">
      <c r="B36" s="71" t="n"/>
      <c r="C36" s="71" t="n"/>
      <c r="D36" s="71" t="n"/>
      <c r="E36" s="71" t="n"/>
      <c r="F36" s="71" t="n"/>
      <c r="G36" s="71">
        <f>SUBTOTAL(109,Table3[Bewertungsbetrag])</f>
        <v/>
      </c>
      <c r="H36" s="74">
        <f>SUBTOTAL(109,Table3[Anteil])</f>
        <v/>
      </c>
      <c r="I36" s="74">
        <f>SUBTOTAL(109,Table3[Anteil])</f>
        <v/>
      </c>
    </row>
  </sheetData>
  <pageMargins left="0.787401575" right="0.787401575" top="0.984251969" bottom="0.984251969" header="0.5" footer="0.5"/>
  <pageSetup orientation="portrait" horizontalDpi="300" verticalDpi="300" copies="0"/>
  <tableParts count="1">
    <tablePart r:id="rId1"/>
  </tableParts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G11"/>
  <sheetViews>
    <sheetView topLeftCell="D1" workbookViewId="0">
      <selection activeCell="F19" sqref="F19"/>
    </sheetView>
  </sheetViews>
  <sheetFormatPr baseColWidth="10" defaultColWidth="8" defaultRowHeight="13" outlineLevelCol="0"/>
  <cols>
    <col width="21.1640625" customWidth="1" style="36" min="1" max="1"/>
    <col width="14.1640625" customWidth="1" style="36" min="2" max="2"/>
    <col width="18.33203125" customWidth="1" style="36" min="3" max="3"/>
    <col width="11.6640625" customWidth="1" style="36" min="4" max="4"/>
    <col width="16.33203125" customWidth="1" style="36" min="5" max="5"/>
    <col width="33" customWidth="1" style="36" min="6" max="6"/>
    <col width="9.1640625" customWidth="1" style="36" min="7" max="7"/>
    <col width="8" customWidth="1" style="35" min="8" max="23"/>
    <col width="8" customWidth="1" style="35" min="24" max="16384"/>
  </cols>
  <sheetData>
    <row r="1">
      <c r="A1" s="34" t="inlineStr">
        <is>
          <t>fund name</t>
        </is>
      </c>
      <c r="B1" s="34" t="inlineStr">
        <is>
          <t>ISIN code</t>
        </is>
      </c>
      <c r="C1" s="34" t="inlineStr">
        <is>
          <t>type of allocation</t>
        </is>
      </c>
      <c r="D1" s="34" t="inlineStr">
        <is>
          <t>date</t>
        </is>
      </c>
      <c r="E1" s="34" t="n"/>
      <c r="F1" s="34" t="inlineStr">
        <is>
          <t>allocation/holding</t>
        </is>
      </c>
      <c r="G1" s="34" t="inlineStr">
        <is>
          <t>% of TNA</t>
        </is>
      </c>
    </row>
    <row r="2">
      <c r="A2" s="36" t="inlineStr">
        <is>
          <t>PREMIUS FONDS VALOR</t>
        </is>
      </c>
      <c r="B2" s="36" t="inlineStr">
        <is>
          <t>LI0038943051</t>
        </is>
      </c>
      <c r="C2" s="36" t="inlineStr">
        <is>
          <t>Fonds</t>
        </is>
      </c>
      <c r="D2" s="37" t="n">
        <v>44104</v>
      </c>
      <c r="E2" s="38">
        <f>INDEX(('Portfolio Valor'!$A$3:$A$36),MATCH(G2,('Portfolio Valor'!$C$3:$C$36),0))</f>
        <v/>
      </c>
      <c r="F2" s="38">
        <f>INDEX(('Portfolio Valor'!$B$2:$B$36),MATCH(G2,('Portfolio Valor'!$C$2:$C$36),0))</f>
        <v/>
      </c>
      <c r="G2" s="38">
        <f>LARGE(('Portfolio Valor'!$C$3:$C$9,'Portfolio Valor'!$C$11:$C$15,'Portfolio Valor'!$C$18:$C$22,'Portfolio Valor'!$C$24,'Portfolio Valor'!$C$26,'Portfolio Valor'!$C$28:$C$31,'Portfolio Valor'!$C$33:$C$35),1)</f>
        <v/>
      </c>
    </row>
    <row r="3">
      <c r="A3" s="36" t="inlineStr">
        <is>
          <t>PREMIUS FONDS VALOR</t>
        </is>
      </c>
      <c r="B3" s="36" t="inlineStr">
        <is>
          <t>LI0038943051</t>
        </is>
      </c>
      <c r="C3" s="36" t="inlineStr">
        <is>
          <t>Fonds</t>
        </is>
      </c>
      <c r="D3" s="39">
        <f>D2</f>
        <v/>
      </c>
      <c r="E3" s="38">
        <f>INDEX(('Portfolio Valor'!$A$3:$A$36),MATCH(G3,('Portfolio Valor'!$C$3:$C$36),0))</f>
        <v/>
      </c>
      <c r="F3" s="38">
        <f>INDEX(('Portfolio Valor'!$B$2:$B$36),MATCH(G3,('Portfolio Valor'!$C$2:$C$36),0))</f>
        <v/>
      </c>
      <c r="G3" s="38">
        <f>LARGE(('Portfolio Valor'!$C$3:$C$9,'Portfolio Valor'!$C$11:$C$15,'Portfolio Valor'!$C$18:$C$22,'Portfolio Valor'!$C$24,'Portfolio Valor'!$C$26,'Portfolio Valor'!$C$28:$C$31,'Portfolio Valor'!$C$33:$C$35),2)</f>
        <v/>
      </c>
    </row>
    <row r="4">
      <c r="A4" s="36" t="inlineStr">
        <is>
          <t>PREMIUS FONDS VALOR</t>
        </is>
      </c>
      <c r="B4" s="36" t="inlineStr">
        <is>
          <t>LI0038943051</t>
        </is>
      </c>
      <c r="C4" s="36" t="inlineStr">
        <is>
          <t>Fonds</t>
        </is>
      </c>
      <c r="D4" s="39">
        <f>D3</f>
        <v/>
      </c>
      <c r="E4" s="38">
        <f>INDEX(('Portfolio Valor'!$A$3:$A$36),MATCH(G4,('Portfolio Valor'!$C$3:$C$36),0))</f>
        <v/>
      </c>
      <c r="F4" s="38">
        <f>INDEX(('Portfolio Valor'!$B$2:$B$36),MATCH(G4,('Portfolio Valor'!$C$2:$C$36),0))</f>
        <v/>
      </c>
      <c r="G4" s="38">
        <f>LARGE(('Portfolio Valor'!$C$3:$C$9,'Portfolio Valor'!$C$11:$C$15,'Portfolio Valor'!$C$18:$C$22,'Portfolio Valor'!$C$24,'Portfolio Valor'!$C$26,'Portfolio Valor'!$C$28:$C$31,'Portfolio Valor'!$C$33:$C$35),3)</f>
        <v/>
      </c>
    </row>
    <row r="5">
      <c r="A5" s="36" t="inlineStr">
        <is>
          <t>PREMIUS FONDS VALOR</t>
        </is>
      </c>
      <c r="B5" s="36" t="inlineStr">
        <is>
          <t>LI0038943051</t>
        </is>
      </c>
      <c r="C5" s="36" t="inlineStr">
        <is>
          <t>Fonds</t>
        </is>
      </c>
      <c r="D5" s="39">
        <f>D4</f>
        <v/>
      </c>
      <c r="E5" s="38">
        <f>INDEX(('Portfolio Valor'!$A$3:$A$36),MATCH(G5,('Portfolio Valor'!$C$3:$C$36),0))</f>
        <v/>
      </c>
      <c r="F5" s="38">
        <f>INDEX(('Portfolio Valor'!$B$2:$B$36),MATCH(G5,('Portfolio Valor'!$C$2:$C$36),0))</f>
        <v/>
      </c>
      <c r="G5" s="38">
        <f>LARGE(('Portfolio Valor'!$C$3:$C$9,'Portfolio Valor'!$C$11:$C$15,'Portfolio Valor'!$C$18:$C$22,'Portfolio Valor'!$C$24,'Portfolio Valor'!$C$26,'Portfolio Valor'!$C$28:$C$31,'Portfolio Valor'!$C$33:$C$35),4)</f>
        <v/>
      </c>
    </row>
    <row r="6">
      <c r="A6" s="36" t="inlineStr">
        <is>
          <t>PREMIUS FONDS VALOR</t>
        </is>
      </c>
      <c r="B6" s="36" t="inlineStr">
        <is>
          <t>LI0038943051</t>
        </is>
      </c>
      <c r="C6" s="36" t="inlineStr">
        <is>
          <t>Fonds</t>
        </is>
      </c>
      <c r="D6" s="39">
        <f>D5</f>
        <v/>
      </c>
      <c r="E6" s="38">
        <f>INDEX(('Portfolio Valor'!$A$3:$A$36),MATCH(G6,('Portfolio Valor'!$C$3:$C$36),0))</f>
        <v/>
      </c>
      <c r="F6" s="38">
        <f>INDEX(('Portfolio Valor'!$B$2:$B$36),MATCH(G6,('Portfolio Valor'!$C$2:$C$36),0))</f>
        <v/>
      </c>
      <c r="G6" s="38">
        <f>LARGE(('Portfolio Valor'!$C$3:$C$9,'Portfolio Valor'!$C$11:$C$15,'Portfolio Valor'!$C$18:$C$22,'Portfolio Valor'!$C$24,'Portfolio Valor'!$C$26,'Portfolio Valor'!$C$28:$C$31,'Portfolio Valor'!$C$33:$C$35),5)</f>
        <v/>
      </c>
    </row>
    <row r="7">
      <c r="A7" s="36" t="inlineStr">
        <is>
          <t>PREMIUS FONDS VALOR</t>
        </is>
      </c>
      <c r="B7" s="36" t="inlineStr">
        <is>
          <t>LI0038943051</t>
        </is>
      </c>
      <c r="C7" s="36" t="inlineStr">
        <is>
          <t>Equity</t>
        </is>
      </c>
      <c r="D7" s="39">
        <f>D6</f>
        <v/>
      </c>
      <c r="E7" s="38">
        <f>INDEX(('Portfolio Valor'!$A$3:$A$36),MATCH(G7,('Portfolio Valor'!$C$3:$C$36),0))</f>
        <v/>
      </c>
      <c r="F7" s="38">
        <f>INDEX(('Portfolio Valor'!$B$2:$B$36),MATCH(G7,('Portfolio Valor'!$C$2:$C$36),0))</f>
        <v/>
      </c>
      <c r="G7" s="38">
        <f>LARGE(('Portfolio Valor'!$C$3:$C$9,'Portfolio Valor'!$C$11:$C$15,'Portfolio Valor'!$C$18:$C$22,'Portfolio Valor'!$C$24,'Portfolio Valor'!$C$26,'Portfolio Valor'!$C$28:$C$31,'Portfolio Valor'!$C$33:$C$35),6)</f>
        <v/>
      </c>
    </row>
    <row r="8">
      <c r="A8" s="36" t="inlineStr">
        <is>
          <t>PREMIUS FONDS VALOR</t>
        </is>
      </c>
      <c r="B8" s="36" t="inlineStr">
        <is>
          <t>LI0038943051</t>
        </is>
      </c>
      <c r="C8" s="36" t="inlineStr">
        <is>
          <t>Fonds</t>
        </is>
      </c>
      <c r="D8" s="39">
        <f>D7</f>
        <v/>
      </c>
      <c r="E8" s="38">
        <f>INDEX(('Portfolio Valor'!$A$3:$A$36),MATCH(G8,('Portfolio Valor'!$C$3:$C$36),0))</f>
        <v/>
      </c>
      <c r="F8" s="38">
        <f>INDEX(('Portfolio Valor'!$B$2:$B$36),MATCH(G8,('Portfolio Valor'!$C$2:$C$36),0))</f>
        <v/>
      </c>
      <c r="G8" s="38">
        <f>LARGE(('Portfolio Valor'!$C$3:$C$9,'Portfolio Valor'!$C$11:$C$15,'Portfolio Valor'!$C$18:$C$22,'Portfolio Valor'!$C$24,'Portfolio Valor'!$C$26,'Portfolio Valor'!$C$28:$C$31,'Portfolio Valor'!$C$33:$C$35),7)</f>
        <v/>
      </c>
    </row>
    <row r="9">
      <c r="A9" s="36" t="inlineStr">
        <is>
          <t>PREMIUS FONDS VALOR</t>
        </is>
      </c>
      <c r="B9" s="36" t="inlineStr">
        <is>
          <t>LI0038943051</t>
        </is>
      </c>
      <c r="C9" s="36" t="inlineStr">
        <is>
          <t>Fonds</t>
        </is>
      </c>
      <c r="D9" s="39">
        <f>D8</f>
        <v/>
      </c>
      <c r="E9" s="38">
        <f>INDEX(('Portfolio Valor'!$A$3:$A$36),MATCH(G9,('Portfolio Valor'!$C$3:$C$36),0))</f>
        <v/>
      </c>
      <c r="F9" s="38">
        <f>INDEX(('Portfolio Valor'!$B$2:$B$36),MATCH(G9,('Portfolio Valor'!$C$2:$C$36),0))</f>
        <v/>
      </c>
      <c r="G9" s="38">
        <f>LARGE(('Portfolio Valor'!$C$3:$C$9,'Portfolio Valor'!$C$11:$C$15,'Portfolio Valor'!$C$18:$C$22,'Portfolio Valor'!$C$24,'Portfolio Valor'!$C$26,'Portfolio Valor'!$C$28:$C$31,'Portfolio Valor'!$C$33:$C$35),8)</f>
        <v/>
      </c>
    </row>
    <row r="10">
      <c r="A10" s="36" t="inlineStr">
        <is>
          <t>PREMIUS FONDS VALOR</t>
        </is>
      </c>
      <c r="B10" s="36" t="inlineStr">
        <is>
          <t>LI0038943051</t>
        </is>
      </c>
      <c r="C10" s="36" t="inlineStr">
        <is>
          <t>Equity</t>
        </is>
      </c>
      <c r="D10" s="39">
        <f>D9</f>
        <v/>
      </c>
      <c r="E10" s="38">
        <f>INDEX(('Portfolio Valor'!$A$3:$A$36),MATCH(G10,('Portfolio Valor'!$C$3:$C$36),0))</f>
        <v/>
      </c>
      <c r="F10" s="38">
        <f>INDEX(('Portfolio Valor'!$B$2:$B$36),MATCH(G10,('Portfolio Valor'!$C$2:$C$36),0))</f>
        <v/>
      </c>
      <c r="G10" s="38">
        <f>LARGE(('Portfolio Valor'!$C$3:$C$9,'Portfolio Valor'!$C$11:$C$15,'Portfolio Valor'!$C$18:$C$22,'Portfolio Valor'!$C$24,'Portfolio Valor'!$C$26,'Portfolio Valor'!$C$28:$C$31,'Portfolio Valor'!$C$33:$C$35),9)</f>
        <v/>
      </c>
    </row>
    <row r="11">
      <c r="A11" s="36" t="inlineStr">
        <is>
          <t>PREMIUS FONDS VALOR</t>
        </is>
      </c>
      <c r="B11" s="36" t="inlineStr">
        <is>
          <t>LI0038943051</t>
        </is>
      </c>
      <c r="C11" s="36" t="inlineStr">
        <is>
          <t>Fonds</t>
        </is>
      </c>
      <c r="D11" s="39">
        <f>D10</f>
        <v/>
      </c>
      <c r="E11" s="38">
        <f>INDEX(('Portfolio Valor'!$A$3:$A$36),MATCH(G11,('Portfolio Valor'!$C$3:$C$36),0))</f>
        <v/>
      </c>
      <c r="F11" s="38">
        <f>INDEX(('Portfolio Valor'!$B$2:$B$36),MATCH(G11,('Portfolio Valor'!$C$2:$C$36),0))</f>
        <v/>
      </c>
      <c r="G11" s="38">
        <f>LARGE(('Portfolio Valor'!$C$3:$C$9,'Portfolio Valor'!$C$11:$C$15,'Portfolio Valor'!$C$18:$C$22,'Portfolio Valor'!$C$24,'Portfolio Valor'!$C$26,'Portfolio Valor'!$C$28:$C$31,'Portfolio Valor'!$C$33:$C$35),10)</f>
        <v/>
      </c>
    </row>
  </sheetData>
  <pageMargins left="0.7479166666666667" right="0.7479166666666667" top="0.9840277777777777" bottom="0.9840277777777777" header="0.5118055555555555" footer="0.5118055555555555"/>
  <pageSetup orientation="portrait" paperSize="9" firstPageNumber="0" horizontalDpi="300" verticalDpi="300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D33" sqref="D33"/>
    </sheetView>
  </sheetViews>
  <sheetFormatPr baseColWidth="10" defaultColWidth="11.33203125" defaultRowHeight="13" outlineLevelCol="0"/>
  <cols>
    <col width="18" customWidth="1" style="31" min="1" max="1"/>
    <col width="15.1640625" customWidth="1" style="31" min="2" max="2"/>
    <col width="11.33203125" customWidth="1" style="31" min="3" max="18"/>
    <col width="11.33203125" customWidth="1" style="31" min="19" max="16384"/>
  </cols>
  <sheetData>
    <row r="1">
      <c r="A1" s="31" t="inlineStr">
        <is>
          <t>Cash</t>
        </is>
      </c>
      <c r="B1" s="32">
        <f>'Portfolio Valor'!C2</f>
        <v/>
      </c>
    </row>
    <row r="2">
      <c r="A2" s="33" t="inlineStr">
        <is>
          <t>Metalle</t>
        </is>
      </c>
      <c r="B2" s="32">
        <f>'Portfolio Valor'!C10</f>
        <v/>
      </c>
    </row>
    <row r="3">
      <c r="A3" s="31" t="inlineStr">
        <is>
          <t>Bergbau</t>
        </is>
      </c>
      <c r="B3" s="32">
        <f>'Portfolio Valor'!C17</f>
        <v/>
      </c>
    </row>
    <row r="4">
      <c r="A4" s="31" t="inlineStr">
        <is>
          <t>Energie</t>
        </is>
      </c>
      <c r="B4" s="32">
        <f>'Portfolio Valor'!C23</f>
        <v/>
      </c>
    </row>
    <row r="5">
      <c r="A5" s="31" t="inlineStr">
        <is>
          <t>Agrar</t>
        </is>
      </c>
      <c r="B5" s="32">
        <f>'Portfolio Valor'!C25</f>
        <v/>
      </c>
    </row>
    <row r="6">
      <c r="A6" s="31" t="inlineStr">
        <is>
          <t>Wasser</t>
        </is>
      </c>
      <c r="B6" s="32">
        <f>'Portfolio Valor'!C27</f>
        <v/>
      </c>
    </row>
    <row r="7">
      <c r="A7" s="31" t="inlineStr">
        <is>
          <t>Perspektiven</t>
        </is>
      </c>
      <c r="B7" s="32">
        <f>'Portfolio Valor'!C32</f>
        <v/>
      </c>
    </row>
    <row r="8">
      <c r="A8" s="31">
        <f>'[2]Portfolio Valor'!A36</f>
        <v/>
      </c>
      <c r="B8" s="32">
        <f>'Portfolio Valor'!C36</f>
        <v/>
      </c>
    </row>
    <row r="9">
      <c r="B9" s="32">
        <f>SUM(B1:B8)</f>
        <v/>
      </c>
    </row>
  </sheetData>
  <pageMargins left="0.7" right="0.7" top="0.787401575" bottom="0.7874015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6" tint="-0.249977111117893"/>
    <outlinePr summaryBelow="1" summaryRight="1"/>
    <pageSetUpPr/>
  </sheetPr>
  <dimension ref="B1:M20"/>
  <sheetViews>
    <sheetView workbookViewId="0">
      <selection activeCell="C27" sqref="C27"/>
    </sheetView>
  </sheetViews>
  <sheetFormatPr baseColWidth="10" defaultColWidth="10" defaultRowHeight="13" outlineLevelCol="0"/>
  <cols>
    <col width="2" customWidth="1" style="86" min="1" max="1"/>
    <col width="29.33203125" customWidth="1" style="86" min="2" max="2"/>
    <col width="15.33203125" customWidth="1" style="86" min="3" max="3"/>
    <col width="13.33203125" customWidth="1" style="86" min="4" max="8"/>
    <col width="14.83203125" customWidth="1" style="86" min="9" max="9"/>
    <col width="12.1640625" customWidth="1" style="86" min="10" max="10"/>
    <col width="10" customWidth="1" style="86" min="11" max="11"/>
    <col width="19.83203125" customWidth="1" style="86" min="12" max="12"/>
    <col width="10.6640625" bestFit="1" customWidth="1" style="86" min="13" max="13"/>
    <col width="10" customWidth="1" style="86" min="14" max="29"/>
    <col width="10" customWidth="1" style="86" min="30" max="16384"/>
  </cols>
  <sheetData>
    <row r="1">
      <c r="D1" s="85" t="inlineStr">
        <is>
          <t>Thesauro Valor</t>
        </is>
      </c>
      <c r="I1" s="58" t="inlineStr">
        <is>
          <t>Gedruckt am 01.10.2020</t>
        </is>
      </c>
    </row>
    <row r="2">
      <c r="I2" s="58" t="inlineStr">
        <is>
          <t>Bewertungsdatum 30.09.2020</t>
        </is>
      </c>
    </row>
    <row r="3">
      <c r="D3" s="59" t="n"/>
      <c r="E3" s="59" t="n"/>
      <c r="F3" s="59" t="n"/>
      <c r="G3" s="59" t="n"/>
      <c r="I3" s="58" t="inlineStr">
        <is>
          <t>Alle Beträge sind in EUR</t>
        </is>
      </c>
    </row>
    <row r="5" ht="12.75" customHeight="1" s="68">
      <c r="B5" s="87" t="inlineStr">
        <is>
          <t>PORTFOLIO</t>
        </is>
      </c>
      <c r="C5" s="88" t="n"/>
      <c r="D5" s="88" t="n"/>
      <c r="E5" s="88" t="n"/>
      <c r="F5" s="88" t="n"/>
      <c r="G5" s="88" t="n"/>
      <c r="H5" s="88" t="n"/>
      <c r="I5" s="88" t="n"/>
      <c r="J5" s="89" t="inlineStr">
        <is>
          <t>MARKTWERT (EUR)</t>
        </is>
      </c>
      <c r="K5" s="88" t="n"/>
      <c r="L5" s="88" t="n"/>
      <c r="M5" s="90" t="n"/>
    </row>
    <row r="6" ht="20.25" customHeight="1" s="68">
      <c r="B6" s="91" t="inlineStr">
        <is>
          <t>10.501564_0</t>
        </is>
      </c>
      <c r="C6" s="92" t="n"/>
      <c r="D6" s="92" t="n"/>
      <c r="E6" s="92" t="n"/>
      <c r="F6" s="92" t="n"/>
      <c r="G6" s="92" t="n"/>
      <c r="H6" s="92" t="n"/>
      <c r="I6" s="92" t="n"/>
      <c r="J6" s="93" t="n">
        <v>5091842.22</v>
      </c>
      <c r="K6" s="92" t="n"/>
      <c r="L6" s="92" t="n"/>
      <c r="M6" s="94" t="n"/>
    </row>
    <row r="7" ht="18" customFormat="1" customHeight="1" s="60"/>
    <row r="8" ht="18" customFormat="1" customHeight="1" s="60">
      <c r="B8" s="60" t="inlineStr">
        <is>
          <t xml:space="preserve"> </t>
        </is>
      </c>
      <c r="C8" s="60" t="inlineStr">
        <is>
          <t>EUR</t>
        </is>
      </c>
      <c r="D8" s="60" t="inlineStr">
        <is>
          <t>USD</t>
        </is>
      </c>
      <c r="E8" s="60" t="inlineStr">
        <is>
          <t>GBP</t>
        </is>
      </c>
      <c r="F8" s="60" t="inlineStr">
        <is>
          <t>CHF</t>
        </is>
      </c>
      <c r="G8" s="60" t="inlineStr">
        <is>
          <t>RUB</t>
        </is>
      </c>
      <c r="H8" s="60" t="inlineStr">
        <is>
          <t>NOK</t>
        </is>
      </c>
      <c r="I8" s="60" t="inlineStr">
        <is>
          <t>SEK</t>
        </is>
      </c>
      <c r="J8" s="60" t="inlineStr">
        <is>
          <t>JPY</t>
        </is>
      </c>
      <c r="K8" s="60" t="inlineStr">
        <is>
          <t>HKD</t>
        </is>
      </c>
      <c r="L8" s="60" t="inlineStr">
        <is>
          <t>Summe</t>
        </is>
      </c>
    </row>
    <row r="9" ht="18" customFormat="1" customHeight="1" s="60">
      <c r="B9" s="61" t="inlineStr">
        <is>
          <t>Liquidität</t>
        </is>
      </c>
      <c r="C9" s="62" t="n">
        <v>33479.1</v>
      </c>
      <c r="D9" s="62" t="n">
        <v>448.79</v>
      </c>
      <c r="E9" s="62" t="n">
        <v>3370.1</v>
      </c>
      <c r="F9" s="62" t="n">
        <v>54450.96</v>
      </c>
      <c r="G9" s="63" t="n"/>
      <c r="H9" s="62" t="n">
        <v>0</v>
      </c>
      <c r="I9" s="62" t="n">
        <v>-1.83</v>
      </c>
      <c r="J9" s="63" t="n"/>
      <c r="K9" s="62" t="n">
        <v>0</v>
      </c>
      <c r="L9" s="64">
        <f>SUM(Table1[[#This Row],[EUR]:[HKD]])</f>
        <v/>
      </c>
    </row>
    <row r="10" ht="18" customFormat="1" customHeight="1" s="60">
      <c r="B10" s="61" t="inlineStr">
        <is>
          <t>Aktien Europa</t>
        </is>
      </c>
      <c r="C10" s="62" t="n">
        <v>106650</v>
      </c>
      <c r="D10" s="63" t="n"/>
      <c r="E10" s="62" t="n">
        <v>123770.04</v>
      </c>
      <c r="F10" s="63" t="n"/>
      <c r="G10" s="63" t="n"/>
      <c r="H10" s="62" t="n">
        <v>155102.48</v>
      </c>
      <c r="I10" s="62" t="n">
        <v>151896.69</v>
      </c>
      <c r="J10" s="63" t="n"/>
      <c r="K10" s="63" t="n"/>
      <c r="L10" s="64">
        <f>SUM(Table1[[#This Row],[EUR]:[HKD]])</f>
        <v/>
      </c>
    </row>
    <row r="11" ht="18" customFormat="1" customHeight="1" s="60">
      <c r="B11" s="61" t="inlineStr">
        <is>
          <t>Aktien Nord Amerika</t>
        </is>
      </c>
      <c r="C11" s="63" t="n"/>
      <c r="D11" s="62" t="n">
        <v>198417.48</v>
      </c>
      <c r="E11" s="63" t="n"/>
      <c r="F11" s="63" t="n"/>
      <c r="G11" s="63" t="n"/>
      <c r="H11" s="63" t="n"/>
      <c r="I11" s="63" t="n"/>
      <c r="J11" s="63" t="n"/>
      <c r="K11" s="63" t="n"/>
      <c r="L11" s="64">
        <f>SUM(Table1[[#This Row],[EUR]:[HKD]])</f>
        <v/>
      </c>
    </row>
    <row r="12" ht="18" customFormat="1" customHeight="1" s="60">
      <c r="B12" s="61" t="inlineStr">
        <is>
          <t>Aktien Asien</t>
        </is>
      </c>
      <c r="C12" s="63" t="n"/>
      <c r="D12" s="63" t="n"/>
      <c r="E12" s="63" t="n"/>
      <c r="F12" s="63" t="n"/>
      <c r="G12" s="63" t="n"/>
      <c r="H12" s="63" t="n"/>
      <c r="I12" s="63" t="n"/>
      <c r="J12" s="62" t="n">
        <v>91843.82000000001</v>
      </c>
      <c r="K12" s="63" t="n"/>
      <c r="L12" s="64">
        <f>SUM(Table1[[#This Row],[EUR]:[HKD]])</f>
        <v/>
      </c>
    </row>
    <row r="13" ht="18" customFormat="1" customHeight="1" s="60">
      <c r="B13" s="61" t="inlineStr">
        <is>
          <t>Aktien EMMA</t>
        </is>
      </c>
      <c r="C13" s="63" t="n"/>
      <c r="D13" s="63" t="n"/>
      <c r="E13" s="63" t="n"/>
      <c r="F13" s="62" t="n">
        <v>205506.46</v>
      </c>
      <c r="G13" s="63" t="n"/>
      <c r="H13" s="63" t="n"/>
      <c r="I13" s="63" t="n"/>
      <c r="J13" s="63" t="n"/>
      <c r="K13" s="63" t="n"/>
      <c r="L13" s="64">
        <f>SUM(Table1[[#This Row],[EUR]:[HKD]])</f>
        <v/>
      </c>
    </row>
    <row r="14" ht="18" customFormat="1" customHeight="1" s="60">
      <c r="B14" s="61" t="inlineStr">
        <is>
          <t>Aktien Sonstige</t>
        </is>
      </c>
      <c r="C14" s="63" t="n"/>
      <c r="D14" s="63" t="n"/>
      <c r="E14" s="63" t="n"/>
      <c r="F14" s="63" t="n"/>
      <c r="G14" s="62" t="n">
        <v>214210.36</v>
      </c>
      <c r="H14" s="63" t="n"/>
      <c r="I14" s="63" t="n"/>
      <c r="J14" s="63" t="n"/>
      <c r="K14" s="63" t="n"/>
      <c r="L14" s="64">
        <f>SUM(Table1[[#This Row],[EUR]:[HKD]])</f>
        <v/>
      </c>
    </row>
    <row r="15" ht="18" customFormat="1" customHeight="1" s="60">
      <c r="B15" s="61" t="inlineStr">
        <is>
          <t>Fondsant.&amp; Beteil.Papiere</t>
        </is>
      </c>
      <c r="C15" s="62" t="n">
        <v>0</v>
      </c>
      <c r="D15" s="63" t="n"/>
      <c r="E15" s="63" t="n"/>
      <c r="F15" s="62" t="n">
        <v>95476.38</v>
      </c>
      <c r="G15" s="63" t="n"/>
      <c r="H15" s="63" t="n"/>
      <c r="I15" s="63" t="n"/>
      <c r="J15" s="63" t="n"/>
      <c r="K15" s="63" t="n"/>
      <c r="L15" s="64">
        <f>SUM(Table1[[#This Row],[EUR]:[HKD]])</f>
        <v/>
      </c>
    </row>
    <row r="16" ht="18" customFormat="1" customHeight="1" s="60">
      <c r="B16" s="61" t="inlineStr">
        <is>
          <t>Aktienfonds Global</t>
        </is>
      </c>
      <c r="C16" s="62" t="n">
        <v>1895477</v>
      </c>
      <c r="D16" s="63" t="n"/>
      <c r="E16" s="62" t="n">
        <v>229279.93</v>
      </c>
      <c r="F16" s="63" t="n"/>
      <c r="G16" s="63" t="n"/>
      <c r="H16" s="63" t="n"/>
      <c r="I16" s="63" t="n"/>
      <c r="J16" s="63" t="n"/>
      <c r="K16" s="63" t="n"/>
      <c r="L16" s="64">
        <f>SUM(Table1[[#This Row],[EUR]:[HKD]])</f>
        <v/>
      </c>
    </row>
    <row r="17" ht="18" customFormat="1" customHeight="1" s="60">
      <c r="B17" s="61" t="inlineStr">
        <is>
          <t>Aktienfonds Europa</t>
        </is>
      </c>
      <c r="C17" s="62" t="n">
        <v>182715</v>
      </c>
      <c r="D17" s="63" t="n"/>
      <c r="E17" s="63" t="n"/>
      <c r="F17" s="63" t="n"/>
      <c r="G17" s="63" t="n"/>
      <c r="H17" s="63" t="n"/>
      <c r="I17" s="63" t="n"/>
      <c r="J17" s="63" t="n"/>
      <c r="K17" s="63" t="n"/>
      <c r="L17" s="64">
        <f>SUM(Table1[[#This Row],[EUR]:[HKD]])</f>
        <v/>
      </c>
    </row>
    <row r="18" ht="18" customFormat="1" customHeight="1" s="60">
      <c r="B18" s="61" t="inlineStr">
        <is>
          <t>Aktienfonds Sonstige</t>
        </is>
      </c>
      <c r="C18" s="62" t="n">
        <v>383387</v>
      </c>
      <c r="D18" s="63" t="n"/>
      <c r="E18" s="63" t="n"/>
      <c r="F18" s="63" t="n"/>
      <c r="G18" s="63" t="n"/>
      <c r="H18" s="63" t="n"/>
      <c r="I18" s="63" t="n"/>
      <c r="J18" s="63" t="n"/>
      <c r="K18" s="63" t="n"/>
      <c r="L18" s="64">
        <f>SUM(Table1[[#This Row],[EUR]:[HKD]])</f>
        <v/>
      </c>
    </row>
    <row r="19" ht="18" customFormat="1" customHeight="1" s="60">
      <c r="B19" s="61" t="inlineStr">
        <is>
          <t>Commodities</t>
        </is>
      </c>
      <c r="C19" s="62" t="n">
        <v>147364</v>
      </c>
      <c r="D19" s="62" t="n">
        <v>818998.46</v>
      </c>
      <c r="E19" s="63" t="n"/>
      <c r="F19" s="63" t="n"/>
      <c r="G19" s="63" t="n"/>
      <c r="H19" s="63" t="n"/>
      <c r="I19" s="63" t="n"/>
      <c r="J19" s="63" t="n"/>
      <c r="K19" s="63" t="n"/>
      <c r="L19" s="64">
        <f>SUM(Table1[[#This Row],[EUR]:[HKD]])</f>
        <v/>
      </c>
    </row>
    <row r="20" ht="18" customFormat="1" customHeight="1" s="60">
      <c r="B20" s="65" t="n"/>
      <c r="C20" s="66">
        <f>SUBTOTAL(109,Table1[EUR])</f>
        <v/>
      </c>
      <c r="D20" s="66">
        <f>SUBTOTAL(109,Table1[USD])</f>
        <v/>
      </c>
      <c r="E20" s="66">
        <f>SUM(Table1[GBP])</f>
        <v/>
      </c>
      <c r="F20" s="66">
        <f>SUM(Table1[CHF])</f>
        <v/>
      </c>
      <c r="G20" s="66">
        <f>SUM(Table1[RUB])</f>
        <v/>
      </c>
      <c r="H20" s="66">
        <f>SUM(Table1[NOK])</f>
        <v/>
      </c>
      <c r="I20" s="66">
        <f>SUM(Table1[SEK])</f>
        <v/>
      </c>
      <c r="J20" s="66">
        <f>SUM(Table1[JPY])</f>
        <v/>
      </c>
      <c r="K20" s="66">
        <f>SUM(Table1[HKD])</f>
        <v/>
      </c>
      <c r="L20" s="64">
        <f>Table1[[#Totals],[EUR]]+Table1[[#Totals],[USD]]+Table1[[#Totals],[GBP]]+Table1[[#Totals],[CHF]]+Table1[[#Totals],[RUB]]+Table1[[#Totals],[NOK]]+Table1[[#Totals],[SEK]]+Table1[[#Totals],[JPY]]+Table1[[#Totals],[HKD]]</f>
        <v/>
      </c>
    </row>
    <row r="21" ht="18" customFormat="1" customHeight="1" s="60"/>
    <row r="22" ht="18" customFormat="1" customHeight="1" s="60"/>
    <row r="23" ht="18" customFormat="1" customHeight="1" s="60"/>
    <row r="24" ht="18" customFormat="1" customHeight="1" s="60"/>
    <row r="25" ht="18" customFormat="1" customHeight="1" s="60"/>
    <row r="26" ht="18" customFormat="1" customHeight="1" s="60"/>
    <row r="27" ht="18" customFormat="1" customHeight="1" s="60"/>
    <row r="28" ht="18" customFormat="1" customHeight="1" s="60"/>
    <row r="29" ht="18" customFormat="1" customHeight="1" s="60"/>
  </sheetData>
  <mergeCells count="5">
    <mergeCell ref="D1:G2"/>
    <mergeCell ref="B5:I5"/>
    <mergeCell ref="J5:M5"/>
    <mergeCell ref="B6:I6"/>
    <mergeCell ref="J6:M6"/>
  </mergeCells>
  <pageMargins left="0.7" right="0.7" top="0.787401575" bottom="0.787401575" header="0.3" footer="0.3"/>
  <pageSetup orientation="portrait" horizontalDpi="300" verticalDpi="300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C10" sqref="C10"/>
    </sheetView>
  </sheetViews>
  <sheetFormatPr baseColWidth="10" defaultColWidth="9.1640625" defaultRowHeight="15" outlineLevelCol="0"/>
  <cols>
    <col width="54.1640625" customWidth="1" style="54" min="1" max="1"/>
    <col width="14.83203125" customWidth="1" style="54" min="2" max="2"/>
    <col width="11.33203125" customWidth="1" style="54" min="3" max="3"/>
    <col width="9.1640625" customWidth="1" style="54" min="4" max="254"/>
    <col width="54.1640625" customWidth="1" style="54" min="255" max="255"/>
    <col width="14.83203125" customWidth="1" style="54" min="256" max="256"/>
    <col width="15.1640625" customWidth="1" style="54" min="257" max="257"/>
    <col width="16.1640625" customWidth="1" style="54" min="258" max="258"/>
    <col width="11.33203125" customWidth="1" style="54" min="259" max="259"/>
    <col width="9.1640625" customWidth="1" style="54" min="260" max="510"/>
    <col width="54.1640625" customWidth="1" style="54" min="511" max="511"/>
    <col width="14.83203125" customWidth="1" style="54" min="512" max="512"/>
    <col width="15.1640625" customWidth="1" style="54" min="513" max="513"/>
    <col width="16.1640625" customWidth="1" style="54" min="514" max="514"/>
    <col width="11.33203125" customWidth="1" style="54" min="515" max="515"/>
    <col width="9.1640625" customWidth="1" style="54" min="516" max="766"/>
    <col width="54.1640625" customWidth="1" style="54" min="767" max="767"/>
    <col width="14.83203125" customWidth="1" style="54" min="768" max="768"/>
    <col width="15.1640625" customWidth="1" style="54" min="769" max="769"/>
    <col width="16.1640625" customWidth="1" style="54" min="770" max="770"/>
    <col width="11.33203125" customWidth="1" style="54" min="771" max="771"/>
    <col width="9.1640625" customWidth="1" style="54" min="772" max="1022"/>
    <col width="54.1640625" customWidth="1" style="54" min="1023" max="1023"/>
    <col width="14.83203125" customWidth="1" style="54" min="1024" max="1024"/>
    <col width="15.1640625" customWidth="1" style="54" min="1025" max="1025"/>
    <col width="16.1640625" customWidth="1" style="54" min="1026" max="1026"/>
    <col width="11.33203125" customWidth="1" style="54" min="1027" max="1027"/>
    <col width="9.1640625" customWidth="1" style="54" min="1028" max="1278"/>
    <col width="54.1640625" customWidth="1" style="54" min="1279" max="1279"/>
    <col width="14.83203125" customWidth="1" style="54" min="1280" max="1280"/>
    <col width="15.1640625" customWidth="1" style="54" min="1281" max="1281"/>
    <col width="16.1640625" customWidth="1" style="54" min="1282" max="1282"/>
    <col width="11.33203125" customWidth="1" style="54" min="1283" max="1283"/>
    <col width="9.1640625" customWidth="1" style="54" min="1284" max="1534"/>
    <col width="54.1640625" customWidth="1" style="54" min="1535" max="1535"/>
    <col width="14.83203125" customWidth="1" style="54" min="1536" max="1536"/>
    <col width="15.1640625" customWidth="1" style="54" min="1537" max="1537"/>
    <col width="16.1640625" customWidth="1" style="54" min="1538" max="1538"/>
    <col width="11.33203125" customWidth="1" style="54" min="1539" max="1539"/>
    <col width="9.1640625" customWidth="1" style="54" min="1540" max="1790"/>
    <col width="54.1640625" customWidth="1" style="54" min="1791" max="1791"/>
    <col width="14.83203125" customWidth="1" style="54" min="1792" max="1792"/>
    <col width="15.1640625" customWidth="1" style="54" min="1793" max="1793"/>
    <col width="16.1640625" customWidth="1" style="54" min="1794" max="1794"/>
    <col width="11.33203125" customWidth="1" style="54" min="1795" max="1795"/>
    <col width="9.1640625" customWidth="1" style="54" min="1796" max="2046"/>
    <col width="54.1640625" customWidth="1" style="54" min="2047" max="2047"/>
    <col width="14.83203125" customWidth="1" style="54" min="2048" max="2048"/>
    <col width="15.1640625" customWidth="1" style="54" min="2049" max="2049"/>
    <col width="16.1640625" customWidth="1" style="54" min="2050" max="2050"/>
    <col width="11.33203125" customWidth="1" style="54" min="2051" max="2051"/>
    <col width="9.1640625" customWidth="1" style="54" min="2052" max="2302"/>
    <col width="54.1640625" customWidth="1" style="54" min="2303" max="2303"/>
    <col width="14.83203125" customWidth="1" style="54" min="2304" max="2304"/>
    <col width="15.1640625" customWidth="1" style="54" min="2305" max="2305"/>
    <col width="16.1640625" customWidth="1" style="54" min="2306" max="2306"/>
    <col width="11.33203125" customWidth="1" style="54" min="2307" max="2307"/>
    <col width="9.1640625" customWidth="1" style="54" min="2308" max="2558"/>
    <col width="54.1640625" customWidth="1" style="54" min="2559" max="2559"/>
    <col width="14.83203125" customWidth="1" style="54" min="2560" max="2560"/>
    <col width="15.1640625" customWidth="1" style="54" min="2561" max="2561"/>
    <col width="16.1640625" customWidth="1" style="54" min="2562" max="2562"/>
    <col width="11.33203125" customWidth="1" style="54" min="2563" max="2563"/>
    <col width="9.1640625" customWidth="1" style="54" min="2564" max="2814"/>
    <col width="54.1640625" customWidth="1" style="54" min="2815" max="2815"/>
    <col width="14.83203125" customWidth="1" style="54" min="2816" max="2816"/>
    <col width="15.1640625" customWidth="1" style="54" min="2817" max="2817"/>
    <col width="16.1640625" customWidth="1" style="54" min="2818" max="2818"/>
    <col width="11.33203125" customWidth="1" style="54" min="2819" max="2819"/>
    <col width="9.1640625" customWidth="1" style="54" min="2820" max="3070"/>
    <col width="54.1640625" customWidth="1" style="54" min="3071" max="3071"/>
    <col width="14.83203125" customWidth="1" style="54" min="3072" max="3072"/>
    <col width="15.1640625" customWidth="1" style="54" min="3073" max="3073"/>
    <col width="16.1640625" customWidth="1" style="54" min="3074" max="3074"/>
    <col width="11.33203125" customWidth="1" style="54" min="3075" max="3075"/>
    <col width="9.1640625" customWidth="1" style="54" min="3076" max="3326"/>
    <col width="54.1640625" customWidth="1" style="54" min="3327" max="3327"/>
    <col width="14.83203125" customWidth="1" style="54" min="3328" max="3328"/>
    <col width="15.1640625" customWidth="1" style="54" min="3329" max="3329"/>
    <col width="16.1640625" customWidth="1" style="54" min="3330" max="3330"/>
    <col width="11.33203125" customWidth="1" style="54" min="3331" max="3331"/>
    <col width="9.1640625" customWidth="1" style="54" min="3332" max="3582"/>
    <col width="54.1640625" customWidth="1" style="54" min="3583" max="3583"/>
    <col width="14.83203125" customWidth="1" style="54" min="3584" max="3584"/>
    <col width="15.1640625" customWidth="1" style="54" min="3585" max="3585"/>
    <col width="16.1640625" customWidth="1" style="54" min="3586" max="3586"/>
    <col width="11.33203125" customWidth="1" style="54" min="3587" max="3587"/>
    <col width="9.1640625" customWidth="1" style="54" min="3588" max="3838"/>
    <col width="54.1640625" customWidth="1" style="54" min="3839" max="3839"/>
    <col width="14.83203125" customWidth="1" style="54" min="3840" max="3840"/>
    <col width="15.1640625" customWidth="1" style="54" min="3841" max="3841"/>
    <col width="16.1640625" customWidth="1" style="54" min="3842" max="3842"/>
    <col width="11.33203125" customWidth="1" style="54" min="3843" max="3843"/>
    <col width="9.1640625" customWidth="1" style="54" min="3844" max="4094"/>
    <col width="54.1640625" customWidth="1" style="54" min="4095" max="4095"/>
    <col width="14.83203125" customWidth="1" style="54" min="4096" max="4096"/>
    <col width="15.1640625" customWidth="1" style="54" min="4097" max="4097"/>
    <col width="16.1640625" customWidth="1" style="54" min="4098" max="4098"/>
    <col width="11.33203125" customWidth="1" style="54" min="4099" max="4099"/>
    <col width="9.1640625" customWidth="1" style="54" min="4100" max="4350"/>
    <col width="54.1640625" customWidth="1" style="54" min="4351" max="4351"/>
    <col width="14.83203125" customWidth="1" style="54" min="4352" max="4352"/>
    <col width="15.1640625" customWidth="1" style="54" min="4353" max="4353"/>
    <col width="16.1640625" customWidth="1" style="54" min="4354" max="4354"/>
    <col width="11.33203125" customWidth="1" style="54" min="4355" max="4355"/>
    <col width="9.1640625" customWidth="1" style="54" min="4356" max="4606"/>
    <col width="54.1640625" customWidth="1" style="54" min="4607" max="4607"/>
    <col width="14.83203125" customWidth="1" style="54" min="4608" max="4608"/>
    <col width="15.1640625" customWidth="1" style="54" min="4609" max="4609"/>
    <col width="16.1640625" customWidth="1" style="54" min="4610" max="4610"/>
    <col width="11.33203125" customWidth="1" style="54" min="4611" max="4611"/>
    <col width="9.1640625" customWidth="1" style="54" min="4612" max="4862"/>
    <col width="54.1640625" customWidth="1" style="54" min="4863" max="4863"/>
    <col width="14.83203125" customWidth="1" style="54" min="4864" max="4864"/>
    <col width="15.1640625" customWidth="1" style="54" min="4865" max="4865"/>
    <col width="16.1640625" customWidth="1" style="54" min="4866" max="4866"/>
    <col width="11.33203125" customWidth="1" style="54" min="4867" max="4867"/>
    <col width="9.1640625" customWidth="1" style="54" min="4868" max="5118"/>
    <col width="54.1640625" customWidth="1" style="54" min="5119" max="5119"/>
    <col width="14.83203125" customWidth="1" style="54" min="5120" max="5120"/>
    <col width="15.1640625" customWidth="1" style="54" min="5121" max="5121"/>
    <col width="16.1640625" customWidth="1" style="54" min="5122" max="5122"/>
    <col width="11.33203125" customWidth="1" style="54" min="5123" max="5123"/>
    <col width="9.1640625" customWidth="1" style="54" min="5124" max="5374"/>
    <col width="54.1640625" customWidth="1" style="54" min="5375" max="5375"/>
    <col width="14.83203125" customWidth="1" style="54" min="5376" max="5376"/>
    <col width="15.1640625" customWidth="1" style="54" min="5377" max="5377"/>
    <col width="16.1640625" customWidth="1" style="54" min="5378" max="5378"/>
    <col width="11.33203125" customWidth="1" style="54" min="5379" max="5379"/>
    <col width="9.1640625" customWidth="1" style="54" min="5380" max="5630"/>
    <col width="54.1640625" customWidth="1" style="54" min="5631" max="5631"/>
    <col width="14.83203125" customWidth="1" style="54" min="5632" max="5632"/>
    <col width="15.1640625" customWidth="1" style="54" min="5633" max="5633"/>
    <col width="16.1640625" customWidth="1" style="54" min="5634" max="5634"/>
    <col width="11.33203125" customWidth="1" style="54" min="5635" max="5635"/>
    <col width="9.1640625" customWidth="1" style="54" min="5636" max="5886"/>
    <col width="54.1640625" customWidth="1" style="54" min="5887" max="5887"/>
    <col width="14.83203125" customWidth="1" style="54" min="5888" max="5888"/>
    <col width="15.1640625" customWidth="1" style="54" min="5889" max="5889"/>
    <col width="16.1640625" customWidth="1" style="54" min="5890" max="5890"/>
    <col width="11.33203125" customWidth="1" style="54" min="5891" max="5891"/>
    <col width="9.1640625" customWidth="1" style="54" min="5892" max="6142"/>
    <col width="54.1640625" customWidth="1" style="54" min="6143" max="6143"/>
    <col width="14.83203125" customWidth="1" style="54" min="6144" max="6144"/>
    <col width="15.1640625" customWidth="1" style="54" min="6145" max="6145"/>
    <col width="16.1640625" customWidth="1" style="54" min="6146" max="6146"/>
    <col width="11.33203125" customWidth="1" style="54" min="6147" max="6147"/>
    <col width="9.1640625" customWidth="1" style="54" min="6148" max="6398"/>
    <col width="54.1640625" customWidth="1" style="54" min="6399" max="6399"/>
    <col width="14.83203125" customWidth="1" style="54" min="6400" max="6400"/>
    <col width="15.1640625" customWidth="1" style="54" min="6401" max="6401"/>
    <col width="16.1640625" customWidth="1" style="54" min="6402" max="6402"/>
    <col width="11.33203125" customWidth="1" style="54" min="6403" max="6403"/>
    <col width="9.1640625" customWidth="1" style="54" min="6404" max="6654"/>
    <col width="54.1640625" customWidth="1" style="54" min="6655" max="6655"/>
    <col width="14.83203125" customWidth="1" style="54" min="6656" max="6656"/>
    <col width="15.1640625" customWidth="1" style="54" min="6657" max="6657"/>
    <col width="16.1640625" customWidth="1" style="54" min="6658" max="6658"/>
    <col width="11.33203125" customWidth="1" style="54" min="6659" max="6659"/>
    <col width="9.1640625" customWidth="1" style="54" min="6660" max="6910"/>
    <col width="54.1640625" customWidth="1" style="54" min="6911" max="6911"/>
    <col width="14.83203125" customWidth="1" style="54" min="6912" max="6912"/>
    <col width="15.1640625" customWidth="1" style="54" min="6913" max="6913"/>
    <col width="16.1640625" customWidth="1" style="54" min="6914" max="6914"/>
    <col width="11.33203125" customWidth="1" style="54" min="6915" max="6915"/>
    <col width="9.1640625" customWidth="1" style="54" min="6916" max="7166"/>
    <col width="54.1640625" customWidth="1" style="54" min="7167" max="7167"/>
    <col width="14.83203125" customWidth="1" style="54" min="7168" max="7168"/>
    <col width="15.1640625" customWidth="1" style="54" min="7169" max="7169"/>
    <col width="16.1640625" customWidth="1" style="54" min="7170" max="7170"/>
    <col width="11.33203125" customWidth="1" style="54" min="7171" max="7171"/>
    <col width="9.1640625" customWidth="1" style="54" min="7172" max="7422"/>
    <col width="54.1640625" customWidth="1" style="54" min="7423" max="7423"/>
    <col width="14.83203125" customWidth="1" style="54" min="7424" max="7424"/>
    <col width="15.1640625" customWidth="1" style="54" min="7425" max="7425"/>
    <col width="16.1640625" customWidth="1" style="54" min="7426" max="7426"/>
    <col width="11.33203125" customWidth="1" style="54" min="7427" max="7427"/>
    <col width="9.1640625" customWidth="1" style="54" min="7428" max="7678"/>
    <col width="54.1640625" customWidth="1" style="54" min="7679" max="7679"/>
    <col width="14.83203125" customWidth="1" style="54" min="7680" max="7680"/>
    <col width="15.1640625" customWidth="1" style="54" min="7681" max="7681"/>
    <col width="16.1640625" customWidth="1" style="54" min="7682" max="7682"/>
    <col width="11.33203125" customWidth="1" style="54" min="7683" max="7683"/>
    <col width="9.1640625" customWidth="1" style="54" min="7684" max="7934"/>
    <col width="54.1640625" customWidth="1" style="54" min="7935" max="7935"/>
    <col width="14.83203125" customWidth="1" style="54" min="7936" max="7936"/>
    <col width="15.1640625" customWidth="1" style="54" min="7937" max="7937"/>
    <col width="16.1640625" customWidth="1" style="54" min="7938" max="7938"/>
    <col width="11.33203125" customWidth="1" style="54" min="7939" max="7939"/>
    <col width="9.1640625" customWidth="1" style="54" min="7940" max="8190"/>
    <col width="54.1640625" customWidth="1" style="54" min="8191" max="8191"/>
    <col width="14.83203125" customWidth="1" style="54" min="8192" max="8192"/>
    <col width="15.1640625" customWidth="1" style="54" min="8193" max="8193"/>
    <col width="16.1640625" customWidth="1" style="54" min="8194" max="8194"/>
    <col width="11.33203125" customWidth="1" style="54" min="8195" max="8195"/>
    <col width="9.1640625" customWidth="1" style="54" min="8196" max="8446"/>
    <col width="54.1640625" customWidth="1" style="54" min="8447" max="8447"/>
    <col width="14.83203125" customWidth="1" style="54" min="8448" max="8448"/>
    <col width="15.1640625" customWidth="1" style="54" min="8449" max="8449"/>
    <col width="16.1640625" customWidth="1" style="54" min="8450" max="8450"/>
    <col width="11.33203125" customWidth="1" style="54" min="8451" max="8451"/>
    <col width="9.1640625" customWidth="1" style="54" min="8452" max="8702"/>
    <col width="54.1640625" customWidth="1" style="54" min="8703" max="8703"/>
    <col width="14.83203125" customWidth="1" style="54" min="8704" max="8704"/>
    <col width="15.1640625" customWidth="1" style="54" min="8705" max="8705"/>
    <col width="16.1640625" customWidth="1" style="54" min="8706" max="8706"/>
    <col width="11.33203125" customWidth="1" style="54" min="8707" max="8707"/>
    <col width="9.1640625" customWidth="1" style="54" min="8708" max="8958"/>
    <col width="54.1640625" customWidth="1" style="54" min="8959" max="8959"/>
    <col width="14.83203125" customWidth="1" style="54" min="8960" max="8960"/>
    <col width="15.1640625" customWidth="1" style="54" min="8961" max="8961"/>
    <col width="16.1640625" customWidth="1" style="54" min="8962" max="8962"/>
    <col width="11.33203125" customWidth="1" style="54" min="8963" max="8963"/>
    <col width="9.1640625" customWidth="1" style="54" min="8964" max="9214"/>
    <col width="54.1640625" customWidth="1" style="54" min="9215" max="9215"/>
    <col width="14.83203125" customWidth="1" style="54" min="9216" max="9216"/>
    <col width="15.1640625" customWidth="1" style="54" min="9217" max="9217"/>
    <col width="16.1640625" customWidth="1" style="54" min="9218" max="9218"/>
    <col width="11.33203125" customWidth="1" style="54" min="9219" max="9219"/>
    <col width="9.1640625" customWidth="1" style="54" min="9220" max="9470"/>
    <col width="54.1640625" customWidth="1" style="54" min="9471" max="9471"/>
    <col width="14.83203125" customWidth="1" style="54" min="9472" max="9472"/>
    <col width="15.1640625" customWidth="1" style="54" min="9473" max="9473"/>
    <col width="16.1640625" customWidth="1" style="54" min="9474" max="9474"/>
    <col width="11.33203125" customWidth="1" style="54" min="9475" max="9475"/>
    <col width="9.1640625" customWidth="1" style="54" min="9476" max="9726"/>
    <col width="54.1640625" customWidth="1" style="54" min="9727" max="9727"/>
    <col width="14.83203125" customWidth="1" style="54" min="9728" max="9728"/>
    <col width="15.1640625" customWidth="1" style="54" min="9729" max="9729"/>
    <col width="16.1640625" customWidth="1" style="54" min="9730" max="9730"/>
    <col width="11.33203125" customWidth="1" style="54" min="9731" max="9731"/>
    <col width="9.1640625" customWidth="1" style="54" min="9732" max="9982"/>
    <col width="54.1640625" customWidth="1" style="54" min="9983" max="9983"/>
    <col width="14.83203125" customWidth="1" style="54" min="9984" max="9984"/>
    <col width="15.1640625" customWidth="1" style="54" min="9985" max="9985"/>
    <col width="16.1640625" customWidth="1" style="54" min="9986" max="9986"/>
    <col width="11.33203125" customWidth="1" style="54" min="9987" max="9987"/>
    <col width="9.1640625" customWidth="1" style="54" min="9988" max="10238"/>
    <col width="54.1640625" customWidth="1" style="54" min="10239" max="10239"/>
    <col width="14.83203125" customWidth="1" style="54" min="10240" max="10240"/>
    <col width="15.1640625" customWidth="1" style="54" min="10241" max="10241"/>
    <col width="16.1640625" customWidth="1" style="54" min="10242" max="10242"/>
    <col width="11.33203125" customWidth="1" style="54" min="10243" max="10243"/>
    <col width="9.1640625" customWidth="1" style="54" min="10244" max="10494"/>
    <col width="54.1640625" customWidth="1" style="54" min="10495" max="10495"/>
    <col width="14.83203125" customWidth="1" style="54" min="10496" max="10496"/>
    <col width="15.1640625" customWidth="1" style="54" min="10497" max="10497"/>
    <col width="16.1640625" customWidth="1" style="54" min="10498" max="10498"/>
    <col width="11.33203125" customWidth="1" style="54" min="10499" max="10499"/>
    <col width="9.1640625" customWidth="1" style="54" min="10500" max="10750"/>
    <col width="54.1640625" customWidth="1" style="54" min="10751" max="10751"/>
    <col width="14.83203125" customWidth="1" style="54" min="10752" max="10752"/>
    <col width="15.1640625" customWidth="1" style="54" min="10753" max="10753"/>
    <col width="16.1640625" customWidth="1" style="54" min="10754" max="10754"/>
    <col width="11.33203125" customWidth="1" style="54" min="10755" max="10755"/>
    <col width="9.1640625" customWidth="1" style="54" min="10756" max="11006"/>
    <col width="54.1640625" customWidth="1" style="54" min="11007" max="11007"/>
    <col width="14.83203125" customWidth="1" style="54" min="11008" max="11008"/>
    <col width="15.1640625" customWidth="1" style="54" min="11009" max="11009"/>
    <col width="16.1640625" customWidth="1" style="54" min="11010" max="11010"/>
    <col width="11.33203125" customWidth="1" style="54" min="11011" max="11011"/>
    <col width="9.1640625" customWidth="1" style="54" min="11012" max="11262"/>
    <col width="54.1640625" customWidth="1" style="54" min="11263" max="11263"/>
    <col width="14.83203125" customWidth="1" style="54" min="11264" max="11264"/>
    <col width="15.1640625" customWidth="1" style="54" min="11265" max="11265"/>
    <col width="16.1640625" customWidth="1" style="54" min="11266" max="11266"/>
    <col width="11.33203125" customWidth="1" style="54" min="11267" max="11267"/>
    <col width="9.1640625" customWidth="1" style="54" min="11268" max="11518"/>
    <col width="54.1640625" customWidth="1" style="54" min="11519" max="11519"/>
    <col width="14.83203125" customWidth="1" style="54" min="11520" max="11520"/>
    <col width="15.1640625" customWidth="1" style="54" min="11521" max="11521"/>
    <col width="16.1640625" customWidth="1" style="54" min="11522" max="11522"/>
    <col width="11.33203125" customWidth="1" style="54" min="11523" max="11523"/>
    <col width="9.1640625" customWidth="1" style="54" min="11524" max="11774"/>
    <col width="54.1640625" customWidth="1" style="54" min="11775" max="11775"/>
    <col width="14.83203125" customWidth="1" style="54" min="11776" max="11776"/>
    <col width="15.1640625" customWidth="1" style="54" min="11777" max="11777"/>
    <col width="16.1640625" customWidth="1" style="54" min="11778" max="11778"/>
    <col width="11.33203125" customWidth="1" style="54" min="11779" max="11779"/>
    <col width="9.1640625" customWidth="1" style="54" min="11780" max="12030"/>
    <col width="54.1640625" customWidth="1" style="54" min="12031" max="12031"/>
    <col width="14.83203125" customWidth="1" style="54" min="12032" max="12032"/>
    <col width="15.1640625" customWidth="1" style="54" min="12033" max="12033"/>
    <col width="16.1640625" customWidth="1" style="54" min="12034" max="12034"/>
    <col width="11.33203125" customWidth="1" style="54" min="12035" max="12035"/>
    <col width="9.1640625" customWidth="1" style="54" min="12036" max="12286"/>
    <col width="54.1640625" customWidth="1" style="54" min="12287" max="12287"/>
    <col width="14.83203125" customWidth="1" style="54" min="12288" max="12288"/>
    <col width="15.1640625" customWidth="1" style="54" min="12289" max="12289"/>
    <col width="16.1640625" customWidth="1" style="54" min="12290" max="12290"/>
    <col width="11.33203125" customWidth="1" style="54" min="12291" max="12291"/>
    <col width="9.1640625" customWidth="1" style="54" min="12292" max="12542"/>
    <col width="54.1640625" customWidth="1" style="54" min="12543" max="12543"/>
    <col width="14.83203125" customWidth="1" style="54" min="12544" max="12544"/>
    <col width="15.1640625" customWidth="1" style="54" min="12545" max="12545"/>
    <col width="16.1640625" customWidth="1" style="54" min="12546" max="12546"/>
    <col width="11.33203125" customWidth="1" style="54" min="12547" max="12547"/>
    <col width="9.1640625" customWidth="1" style="54" min="12548" max="12798"/>
    <col width="54.1640625" customWidth="1" style="54" min="12799" max="12799"/>
    <col width="14.83203125" customWidth="1" style="54" min="12800" max="12800"/>
    <col width="15.1640625" customWidth="1" style="54" min="12801" max="12801"/>
    <col width="16.1640625" customWidth="1" style="54" min="12802" max="12802"/>
    <col width="11.33203125" customWidth="1" style="54" min="12803" max="12803"/>
    <col width="9.1640625" customWidth="1" style="54" min="12804" max="13054"/>
    <col width="54.1640625" customWidth="1" style="54" min="13055" max="13055"/>
    <col width="14.83203125" customWidth="1" style="54" min="13056" max="13056"/>
    <col width="15.1640625" customWidth="1" style="54" min="13057" max="13057"/>
    <col width="16.1640625" customWidth="1" style="54" min="13058" max="13058"/>
    <col width="11.33203125" customWidth="1" style="54" min="13059" max="13059"/>
    <col width="9.1640625" customWidth="1" style="54" min="13060" max="13310"/>
    <col width="54.1640625" customWidth="1" style="54" min="13311" max="13311"/>
    <col width="14.83203125" customWidth="1" style="54" min="13312" max="13312"/>
    <col width="15.1640625" customWidth="1" style="54" min="13313" max="13313"/>
    <col width="16.1640625" customWidth="1" style="54" min="13314" max="13314"/>
    <col width="11.33203125" customWidth="1" style="54" min="13315" max="13315"/>
    <col width="9.1640625" customWidth="1" style="54" min="13316" max="13566"/>
    <col width="54.1640625" customWidth="1" style="54" min="13567" max="13567"/>
    <col width="14.83203125" customWidth="1" style="54" min="13568" max="13568"/>
    <col width="15.1640625" customWidth="1" style="54" min="13569" max="13569"/>
    <col width="16.1640625" customWidth="1" style="54" min="13570" max="13570"/>
    <col width="11.33203125" customWidth="1" style="54" min="13571" max="13571"/>
    <col width="9.1640625" customWidth="1" style="54" min="13572" max="13822"/>
    <col width="54.1640625" customWidth="1" style="54" min="13823" max="13823"/>
    <col width="14.83203125" customWidth="1" style="54" min="13824" max="13824"/>
    <col width="15.1640625" customWidth="1" style="54" min="13825" max="13825"/>
    <col width="16.1640625" customWidth="1" style="54" min="13826" max="13826"/>
    <col width="11.33203125" customWidth="1" style="54" min="13827" max="13827"/>
    <col width="9.1640625" customWidth="1" style="54" min="13828" max="14078"/>
    <col width="54.1640625" customWidth="1" style="54" min="14079" max="14079"/>
    <col width="14.83203125" customWidth="1" style="54" min="14080" max="14080"/>
    <col width="15.1640625" customWidth="1" style="54" min="14081" max="14081"/>
    <col width="16.1640625" customWidth="1" style="54" min="14082" max="14082"/>
    <col width="11.33203125" customWidth="1" style="54" min="14083" max="14083"/>
    <col width="9.1640625" customWidth="1" style="54" min="14084" max="14334"/>
    <col width="54.1640625" customWidth="1" style="54" min="14335" max="14335"/>
    <col width="14.83203125" customWidth="1" style="54" min="14336" max="14336"/>
    <col width="15.1640625" customWidth="1" style="54" min="14337" max="14337"/>
    <col width="16.1640625" customWidth="1" style="54" min="14338" max="14338"/>
    <col width="11.33203125" customWidth="1" style="54" min="14339" max="14339"/>
    <col width="9.1640625" customWidth="1" style="54" min="14340" max="14590"/>
    <col width="54.1640625" customWidth="1" style="54" min="14591" max="14591"/>
    <col width="14.83203125" customWidth="1" style="54" min="14592" max="14592"/>
    <col width="15.1640625" customWidth="1" style="54" min="14593" max="14593"/>
    <col width="16.1640625" customWidth="1" style="54" min="14594" max="14594"/>
    <col width="11.33203125" customWidth="1" style="54" min="14595" max="14595"/>
    <col width="9.1640625" customWidth="1" style="54" min="14596" max="14846"/>
    <col width="54.1640625" customWidth="1" style="54" min="14847" max="14847"/>
    <col width="14.83203125" customWidth="1" style="54" min="14848" max="14848"/>
    <col width="15.1640625" customWidth="1" style="54" min="14849" max="14849"/>
    <col width="16.1640625" customWidth="1" style="54" min="14850" max="14850"/>
    <col width="11.33203125" customWidth="1" style="54" min="14851" max="14851"/>
    <col width="9.1640625" customWidth="1" style="54" min="14852" max="15102"/>
    <col width="54.1640625" customWidth="1" style="54" min="15103" max="15103"/>
    <col width="14.83203125" customWidth="1" style="54" min="15104" max="15104"/>
    <col width="15.1640625" customWidth="1" style="54" min="15105" max="15105"/>
    <col width="16.1640625" customWidth="1" style="54" min="15106" max="15106"/>
    <col width="11.33203125" customWidth="1" style="54" min="15107" max="15107"/>
    <col width="9.1640625" customWidth="1" style="54" min="15108" max="15358"/>
    <col width="54.1640625" customWidth="1" style="54" min="15359" max="15359"/>
    <col width="14.83203125" customWidth="1" style="54" min="15360" max="15360"/>
    <col width="15.1640625" customWidth="1" style="54" min="15361" max="15361"/>
    <col width="16.1640625" customWidth="1" style="54" min="15362" max="15362"/>
    <col width="11.33203125" customWidth="1" style="54" min="15363" max="15363"/>
    <col width="9.1640625" customWidth="1" style="54" min="15364" max="15614"/>
    <col width="54.1640625" customWidth="1" style="54" min="15615" max="15615"/>
    <col width="14.83203125" customWidth="1" style="54" min="15616" max="15616"/>
    <col width="15.1640625" customWidth="1" style="54" min="15617" max="15617"/>
    <col width="16.1640625" customWidth="1" style="54" min="15618" max="15618"/>
    <col width="11.33203125" customWidth="1" style="54" min="15619" max="15619"/>
    <col width="9.1640625" customWidth="1" style="54" min="15620" max="15870"/>
    <col width="54.1640625" customWidth="1" style="54" min="15871" max="15871"/>
    <col width="14.83203125" customWidth="1" style="54" min="15872" max="15872"/>
    <col width="15.1640625" customWidth="1" style="54" min="15873" max="15873"/>
    <col width="16.1640625" customWidth="1" style="54" min="15874" max="15874"/>
    <col width="11.33203125" customWidth="1" style="54" min="15875" max="15875"/>
    <col width="9.1640625" customWidth="1" style="54" min="15876" max="16126"/>
    <col width="54.1640625" customWidth="1" style="54" min="16127" max="16127"/>
    <col width="14.83203125" customWidth="1" style="54" min="16128" max="16128"/>
    <col width="15.1640625" customWidth="1" style="54" min="16129" max="16129"/>
    <col width="16.1640625" customWidth="1" style="54" min="16130" max="16130"/>
    <col width="11.33203125" customWidth="1" style="54" min="16131" max="16131"/>
    <col width="9.1640625" customWidth="1" style="54" min="16132" max="16384"/>
  </cols>
  <sheetData>
    <row r="1">
      <c r="A1" s="54" t="inlineStr">
        <is>
          <t>Währungsaufteilung</t>
        </is>
      </c>
      <c r="B1" s="54" t="inlineStr">
        <is>
          <t>%</t>
        </is>
      </c>
      <c r="C1" s="54" t="inlineStr">
        <is>
          <t>Total EUR</t>
        </is>
      </c>
    </row>
    <row r="2">
      <c r="A2" s="54" t="inlineStr">
        <is>
          <t>CHF</t>
        </is>
      </c>
      <c r="B2" s="4">
        <f>C2/C$10</f>
        <v/>
      </c>
      <c r="C2" s="30">
        <f>Table1[[#Totals],[CHF]]</f>
        <v/>
      </c>
    </row>
    <row r="3">
      <c r="A3" s="54" t="inlineStr">
        <is>
          <t>EUR</t>
        </is>
      </c>
      <c r="B3" s="4">
        <f>C3/C$10</f>
        <v/>
      </c>
      <c r="C3" s="30">
        <f>Table1[[#Totals],[EUR]]</f>
        <v/>
      </c>
    </row>
    <row r="4">
      <c r="A4" s="54" t="inlineStr">
        <is>
          <t>GBP</t>
        </is>
      </c>
      <c r="B4" s="4">
        <f>C4/C$10</f>
        <v/>
      </c>
      <c r="C4" s="30">
        <f>Table1[[#Totals],[GBP]]</f>
        <v/>
      </c>
    </row>
    <row r="5">
      <c r="A5" s="54" t="inlineStr">
        <is>
          <t>USD</t>
        </is>
      </c>
      <c r="B5" s="4">
        <f>C5/C$10</f>
        <v/>
      </c>
      <c r="C5" s="30">
        <f>Table1[[#Totals],[USD]]</f>
        <v/>
      </c>
    </row>
    <row r="6">
      <c r="A6" s="54" t="inlineStr">
        <is>
          <t>JPY</t>
        </is>
      </c>
      <c r="B6" s="4">
        <f>C6/C$10</f>
        <v/>
      </c>
      <c r="C6" s="30">
        <f>Table1[[#Totals],[JPY]]</f>
        <v/>
      </c>
    </row>
    <row r="7">
      <c r="A7" s="54" t="inlineStr">
        <is>
          <t>SEK</t>
        </is>
      </c>
      <c r="B7" s="4">
        <f>C7/C$10</f>
        <v/>
      </c>
      <c r="C7" s="30">
        <f>Table1[[#Totals],[SEK]]</f>
        <v/>
      </c>
    </row>
    <row r="8">
      <c r="A8" s="54" t="inlineStr">
        <is>
          <t>RUB</t>
        </is>
      </c>
      <c r="B8" s="4">
        <f>C8/C$10</f>
        <v/>
      </c>
      <c r="C8" s="30">
        <f>Table1[[#Totals],[RUB]]</f>
        <v/>
      </c>
    </row>
    <row r="9">
      <c r="A9" s="54" t="inlineStr">
        <is>
          <t>NOK</t>
        </is>
      </c>
      <c r="B9" s="4">
        <f>C9/C$10</f>
        <v/>
      </c>
      <c r="C9" s="30">
        <f>Table1[[#Totals],[NOK]]</f>
        <v/>
      </c>
    </row>
    <row r="10">
      <c r="A10" s="54" t="inlineStr">
        <is>
          <t>Total</t>
        </is>
      </c>
      <c r="B10" s="4">
        <f>SUM(B2:B9)</f>
        <v/>
      </c>
      <c r="C10" s="30">
        <f>SUM(C2:C9)</f>
        <v/>
      </c>
    </row>
  </sheetData>
  <pageMargins left="0.787401575" right="0.787401575" top="0.984251969" bottom="0.984251969" header="0.5" footer="0.5"/>
  <pageSetup orientation="portrait" horizontalDpi="300" verticalDpi="300" copies="0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6"/>
  <sheetViews>
    <sheetView tabSelected="1" zoomScaleNormal="100" workbookViewId="0">
      <selection activeCell="I68" sqref="I68"/>
    </sheetView>
  </sheetViews>
  <sheetFormatPr baseColWidth="10" defaultColWidth="9.1640625" defaultRowHeight="15" outlineLevelCol="0"/>
  <cols>
    <col width="10.5" customWidth="1" style="68" min="1" max="1"/>
    <col width="10.6640625" customWidth="1" style="68" min="2" max="2"/>
    <col width="8.6640625" customWidth="1" style="68" min="3" max="3"/>
    <col width="11.33203125" customWidth="1" style="68" min="4" max="4"/>
    <col width="8.6640625" customWidth="1" style="68" min="5" max="1025"/>
  </cols>
  <sheetData>
    <row r="1">
      <c r="A1" t="inlineStr">
        <is>
          <t>Dieser Monat</t>
        </is>
      </c>
    </row>
    <row r="2">
      <c r="A2" t="inlineStr">
        <is>
          <t>Datum</t>
        </is>
      </c>
      <c r="B2" t="inlineStr">
        <is>
          <t>Summe von valor</t>
        </is>
      </c>
    </row>
    <row r="3">
      <c r="A3" t="inlineStr">
        <is>
          <t>2020-08-31</t>
        </is>
      </c>
      <c r="B3" t="n">
        <v>134.28</v>
      </c>
    </row>
    <row r="4">
      <c r="A4" t="inlineStr">
        <is>
          <t>2020-09-30</t>
        </is>
      </c>
      <c r="B4" t="n">
        <v>131.68</v>
      </c>
    </row>
    <row r="10">
      <c r="A10" t="inlineStr">
        <is>
          <t>1 Monat</t>
        </is>
      </c>
    </row>
    <row r="11">
      <c r="A11" t="inlineStr">
        <is>
          <t>Datum</t>
        </is>
      </c>
      <c r="B11" t="inlineStr">
        <is>
          <t>Summe von valor</t>
        </is>
      </c>
    </row>
    <row r="12">
      <c r="A12" t="inlineStr">
        <is>
          <t>2020-08-31</t>
        </is>
      </c>
      <c r="B12" t="n">
        <v>134.28</v>
      </c>
    </row>
    <row r="13">
      <c r="A13" t="inlineStr">
        <is>
          <t>2020-09-30</t>
        </is>
      </c>
      <c r="B13" t="n">
        <v>131.68</v>
      </c>
    </row>
    <row r="19">
      <c r="A19" t="inlineStr">
        <is>
          <t>3 Monate</t>
        </is>
      </c>
    </row>
    <row r="20">
      <c r="A20" t="inlineStr">
        <is>
          <t>Datum</t>
        </is>
      </c>
      <c r="B20" t="inlineStr">
        <is>
          <t>Summe von valor</t>
        </is>
      </c>
    </row>
    <row r="21">
      <c r="A21" t="inlineStr">
        <is>
          <t>2020-06-30</t>
        </is>
      </c>
      <c r="B21" t="n">
        <v>119.95</v>
      </c>
    </row>
    <row r="22">
      <c r="A22" t="inlineStr">
        <is>
          <t>2020-09-30</t>
        </is>
      </c>
      <c r="B22" t="n">
        <v>131.68</v>
      </c>
    </row>
    <row r="28">
      <c r="A28" t="inlineStr">
        <is>
          <t>6 Monate</t>
        </is>
      </c>
    </row>
    <row r="29">
      <c r="A29" t="inlineStr">
        <is>
          <t>Datum</t>
        </is>
      </c>
      <c r="B29" t="inlineStr">
        <is>
          <t>Summe von valor</t>
        </is>
      </c>
    </row>
    <row r="30">
      <c r="A30" t="inlineStr">
        <is>
          <t>2020-03-31</t>
        </is>
      </c>
      <c r="B30" t="n">
        <v>97.68000000000001</v>
      </c>
    </row>
    <row r="31">
      <c r="A31" t="inlineStr">
        <is>
          <t>2020-09-30</t>
        </is>
      </c>
      <c r="B31" t="n">
        <v>131.68</v>
      </c>
    </row>
    <row r="37">
      <c r="A37" t="inlineStr">
        <is>
          <t>1 Jahr</t>
        </is>
      </c>
    </row>
    <row r="38">
      <c r="A38" t="inlineStr">
        <is>
          <t>Datum</t>
        </is>
      </c>
      <c r="B38" t="inlineStr">
        <is>
          <t>Summe von valor</t>
        </is>
      </c>
    </row>
    <row r="39">
      <c r="A39" t="inlineStr">
        <is>
          <t>2019-09-30</t>
        </is>
      </c>
      <c r="B39" t="n">
        <v>108.62</v>
      </c>
    </row>
    <row r="40">
      <c r="A40" t="inlineStr">
        <is>
          <t>2020-09-30</t>
        </is>
      </c>
      <c r="B40" t="n">
        <v>131.68</v>
      </c>
    </row>
    <row r="46">
      <c r="A46" t="inlineStr">
        <is>
          <t>2 Jahre</t>
        </is>
      </c>
    </row>
    <row r="47">
      <c r="A47" t="inlineStr">
        <is>
          <t>Datum</t>
        </is>
      </c>
      <c r="B47" t="inlineStr">
        <is>
          <t>Summe von valor</t>
        </is>
      </c>
    </row>
    <row r="48">
      <c r="A48" t="inlineStr">
        <is>
          <t>2018-09-30</t>
        </is>
      </c>
      <c r="B48" t="n">
        <v>101.07</v>
      </c>
    </row>
    <row r="49">
      <c r="A49" t="inlineStr">
        <is>
          <t>2020-09-30</t>
        </is>
      </c>
      <c r="B49" t="n">
        <v>131.68</v>
      </c>
    </row>
    <row r="55">
      <c r="A55" t="inlineStr">
        <is>
          <t>3 Jahre</t>
        </is>
      </c>
    </row>
    <row r="56">
      <c r="A56" t="inlineStr">
        <is>
          <t>Datum</t>
        </is>
      </c>
      <c r="B56" t="inlineStr">
        <is>
          <t>Summe von valor</t>
        </is>
      </c>
    </row>
    <row r="57">
      <c r="A57" t="inlineStr">
        <is>
          <t>2017-09-30</t>
        </is>
      </c>
      <c r="B57" t="n">
        <v>104.17</v>
      </c>
    </row>
    <row r="58">
      <c r="A58" t="inlineStr">
        <is>
          <t>2020-09-30</t>
        </is>
      </c>
      <c r="B58" t="n">
        <v>131.68</v>
      </c>
    </row>
    <row r="64">
      <c r="A64" t="inlineStr">
        <is>
          <t>5 Jahre</t>
        </is>
      </c>
    </row>
    <row r="65">
      <c r="A65" t="inlineStr">
        <is>
          <t>Datum</t>
        </is>
      </c>
      <c r="B65" t="inlineStr">
        <is>
          <t>Summe von valor</t>
        </is>
      </c>
    </row>
    <row r="66">
      <c r="A66" t="inlineStr">
        <is>
          <t>2015-09-30</t>
        </is>
      </c>
      <c r="B66" t="n">
        <v>80.81</v>
      </c>
    </row>
    <row r="67">
      <c r="A67" t="inlineStr">
        <is>
          <t>2020-09-30</t>
        </is>
      </c>
      <c r="B67" t="n">
        <v>131.68</v>
      </c>
    </row>
    <row r="73">
      <c r="A73" t="inlineStr">
        <is>
          <t>10 Jahre</t>
        </is>
      </c>
    </row>
    <row r="74">
      <c r="A74" t="inlineStr">
        <is>
          <t>Datum</t>
        </is>
      </c>
      <c r="B74" t="inlineStr">
        <is>
          <t>Summe von valor</t>
        </is>
      </c>
    </row>
    <row r="75">
      <c r="A75" t="inlineStr">
        <is>
          <t>2010-09-30</t>
        </is>
      </c>
      <c r="B75" t="n">
        <v>138.04</v>
      </c>
    </row>
    <row r="76">
      <c r="A76" t="inlineStr">
        <is>
          <t>2020-09-30</t>
        </is>
      </c>
      <c r="B76" t="n">
        <v>131.68</v>
      </c>
    </row>
  </sheetData>
  <conditionalFormatting sqref="B2:B5">
    <cfRule type="colorScale" priority="1">
      <colorScale>
        <cfvo type="min"/>
        <cfvo type="max"/>
        <color rgb="FFAA0000"/>
        <color rgb="FF00AA00"/>
      </colorScale>
    </cfRule>
    <cfRule type="colorScale" priority="10">
      <colorScale>
        <cfvo type="min"/>
        <cfvo type="max"/>
        <color rgb="00FF4B24"/>
        <color rgb="FF00AA00"/>
      </colorScale>
    </cfRule>
    <cfRule type="colorScale" priority="19">
      <colorScale>
        <cfvo type="min"/>
        <cfvo type="max"/>
        <color rgb="00FF0000"/>
        <color rgb="0000FF00"/>
      </colorScale>
    </cfRule>
    <cfRule type="colorScale" priority="28">
      <colorScale>
        <cfvo type="min"/>
        <cfvo type="max"/>
        <color rgb="00AA0000"/>
        <color rgb="0000AA00"/>
      </colorScale>
    </cfRule>
  </conditionalFormatting>
  <conditionalFormatting sqref="B11:B14">
    <cfRule type="colorScale" priority="2">
      <colorScale>
        <cfvo type="min"/>
        <cfvo type="max"/>
        <color rgb="FFAA0000"/>
        <color rgb="FF00AA00"/>
      </colorScale>
    </cfRule>
    <cfRule type="colorScale" priority="11">
      <colorScale>
        <cfvo type="min"/>
        <cfvo type="max"/>
        <color rgb="00FF4B24"/>
        <color rgb="FF00AA00"/>
      </colorScale>
    </cfRule>
    <cfRule type="colorScale" priority="20">
      <colorScale>
        <cfvo type="min"/>
        <cfvo type="max"/>
        <color rgb="00FF0000"/>
        <color rgb="0000FF00"/>
      </colorScale>
    </cfRule>
    <cfRule type="colorScale" priority="29">
      <colorScale>
        <cfvo type="min"/>
        <cfvo type="max"/>
        <color rgb="00AA0000"/>
        <color rgb="0000AA00"/>
      </colorScale>
    </cfRule>
  </conditionalFormatting>
  <conditionalFormatting sqref="B20:B23">
    <cfRule type="colorScale" priority="3">
      <colorScale>
        <cfvo type="min"/>
        <cfvo type="max"/>
        <color rgb="FFAA0000"/>
        <color rgb="FF00AA00"/>
      </colorScale>
    </cfRule>
    <cfRule type="colorScale" priority="12">
      <colorScale>
        <cfvo type="min"/>
        <cfvo type="max"/>
        <color rgb="00FF4B24"/>
        <color rgb="FF00AA00"/>
      </colorScale>
    </cfRule>
    <cfRule type="colorScale" priority="21">
      <colorScale>
        <cfvo type="min"/>
        <cfvo type="max"/>
        <color rgb="00FF0000"/>
        <color rgb="0000FF00"/>
      </colorScale>
    </cfRule>
    <cfRule type="colorScale" priority="30">
      <colorScale>
        <cfvo type="min"/>
        <cfvo type="max"/>
        <color rgb="00AA0000"/>
        <color rgb="0000AA00"/>
      </colorScale>
    </cfRule>
  </conditionalFormatting>
  <conditionalFormatting sqref="B29:B32">
    <cfRule type="colorScale" priority="4">
      <colorScale>
        <cfvo type="min"/>
        <cfvo type="max"/>
        <color rgb="FFAA0000"/>
        <color rgb="FF00AA00"/>
      </colorScale>
    </cfRule>
    <cfRule type="colorScale" priority="13">
      <colorScale>
        <cfvo type="min"/>
        <cfvo type="max"/>
        <color rgb="00FF4B24"/>
        <color rgb="FF00AA00"/>
      </colorScale>
    </cfRule>
    <cfRule type="colorScale" priority="22">
      <colorScale>
        <cfvo type="min"/>
        <cfvo type="max"/>
        <color rgb="00FF0000"/>
        <color rgb="0000FF00"/>
      </colorScale>
    </cfRule>
    <cfRule type="colorScale" priority="31">
      <colorScale>
        <cfvo type="min"/>
        <cfvo type="max"/>
        <color rgb="00AA0000"/>
        <color rgb="0000AA00"/>
      </colorScale>
    </cfRule>
  </conditionalFormatting>
  <conditionalFormatting sqref="B38:B41">
    <cfRule type="colorScale" priority="5">
      <colorScale>
        <cfvo type="min"/>
        <cfvo type="max"/>
        <color rgb="FFAA0000"/>
        <color rgb="FF00AA00"/>
      </colorScale>
    </cfRule>
    <cfRule type="colorScale" priority="14">
      <colorScale>
        <cfvo type="min"/>
        <cfvo type="max"/>
        <color rgb="00FF4B24"/>
        <color rgb="FF00AA00"/>
      </colorScale>
    </cfRule>
    <cfRule type="colorScale" priority="23">
      <colorScale>
        <cfvo type="min"/>
        <cfvo type="max"/>
        <color rgb="00FF0000"/>
        <color rgb="0000FF00"/>
      </colorScale>
    </cfRule>
    <cfRule type="colorScale" priority="32">
      <colorScale>
        <cfvo type="min"/>
        <cfvo type="max"/>
        <color rgb="00AA0000"/>
        <color rgb="0000AA00"/>
      </colorScale>
    </cfRule>
  </conditionalFormatting>
  <conditionalFormatting sqref="B47:B50">
    <cfRule type="colorScale" priority="6">
      <colorScale>
        <cfvo type="min"/>
        <cfvo type="max"/>
        <color rgb="FFAA0000"/>
        <color rgb="FF00AA00"/>
      </colorScale>
    </cfRule>
    <cfRule type="colorScale" priority="15">
      <colorScale>
        <cfvo type="min"/>
        <cfvo type="max"/>
        <color rgb="00FF4B24"/>
        <color rgb="FF00AA00"/>
      </colorScale>
    </cfRule>
    <cfRule type="colorScale" priority="24">
      <colorScale>
        <cfvo type="min"/>
        <cfvo type="max"/>
        <color rgb="00FF0000"/>
        <color rgb="0000FF00"/>
      </colorScale>
    </cfRule>
    <cfRule type="colorScale" priority="33">
      <colorScale>
        <cfvo type="min"/>
        <cfvo type="max"/>
        <color rgb="00AA0000"/>
        <color rgb="0000AA00"/>
      </colorScale>
    </cfRule>
  </conditionalFormatting>
  <conditionalFormatting sqref="B56:B59">
    <cfRule type="colorScale" priority="7">
      <colorScale>
        <cfvo type="min"/>
        <cfvo type="max"/>
        <color rgb="FFAA0000"/>
        <color rgb="FF00AA00"/>
      </colorScale>
    </cfRule>
    <cfRule type="colorScale" priority="16">
      <colorScale>
        <cfvo type="min"/>
        <cfvo type="max"/>
        <color rgb="00FF4B24"/>
        <color rgb="FF00AA00"/>
      </colorScale>
    </cfRule>
    <cfRule type="colorScale" priority="25">
      <colorScale>
        <cfvo type="min"/>
        <cfvo type="max"/>
        <color rgb="00FF0000"/>
        <color rgb="0000FF00"/>
      </colorScale>
    </cfRule>
    <cfRule type="colorScale" priority="34">
      <colorScale>
        <cfvo type="min"/>
        <cfvo type="max"/>
        <color rgb="00AA0000"/>
        <color rgb="0000AA00"/>
      </colorScale>
    </cfRule>
  </conditionalFormatting>
  <conditionalFormatting sqref="B65:B68">
    <cfRule type="colorScale" priority="8">
      <colorScale>
        <cfvo type="min"/>
        <cfvo type="max"/>
        <color rgb="FFAA0000"/>
        <color rgb="FF00AA00"/>
      </colorScale>
    </cfRule>
    <cfRule type="colorScale" priority="17">
      <colorScale>
        <cfvo type="min"/>
        <cfvo type="max"/>
        <color rgb="00FF4B24"/>
        <color rgb="FF00AA00"/>
      </colorScale>
    </cfRule>
    <cfRule type="colorScale" priority="26">
      <colorScale>
        <cfvo type="min"/>
        <cfvo type="max"/>
        <color rgb="00FF0000"/>
        <color rgb="0000FF00"/>
      </colorScale>
    </cfRule>
    <cfRule type="colorScale" priority="35">
      <colorScale>
        <cfvo type="min"/>
        <cfvo type="max"/>
        <color rgb="00AA0000"/>
        <color rgb="0000AA00"/>
      </colorScale>
    </cfRule>
  </conditionalFormatting>
  <conditionalFormatting sqref="B74:B77">
    <cfRule type="colorScale" priority="9">
      <colorScale>
        <cfvo type="min"/>
        <cfvo type="max"/>
        <color rgb="FFAA0000"/>
        <color rgb="FF00AA00"/>
      </colorScale>
    </cfRule>
    <cfRule type="colorScale" priority="18">
      <colorScale>
        <cfvo type="min"/>
        <cfvo type="max"/>
        <color rgb="00FF4B24"/>
        <color rgb="FF00AA00"/>
      </colorScale>
    </cfRule>
    <cfRule type="colorScale" priority="27">
      <colorScale>
        <cfvo type="min"/>
        <cfvo type="max"/>
        <color rgb="00FF0000"/>
        <color rgb="0000FF00"/>
      </colorScale>
    </cfRule>
    <cfRule type="colorScale" priority="36">
      <colorScale>
        <cfvo type="min"/>
        <cfvo type="max"/>
        <color rgb="00AA0000"/>
        <color rgb="0000AA00"/>
      </colorScale>
    </cfRule>
  </conditionalFormatting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FFFF38"/>
    <outlinePr summaryBelow="1" summaryRight="1"/>
    <pageSetUpPr/>
  </sheetPr>
  <dimension ref="A1:C17"/>
  <sheetViews>
    <sheetView zoomScaleNormal="100" workbookViewId="0">
      <selection activeCell="E27" sqref="E27"/>
    </sheetView>
  </sheetViews>
  <sheetFormatPr baseColWidth="10" defaultColWidth="9.1640625" defaultRowHeight="15" outlineLevelCol="0"/>
  <cols>
    <col width="11.1640625" customWidth="1" style="68" min="1" max="1"/>
    <col width="10.6640625" customWidth="1" style="68" min="2" max="2"/>
    <col width="11.1640625" customWidth="1" style="68" min="3" max="3"/>
    <col width="8.6640625" customWidth="1" style="68" min="4" max="4"/>
    <col width="21.1640625" customWidth="1" style="68" min="5" max="5"/>
    <col width="8.6640625" customWidth="1" style="68" min="6" max="1025"/>
  </cols>
  <sheetData>
    <row r="1">
      <c r="A1" t="inlineStr">
        <is>
          <t>Abfrage Valor</t>
        </is>
      </c>
    </row>
    <row r="2">
      <c r="A2" t="inlineStr">
        <is>
          <t>Datum</t>
        </is>
      </c>
      <c r="B2" t="inlineStr">
        <is>
          <t>Summe von valor</t>
        </is>
      </c>
    </row>
    <row r="3">
      <c r="A3" t="inlineStr">
        <is>
          <t>2015-09-30</t>
        </is>
      </c>
      <c r="B3" t="n">
        <v>80.81</v>
      </c>
    </row>
    <row r="4">
      <c r="A4" t="inlineStr">
        <is>
          <t>2016-09-30</t>
        </is>
      </c>
      <c r="B4" t="n">
        <v>94.2</v>
      </c>
    </row>
    <row r="5">
      <c r="A5" t="inlineStr">
        <is>
          <t>2017-09-30</t>
        </is>
      </c>
      <c r="B5" t="n">
        <v>104.17</v>
      </c>
    </row>
    <row r="6">
      <c r="A6" t="inlineStr">
        <is>
          <t>2018-09-30</t>
        </is>
      </c>
      <c r="B6" t="n">
        <v>101.07</v>
      </c>
    </row>
    <row r="7">
      <c r="A7" t="inlineStr">
        <is>
          <t>2019-09-30</t>
        </is>
      </c>
      <c r="B7" t="n">
        <v>108.62</v>
      </c>
    </row>
    <row r="8">
      <c r="A8" t="inlineStr">
        <is>
          <t>2020-09-30</t>
        </is>
      </c>
      <c r="B8" t="n">
        <v>131.68</v>
      </c>
    </row>
    <row r="12">
      <c r="A12" s="2" t="inlineStr">
        <is>
          <t>Start</t>
        </is>
      </c>
      <c r="B12" s="2" t="inlineStr">
        <is>
          <t>Ende</t>
        </is>
      </c>
      <c r="C12" s="2" t="inlineStr">
        <is>
          <t>Entwicklung</t>
        </is>
      </c>
    </row>
    <row r="13">
      <c r="A13" s="2">
        <f>A3</f>
        <v/>
      </c>
      <c r="B13" s="2">
        <f>A4</f>
        <v/>
      </c>
      <c r="C13" s="3">
        <f>B4/B3-1</f>
        <v/>
      </c>
    </row>
    <row r="14">
      <c r="A14" s="2">
        <f>A4</f>
        <v/>
      </c>
      <c r="B14" s="2">
        <f>A5</f>
        <v/>
      </c>
      <c r="C14" s="3">
        <f>B5/B4-1</f>
        <v/>
      </c>
    </row>
    <row r="15">
      <c r="A15" s="2">
        <f>A5</f>
        <v/>
      </c>
      <c r="B15" s="2">
        <f>A6</f>
        <v/>
      </c>
      <c r="C15" s="3">
        <f>B6/B5-1</f>
        <v/>
      </c>
    </row>
    <row r="16">
      <c r="A16" s="2">
        <f>A6</f>
        <v/>
      </c>
      <c r="B16" s="2">
        <f>A7</f>
        <v/>
      </c>
      <c r="C16" s="3">
        <f>B7/B6-1</f>
        <v/>
      </c>
    </row>
    <row r="17">
      <c r="A17" s="2">
        <f>A7</f>
        <v/>
      </c>
      <c r="B17" s="2">
        <f>A8</f>
        <v/>
      </c>
      <c r="C17" s="3">
        <f>B8/B7-1</f>
        <v/>
      </c>
    </row>
  </sheetData>
  <conditionalFormatting sqref="B2:B9">
    <cfRule type="colorScale" priority="1">
      <colorScale>
        <cfvo type="min"/>
        <cfvo type="max"/>
        <color rgb="FFAA0000"/>
        <color rgb="FF00AA00"/>
      </colorScale>
    </cfRule>
    <cfRule type="colorScale" priority="2">
      <colorScale>
        <cfvo type="min"/>
        <cfvo type="max"/>
        <color rgb="00FF4B24"/>
        <color rgb="FF00AA00"/>
      </colorScale>
    </cfRule>
    <cfRule type="colorScale" priority="3">
      <colorScale>
        <cfvo type="min"/>
        <cfvo type="max"/>
        <color rgb="00FF0000"/>
        <color rgb="0000FF00"/>
      </colorScale>
    </cfRule>
    <cfRule type="colorScale" priority="4">
      <colorScale>
        <cfvo type="min"/>
        <cfvo type="max"/>
        <color rgb="00AA0000"/>
        <color rgb="0000AA00"/>
      </colorScale>
    </cfRule>
  </conditionalFormatting>
  <pageMargins left="0.7" right="0.7" top="0.75" bottom="0.75" header="0.511805555555555" footer="0.51180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2020-09-29T10:12:21Z</dcterms:created>
  <dcterms:modified xsi:type="dcterms:W3CDTF">2020-10-05T11:00:52Z</dcterms:modified>
  <cp:lastModifiedBy>Microsoft Office User</cp:lastModifiedBy>
  <cp:revision>2</cp:revision>
</cp:coreProperties>
</file>