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ae\Desktop\"/>
    </mc:Choice>
  </mc:AlternateContent>
  <bookViews>
    <workbookView xWindow="16020" yWindow="3300" windowWidth="19520" windowHeight="16440"/>
  </bookViews>
  <sheets>
    <sheet name="Winds of Change" sheetId="20" r:id="rId1"/>
    <sheet name="EPS" sheetId="1" r:id="rId2"/>
    <sheet name="Coal Decommision" sheetId="2" r:id="rId3"/>
    <sheet name="Capacity and Generation" sheetId="3" r:id="rId4"/>
    <sheet name="Current Demand" sheetId="11" r:id="rId5"/>
    <sheet name="Demand BAU" sheetId="12" r:id="rId6"/>
    <sheet name="Demand Total" sheetId="5" r:id="rId7"/>
    <sheet name="Demand Source" sheetId="4" r:id="rId8"/>
    <sheet name="Demand Elec" sheetId="6" r:id="rId9"/>
    <sheet name="Transport" sheetId="7" r:id="rId10"/>
    <sheet name="Industry" sheetId="8" r:id="rId11"/>
    <sheet name="Residential" sheetId="9" r:id="rId12"/>
    <sheet name="CommPublic" sheetId="10" r:id="rId13"/>
    <sheet name="Financial Summary" sheetId="13" r:id="rId14"/>
    <sheet name="Utility" sheetId="14" r:id="rId15"/>
    <sheet name="Demand" sheetId="15" r:id="rId16"/>
    <sheet name="For Transport " sheetId="16" r:id="rId17"/>
    <sheet name="Total per Tech" sheetId="17" r:id="rId18"/>
    <sheet name="Total per Fuel" sheetId="18" r:id="rId19"/>
    <sheet name="Decommission" sheetId="19" r:id="rId20"/>
  </sheets>
  <externalReferences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9" l="1"/>
  <c r="D6" i="19" s="1"/>
  <c r="E6" i="19" s="1"/>
  <c r="C4" i="19"/>
  <c r="C3" i="19"/>
  <c r="D4" i="19" s="1"/>
  <c r="E4" i="19" s="1"/>
  <c r="F6" i="17"/>
  <c r="D6" i="17"/>
  <c r="C6" i="17"/>
  <c r="F15" i="16"/>
  <c r="C13" i="16"/>
  <c r="C12" i="16"/>
  <c r="F11" i="16"/>
  <c r="F12" i="16" s="1"/>
  <c r="F13" i="16" s="1"/>
  <c r="C11" i="16"/>
  <c r="H56" i="15"/>
  <c r="AF34" i="15" s="1"/>
  <c r="N52" i="15"/>
  <c r="Z33" i="15" s="1"/>
  <c r="N51" i="15"/>
  <c r="K50" i="15"/>
  <c r="K51" i="15" s="1"/>
  <c r="K52" i="15" s="1"/>
  <c r="H50" i="15"/>
  <c r="H51" i="15" s="1"/>
  <c r="H52" i="15" s="1"/>
  <c r="E50" i="15"/>
  <c r="E51" i="15" s="1"/>
  <c r="E52" i="15" s="1"/>
  <c r="BG25" i="15" s="1"/>
  <c r="G42" i="15"/>
  <c r="P36" i="15"/>
  <c r="BE35" i="15"/>
  <c r="AW35" i="15"/>
  <c r="AT35" i="15"/>
  <c r="AS35" i="15"/>
  <c r="AO35" i="15"/>
  <c r="AF35" i="15"/>
  <c r="AB35" i="15"/>
  <c r="Z35" i="15"/>
  <c r="K35" i="15"/>
  <c r="J35" i="15"/>
  <c r="BK34" i="15"/>
  <c r="BE34" i="15"/>
  <c r="AT34" i="15"/>
  <c r="AS34" i="15"/>
  <c r="AO34" i="15"/>
  <c r="AB34" i="15"/>
  <c r="Z34" i="15"/>
  <c r="K34" i="15"/>
  <c r="BK33" i="15"/>
  <c r="BE33" i="15"/>
  <c r="AT33" i="15"/>
  <c r="AS33" i="15"/>
  <c r="AO33" i="15"/>
  <c r="AF33" i="15"/>
  <c r="AB33" i="15"/>
  <c r="K33" i="15"/>
  <c r="J33" i="15"/>
  <c r="BE32" i="15"/>
  <c r="AW32" i="15"/>
  <c r="AT32" i="15"/>
  <c r="AS32" i="15"/>
  <c r="AO32" i="15"/>
  <c r="AB32" i="15"/>
  <c r="Z32" i="15"/>
  <c r="K32" i="15"/>
  <c r="J32" i="15"/>
  <c r="BK31" i="15"/>
  <c r="BE31" i="15"/>
  <c r="AT31" i="15"/>
  <c r="AS31" i="15"/>
  <c r="AO31" i="15"/>
  <c r="AB31" i="15"/>
  <c r="K31" i="15"/>
  <c r="BE30" i="15"/>
  <c r="AW30" i="15"/>
  <c r="AT30" i="15"/>
  <c r="AS30" i="15"/>
  <c r="AO30" i="15"/>
  <c r="AF30" i="15"/>
  <c r="AB30" i="15"/>
  <c r="K30" i="15"/>
  <c r="J30" i="15"/>
  <c r="BE29" i="15"/>
  <c r="AW29" i="15"/>
  <c r="AT29" i="15"/>
  <c r="AS29" i="15"/>
  <c r="AO29" i="15"/>
  <c r="AB29" i="15"/>
  <c r="Z29" i="15"/>
  <c r="K29" i="15"/>
  <c r="BK28" i="15"/>
  <c r="BE28" i="15"/>
  <c r="AT28" i="15"/>
  <c r="AS28" i="15"/>
  <c r="AO28" i="15"/>
  <c r="AF28" i="15"/>
  <c r="AB28" i="15"/>
  <c r="K28" i="15"/>
  <c r="BE27" i="15"/>
  <c r="AW27" i="15"/>
  <c r="AT27" i="15"/>
  <c r="AS27" i="15"/>
  <c r="AO27" i="15"/>
  <c r="AF27" i="15"/>
  <c r="AB27" i="15"/>
  <c r="Z27" i="15"/>
  <c r="K27" i="15"/>
  <c r="J27" i="15"/>
  <c r="BK26" i="15"/>
  <c r="BE26" i="15"/>
  <c r="AT26" i="15"/>
  <c r="AS26" i="15"/>
  <c r="AQ26" i="15"/>
  <c r="AO26" i="15"/>
  <c r="AB26" i="15"/>
  <c r="Z26" i="15"/>
  <c r="K26" i="15"/>
  <c r="BK25" i="15"/>
  <c r="BI25" i="15"/>
  <c r="BE25" i="15"/>
  <c r="AT25" i="15"/>
  <c r="AO25" i="15"/>
  <c r="AF25" i="15"/>
  <c r="AB25" i="15"/>
  <c r="P25" i="15"/>
  <c r="N25" i="15"/>
  <c r="K25" i="15"/>
  <c r="BE24" i="15"/>
  <c r="AW24" i="15"/>
  <c r="AT24" i="15"/>
  <c r="AO24" i="15"/>
  <c r="AF24" i="15"/>
  <c r="AB24" i="15"/>
  <c r="N24" i="15"/>
  <c r="K24" i="15"/>
  <c r="J24" i="15"/>
  <c r="BE23" i="15"/>
  <c r="AW23" i="15"/>
  <c r="AT23" i="15"/>
  <c r="AS23" i="15"/>
  <c r="AO23" i="15"/>
  <c r="AB23" i="15"/>
  <c r="Z23" i="15"/>
  <c r="K23" i="15"/>
  <c r="J23" i="15"/>
  <c r="BK22" i="15"/>
  <c r="BI22" i="15"/>
  <c r="BE22" i="15"/>
  <c r="AT22" i="15"/>
  <c r="AS22" i="15"/>
  <c r="AO22" i="15"/>
  <c r="AB22" i="15"/>
  <c r="Z22" i="15"/>
  <c r="R22" i="15"/>
  <c r="P22" i="15"/>
  <c r="K22" i="15"/>
  <c r="BK21" i="15"/>
  <c r="BI21" i="15"/>
  <c r="BG21" i="15"/>
  <c r="BE21" i="15"/>
  <c r="AW21" i="15"/>
  <c r="AT21" i="15"/>
  <c r="AS21" i="15"/>
  <c r="AO21" i="15"/>
  <c r="AF21" i="15"/>
  <c r="AB21" i="15"/>
  <c r="Z21" i="15"/>
  <c r="R21" i="15"/>
  <c r="P21" i="15"/>
  <c r="N21" i="15"/>
  <c r="K21" i="15"/>
  <c r="BK20" i="15"/>
  <c r="BI20" i="15"/>
  <c r="BG20" i="15"/>
  <c r="BE20" i="15"/>
  <c r="AW20" i="15"/>
  <c r="AT20" i="15"/>
  <c r="AS20" i="15"/>
  <c r="AO20" i="15"/>
  <c r="AF20" i="15"/>
  <c r="AB20" i="15"/>
  <c r="N20" i="15"/>
  <c r="K20" i="15"/>
  <c r="J20" i="15"/>
  <c r="BI19" i="15"/>
  <c r="BE19" i="15"/>
  <c r="AW19" i="15"/>
  <c r="AT19" i="15"/>
  <c r="AS19" i="15"/>
  <c r="AO19" i="15"/>
  <c r="AF19" i="15"/>
  <c r="AD19" i="15"/>
  <c r="AB19" i="15"/>
  <c r="Z19" i="15"/>
  <c r="K19" i="15"/>
  <c r="J19" i="15"/>
  <c r="BK18" i="15"/>
  <c r="BI18" i="15"/>
  <c r="BE18" i="15"/>
  <c r="AW18" i="15"/>
  <c r="AT18" i="15"/>
  <c r="AS18" i="15"/>
  <c r="AO18" i="15"/>
  <c r="AF18" i="15"/>
  <c r="AB18" i="15"/>
  <c r="Z18" i="15"/>
  <c r="R18" i="15"/>
  <c r="P18" i="15"/>
  <c r="K18" i="15"/>
  <c r="J18" i="15"/>
  <c r="BK17" i="15"/>
  <c r="BI17" i="15"/>
  <c r="BG17" i="15"/>
  <c r="BE17" i="15"/>
  <c r="AW17" i="15"/>
  <c r="AT17" i="15"/>
  <c r="AS17" i="15"/>
  <c r="AO17" i="15"/>
  <c r="AF17" i="15"/>
  <c r="AB17" i="15"/>
  <c r="Z17" i="15"/>
  <c r="R17" i="15"/>
  <c r="N17" i="15"/>
  <c r="K17" i="15"/>
  <c r="BK16" i="15"/>
  <c r="BI16" i="15"/>
  <c r="BE16" i="15"/>
  <c r="AW16" i="15"/>
  <c r="AT16" i="15"/>
  <c r="AS16" i="15"/>
  <c r="AO16" i="15"/>
  <c r="AF16" i="15"/>
  <c r="AD16" i="15"/>
  <c r="AB16" i="15"/>
  <c r="N16" i="15"/>
  <c r="K16" i="15"/>
  <c r="J16" i="15"/>
  <c r="BI15" i="15"/>
  <c r="BE15" i="15"/>
  <c r="AW15" i="15"/>
  <c r="AT15" i="15"/>
  <c r="AS15" i="15"/>
  <c r="AO15" i="15"/>
  <c r="AF15" i="15"/>
  <c r="AD15" i="15"/>
  <c r="AB15" i="15"/>
  <c r="Z15" i="15"/>
  <c r="K15" i="15"/>
  <c r="J15" i="15"/>
  <c r="BK14" i="15"/>
  <c r="BI14" i="15"/>
  <c r="BE14" i="15"/>
  <c r="AW14" i="15"/>
  <c r="AT14" i="15"/>
  <c r="AS14" i="15"/>
  <c r="AO14" i="15"/>
  <c r="AF14" i="15"/>
  <c r="AB14" i="15"/>
  <c r="Z14" i="15"/>
  <c r="R14" i="15"/>
  <c r="K14" i="15"/>
  <c r="J14" i="15"/>
  <c r="BK13" i="15"/>
  <c r="BI13" i="15"/>
  <c r="BE13" i="15"/>
  <c r="AW13" i="15"/>
  <c r="AT13" i="15"/>
  <c r="AS13" i="15"/>
  <c r="AQ13" i="15"/>
  <c r="AO13" i="15"/>
  <c r="AF13" i="15"/>
  <c r="AB13" i="15"/>
  <c r="Z13" i="15"/>
  <c r="N13" i="15"/>
  <c r="K13" i="15"/>
  <c r="J13" i="15"/>
  <c r="BK12" i="15"/>
  <c r="BI12" i="15"/>
  <c r="BG12" i="15"/>
  <c r="BE12" i="15"/>
  <c r="AW12" i="15"/>
  <c r="AT12" i="15"/>
  <c r="AS12" i="15"/>
  <c r="AO12" i="15"/>
  <c r="AF12" i="15"/>
  <c r="AD12" i="15"/>
  <c r="AB12" i="15"/>
  <c r="Z12" i="15"/>
  <c r="N12" i="15"/>
  <c r="K12" i="15"/>
  <c r="J12" i="15"/>
  <c r="BK11" i="15"/>
  <c r="BI11" i="15"/>
  <c r="BE11" i="15"/>
  <c r="AW11" i="15"/>
  <c r="AT11" i="15"/>
  <c r="AS11" i="15"/>
  <c r="AO11" i="15"/>
  <c r="AF11" i="15"/>
  <c r="AD11" i="15"/>
  <c r="AB11" i="15"/>
  <c r="Z11" i="15"/>
  <c r="K11" i="15"/>
  <c r="J11" i="15"/>
  <c r="BK10" i="15"/>
  <c r="BI10" i="15"/>
  <c r="BE10" i="15"/>
  <c r="AW10" i="15"/>
  <c r="AT10" i="15"/>
  <c r="AS10" i="15"/>
  <c r="AO10" i="15"/>
  <c r="AF10" i="15"/>
  <c r="AB10" i="15"/>
  <c r="Z10" i="15"/>
  <c r="R10" i="15"/>
  <c r="P10" i="15"/>
  <c r="K10" i="15"/>
  <c r="J10" i="15"/>
  <c r="BK9" i="15"/>
  <c r="BI9" i="15"/>
  <c r="BE9" i="15"/>
  <c r="AW9" i="15"/>
  <c r="AT9" i="15"/>
  <c r="AS9" i="15"/>
  <c r="AQ9" i="15"/>
  <c r="AO9" i="15"/>
  <c r="AF9" i="15"/>
  <c r="AB9" i="15"/>
  <c r="Z9" i="15"/>
  <c r="R9" i="15"/>
  <c r="P9" i="15"/>
  <c r="N9" i="15"/>
  <c r="K9" i="15"/>
  <c r="J9" i="15"/>
  <c r="BK8" i="15"/>
  <c r="BI8" i="15"/>
  <c r="BG8" i="15"/>
  <c r="BE8" i="15"/>
  <c r="AW8" i="15"/>
  <c r="AT8" i="15"/>
  <c r="AS8" i="15"/>
  <c r="AO8" i="15"/>
  <c r="AF8" i="15"/>
  <c r="AD8" i="15"/>
  <c r="AB8" i="15"/>
  <c r="Z8" i="15"/>
  <c r="N8" i="15"/>
  <c r="K8" i="15"/>
  <c r="J8" i="15"/>
  <c r="BK7" i="15"/>
  <c r="BI7" i="15"/>
  <c r="BE7" i="15"/>
  <c r="AW7" i="15"/>
  <c r="AT7" i="15"/>
  <c r="AS7" i="15"/>
  <c r="AO7" i="15"/>
  <c r="AF7" i="15"/>
  <c r="AD7" i="15"/>
  <c r="AB7" i="15"/>
  <c r="Z7" i="15"/>
  <c r="S7" i="15"/>
  <c r="AG7" i="15" s="1"/>
  <c r="AX7" i="15" s="1"/>
  <c r="K7" i="15"/>
  <c r="J7" i="15"/>
  <c r="B7" i="15"/>
  <c r="B8" i="15" s="1"/>
  <c r="AX6" i="15"/>
  <c r="AT6" i="15"/>
  <c r="AS6" i="15"/>
  <c r="AO6" i="15"/>
  <c r="AF6" i="15"/>
  <c r="AD6" i="15"/>
  <c r="AB6" i="15"/>
  <c r="Z6" i="15"/>
  <c r="K6" i="15"/>
  <c r="J6" i="15"/>
  <c r="B6" i="15"/>
  <c r="S6" i="15" s="1"/>
  <c r="AG6" i="15" s="1"/>
  <c r="AX5" i="15"/>
  <c r="AW5" i="15"/>
  <c r="AT5" i="15"/>
  <c r="AS5" i="15"/>
  <c r="AO5" i="15"/>
  <c r="AG5" i="15"/>
  <c r="AF5" i="15"/>
  <c r="AD5" i="15"/>
  <c r="AB5" i="15"/>
  <c r="Z5" i="15"/>
  <c r="S5" i="15"/>
  <c r="N5" i="15"/>
  <c r="K5" i="15"/>
  <c r="J5" i="15"/>
  <c r="O39" i="14"/>
  <c r="O38" i="14"/>
  <c r="O30" i="14" s="1"/>
  <c r="F7" i="17" s="1"/>
  <c r="E38" i="14"/>
  <c r="P24" i="14" s="1"/>
  <c r="Q24" i="14" s="1"/>
  <c r="Q37" i="14"/>
  <c r="Q38" i="14" s="1"/>
  <c r="Q39" i="14" s="1"/>
  <c r="Q40" i="14" s="1"/>
  <c r="O37" i="14"/>
  <c r="N30" i="14" s="1"/>
  <c r="E7" i="17" s="1"/>
  <c r="O36" i="14"/>
  <c r="D36" i="14"/>
  <c r="O35" i="14"/>
  <c r="C35" i="14"/>
  <c r="D37" i="14" s="1"/>
  <c r="Q30" i="14"/>
  <c r="P30" i="14"/>
  <c r="G7" i="17" s="1"/>
  <c r="M30" i="14"/>
  <c r="D7" i="17" s="1"/>
  <c r="L30" i="14"/>
  <c r="C7" i="17" s="1"/>
  <c r="D29" i="14"/>
  <c r="D30" i="14" s="1"/>
  <c r="E31" i="14" s="1"/>
  <c r="M28" i="14"/>
  <c r="N28" i="14" s="1"/>
  <c r="O28" i="14" s="1"/>
  <c r="P28" i="14" s="1"/>
  <c r="Q28" i="14" s="1"/>
  <c r="Q25" i="14"/>
  <c r="E23" i="14"/>
  <c r="E25" i="14" s="1"/>
  <c r="L13" i="14" s="1"/>
  <c r="T22" i="14"/>
  <c r="T23" i="14" s="1"/>
  <c r="N22" i="14"/>
  <c r="O22" i="14" s="1"/>
  <c r="P22" i="14" s="1"/>
  <c r="Q22" i="14" s="1"/>
  <c r="M22" i="14"/>
  <c r="E22" i="14"/>
  <c r="E24" i="14" s="1"/>
  <c r="F21" i="14"/>
  <c r="E19" i="14"/>
  <c r="E18" i="14"/>
  <c r="F17" i="14"/>
  <c r="M16" i="14"/>
  <c r="N16" i="14" s="1"/>
  <c r="O16" i="14" s="1"/>
  <c r="P16" i="14" s="1"/>
  <c r="Q16" i="14" s="1"/>
  <c r="E16" i="14"/>
  <c r="E15" i="14"/>
  <c r="P6" i="14" s="1"/>
  <c r="G3" i="17" s="1"/>
  <c r="F13" i="14"/>
  <c r="V12" i="14"/>
  <c r="P12" i="14"/>
  <c r="G4" i="17" s="1"/>
  <c r="O12" i="14"/>
  <c r="F4" i="17" s="1"/>
  <c r="V11" i="14"/>
  <c r="V10" i="14"/>
  <c r="M10" i="14"/>
  <c r="N10" i="14" s="1"/>
  <c r="O10" i="14" s="1"/>
  <c r="P10" i="14" s="1"/>
  <c r="Q10" i="14" s="1"/>
  <c r="V9" i="14"/>
  <c r="T8" i="14"/>
  <c r="T9" i="14" s="1"/>
  <c r="T10" i="14" s="1"/>
  <c r="T11" i="14" s="1"/>
  <c r="T12" i="14" s="1"/>
  <c r="T13" i="14" s="1"/>
  <c r="Q7" i="14"/>
  <c r="N6" i="14"/>
  <c r="E3" i="17" s="1"/>
  <c r="M6" i="14"/>
  <c r="D3" i="17" s="1"/>
  <c r="L6" i="14"/>
  <c r="I44" i="13"/>
  <c r="I37" i="13"/>
  <c r="I30" i="13"/>
  <c r="I23" i="13"/>
  <c r="I16" i="13"/>
  <c r="I9" i="13"/>
  <c r="I46" i="13" s="1"/>
  <c r="O18" i="14" l="1"/>
  <c r="F5" i="17" s="1"/>
  <c r="N18" i="14"/>
  <c r="E5" i="17" s="1"/>
  <c r="L18" i="14"/>
  <c r="P18" i="14"/>
  <c r="G5" i="17" s="1"/>
  <c r="M18" i="14"/>
  <c r="D5" i="17" s="1"/>
  <c r="B9" i="15"/>
  <c r="S8" i="15"/>
  <c r="AG8" i="15" s="1"/>
  <c r="AX8" i="15" s="1"/>
  <c r="Q13" i="14"/>
  <c r="L19" i="14"/>
  <c r="Q19" i="14" s="1"/>
  <c r="T24" i="14"/>
  <c r="R35" i="15"/>
  <c r="R27" i="15"/>
  <c r="R6" i="15"/>
  <c r="R30" i="15"/>
  <c r="R24" i="15"/>
  <c r="R20" i="15"/>
  <c r="R16" i="15"/>
  <c r="R12" i="15"/>
  <c r="R8" i="15"/>
  <c r="R33" i="15"/>
  <c r="R5" i="15"/>
  <c r="R31" i="15"/>
  <c r="R34" i="15"/>
  <c r="R29" i="15"/>
  <c r="R32" i="15"/>
  <c r="R23" i="15"/>
  <c r="R19" i="15"/>
  <c r="R15" i="15"/>
  <c r="R11" i="15"/>
  <c r="R7" i="15"/>
  <c r="C17" i="16"/>
  <c r="O6" i="14"/>
  <c r="F3" i="17" s="1"/>
  <c r="P5" i="15"/>
  <c r="BG9" i="15"/>
  <c r="P13" i="15"/>
  <c r="AQ14" i="15"/>
  <c r="AQ17" i="15"/>
  <c r="AQ22" i="15"/>
  <c r="AD24" i="15"/>
  <c r="BG24" i="15"/>
  <c r="P26" i="15"/>
  <c r="AD27" i="15"/>
  <c r="R28" i="15"/>
  <c r="N29" i="15"/>
  <c r="N32" i="15"/>
  <c r="N23" i="15"/>
  <c r="N19" i="15"/>
  <c r="N15" i="15"/>
  <c r="N11" i="15"/>
  <c r="N7" i="15"/>
  <c r="N35" i="15"/>
  <c r="N27" i="15"/>
  <c r="N6" i="15"/>
  <c r="N30" i="15"/>
  <c r="N33" i="15"/>
  <c r="N28" i="15"/>
  <c r="N31" i="15"/>
  <c r="N34" i="15"/>
  <c r="N26" i="15"/>
  <c r="N22" i="15"/>
  <c r="N18" i="15"/>
  <c r="N14" i="15"/>
  <c r="N10" i="15"/>
  <c r="N12" i="14"/>
  <c r="E4" i="17" s="1"/>
  <c r="M12" i="14"/>
  <c r="D4" i="17" s="1"/>
  <c r="R13" i="15"/>
  <c r="P14" i="15"/>
  <c r="P17" i="15"/>
  <c r="AQ18" i="15"/>
  <c r="AQ21" i="15"/>
  <c r="AQ25" i="15"/>
  <c r="R26" i="15"/>
  <c r="L12" i="14"/>
  <c r="AQ10" i="15"/>
  <c r="BG13" i="15"/>
  <c r="BG16" i="15"/>
  <c r="AD20" i="15"/>
  <c r="AD23" i="15"/>
  <c r="R25" i="15"/>
  <c r="C3" i="17"/>
  <c r="Q6" i="14"/>
  <c r="AQ35" i="15"/>
  <c r="P32" i="15"/>
  <c r="AD31" i="15"/>
  <c r="BG29" i="15"/>
  <c r="AQ27" i="15"/>
  <c r="P23" i="15"/>
  <c r="P19" i="15"/>
  <c r="P15" i="15"/>
  <c r="P11" i="15"/>
  <c r="P7" i="15"/>
  <c r="P35" i="15"/>
  <c r="AD34" i="15"/>
  <c r="BG32" i="15"/>
  <c r="AQ30" i="15"/>
  <c r="P27" i="15"/>
  <c r="AD26" i="15"/>
  <c r="AQ24" i="15"/>
  <c r="BG23" i="15"/>
  <c r="AD22" i="15"/>
  <c r="AQ20" i="15"/>
  <c r="BG19" i="15"/>
  <c r="AD18" i="15"/>
  <c r="AQ16" i="15"/>
  <c r="BG15" i="15"/>
  <c r="AD14" i="15"/>
  <c r="AQ12" i="15"/>
  <c r="BG11" i="15"/>
  <c r="AD10" i="15"/>
  <c r="AQ8" i="15"/>
  <c r="BG7" i="15"/>
  <c r="P6" i="15"/>
  <c r="BG35" i="15"/>
  <c r="AQ33" i="15"/>
  <c r="P30" i="15"/>
  <c r="AD29" i="15"/>
  <c r="BG27" i="15"/>
  <c r="P24" i="15"/>
  <c r="P20" i="15"/>
  <c r="P16" i="15"/>
  <c r="P12" i="15"/>
  <c r="P8" i="15"/>
  <c r="AQ5" i="15"/>
  <c r="P33" i="15"/>
  <c r="AD32" i="15"/>
  <c r="BG30" i="15"/>
  <c r="AQ28" i="15"/>
  <c r="AD35" i="15"/>
  <c r="BG33" i="15"/>
  <c r="AQ31" i="15"/>
  <c r="P28" i="15"/>
  <c r="AQ34" i="15"/>
  <c r="P31" i="15"/>
  <c r="AD30" i="15"/>
  <c r="BG28" i="15"/>
  <c r="P34" i="15"/>
  <c r="AD33" i="15"/>
  <c r="BG31" i="15"/>
  <c r="AQ29" i="15"/>
  <c r="BG34" i="15"/>
  <c r="AQ32" i="15"/>
  <c r="P29" i="15"/>
  <c r="AD28" i="15"/>
  <c r="BG26" i="15"/>
  <c r="AD25" i="15"/>
  <c r="AQ23" i="15"/>
  <c r="BG22" i="15"/>
  <c r="AD21" i="15"/>
  <c r="AQ19" i="15"/>
  <c r="BG18" i="15"/>
  <c r="AD17" i="15"/>
  <c r="AQ15" i="15"/>
  <c r="BG14" i="15"/>
  <c r="AD13" i="15"/>
  <c r="AQ11" i="15"/>
  <c r="BG10" i="15"/>
  <c r="AD9" i="15"/>
  <c r="AQ7" i="15"/>
  <c r="AQ6" i="15"/>
  <c r="BK15" i="15"/>
  <c r="Z16" i="15"/>
  <c r="J17" i="15"/>
  <c r="BK19" i="15"/>
  <c r="Z20" i="15"/>
  <c r="J21" i="15"/>
  <c r="BK23" i="15"/>
  <c r="Z24" i="15"/>
  <c r="J25" i="15"/>
  <c r="J28" i="15"/>
  <c r="BK29" i="15"/>
  <c r="Z30" i="15"/>
  <c r="AF31" i="15"/>
  <c r="AW33" i="15"/>
  <c r="D5" i="19"/>
  <c r="E5" i="19" s="1"/>
  <c r="E7" i="19" s="1"/>
  <c r="AW22" i="15"/>
  <c r="AF23" i="15"/>
  <c r="BI24" i="15"/>
  <c r="AS25" i="15"/>
  <c r="AW26" i="15"/>
  <c r="J29" i="15"/>
  <c r="BK30" i="15"/>
  <c r="Z31" i="15"/>
  <c r="AF32" i="15"/>
  <c r="AW34" i="15"/>
  <c r="J22" i="15"/>
  <c r="BK24" i="15"/>
  <c r="Z25" i="15"/>
  <c r="J26" i="15"/>
  <c r="BK27" i="15"/>
  <c r="Z28" i="15"/>
  <c r="AF29" i="15"/>
  <c r="AW31" i="15"/>
  <c r="J34" i="15"/>
  <c r="BK35" i="15"/>
  <c r="AF22" i="15"/>
  <c r="BI23" i="15"/>
  <c r="AS24" i="15"/>
  <c r="AW25" i="15"/>
  <c r="AF26" i="15"/>
  <c r="AW28" i="15"/>
  <c r="J31" i="15"/>
  <c r="BK32" i="15"/>
  <c r="T17" i="14" l="1"/>
  <c r="C18" i="16"/>
  <c r="C19" i="16" s="1"/>
  <c r="B10" i="15"/>
  <c r="S9" i="15"/>
  <c r="AG9" i="15" s="1"/>
  <c r="AX9" i="15" s="1"/>
  <c r="C5" i="17"/>
  <c r="Q18" i="14"/>
  <c r="C4" i="17"/>
  <c r="Q12" i="14"/>
  <c r="T16" i="14" s="1"/>
  <c r="B11" i="15" l="1"/>
  <c r="S10" i="15"/>
  <c r="AG10" i="15" s="1"/>
  <c r="AX10" i="15" s="1"/>
  <c r="S11" i="15" l="1"/>
  <c r="AG11" i="15" s="1"/>
  <c r="AX11" i="15" s="1"/>
  <c r="B12" i="15"/>
  <c r="B13" i="15" l="1"/>
  <c r="S12" i="15"/>
  <c r="AG12" i="15" s="1"/>
  <c r="AX12" i="15" s="1"/>
  <c r="B14" i="15" l="1"/>
  <c r="S13" i="15"/>
  <c r="AG13" i="15" s="1"/>
  <c r="AX13" i="15" s="1"/>
  <c r="S14" i="15" l="1"/>
  <c r="AG14" i="15" s="1"/>
  <c r="AX14" i="15" s="1"/>
  <c r="B15" i="15"/>
  <c r="B16" i="15" l="1"/>
  <c r="S15" i="15"/>
  <c r="AG15" i="15" s="1"/>
  <c r="AX15" i="15" s="1"/>
  <c r="B17" i="15" l="1"/>
  <c r="S16" i="15"/>
  <c r="AG16" i="15" s="1"/>
  <c r="AX16" i="15" s="1"/>
  <c r="B18" i="15" l="1"/>
  <c r="S17" i="15"/>
  <c r="AG17" i="15" s="1"/>
  <c r="AX17" i="15" s="1"/>
  <c r="S18" i="15" l="1"/>
  <c r="AG18" i="15" s="1"/>
  <c r="AX18" i="15" s="1"/>
  <c r="B19" i="15"/>
  <c r="S19" i="15" l="1"/>
  <c r="AG19" i="15" s="1"/>
  <c r="AX19" i="15" s="1"/>
  <c r="B20" i="15"/>
  <c r="B21" i="15" l="1"/>
  <c r="S20" i="15"/>
  <c r="AG20" i="15" s="1"/>
  <c r="AX20" i="15" s="1"/>
  <c r="B22" i="15" l="1"/>
  <c r="S21" i="15"/>
  <c r="AG21" i="15" s="1"/>
  <c r="AX21" i="15" s="1"/>
  <c r="B23" i="15" l="1"/>
  <c r="S22" i="15"/>
  <c r="AG22" i="15" s="1"/>
  <c r="AX22" i="15" s="1"/>
  <c r="B24" i="15" l="1"/>
  <c r="S23" i="15"/>
  <c r="AG23" i="15" s="1"/>
  <c r="AX23" i="15" s="1"/>
  <c r="B25" i="15" l="1"/>
  <c r="S24" i="15"/>
  <c r="AG24" i="15" s="1"/>
  <c r="AX24" i="15" s="1"/>
  <c r="B26" i="15" l="1"/>
  <c r="S25" i="15"/>
  <c r="AG25" i="15" s="1"/>
  <c r="AX25" i="15" s="1"/>
  <c r="B27" i="15" l="1"/>
  <c r="S26" i="15"/>
  <c r="AG26" i="15" s="1"/>
  <c r="AX26" i="15" s="1"/>
  <c r="B28" i="15" l="1"/>
  <c r="S27" i="15"/>
  <c r="AG27" i="15" s="1"/>
  <c r="AX27" i="15" s="1"/>
  <c r="S28" i="15" l="1"/>
  <c r="AG28" i="15" s="1"/>
  <c r="AX28" i="15" s="1"/>
  <c r="B29" i="15"/>
  <c r="S29" i="15" l="1"/>
  <c r="AG29" i="15" s="1"/>
  <c r="AX29" i="15" s="1"/>
  <c r="B30" i="15"/>
  <c r="S30" i="15" l="1"/>
  <c r="AG30" i="15" s="1"/>
  <c r="AX30" i="15" s="1"/>
  <c r="B31" i="15"/>
  <c r="S31" i="15" l="1"/>
  <c r="AG31" i="15" s="1"/>
  <c r="AX31" i="15" s="1"/>
  <c r="B32" i="15"/>
  <c r="S32" i="15" l="1"/>
  <c r="AG32" i="15" s="1"/>
  <c r="AX32" i="15" s="1"/>
  <c r="B33" i="15"/>
  <c r="S33" i="15" l="1"/>
  <c r="AG33" i="15" s="1"/>
  <c r="AX33" i="15" s="1"/>
  <c r="B34" i="15"/>
  <c r="S34" i="15" l="1"/>
  <c r="AG34" i="15" s="1"/>
  <c r="AX34" i="15" s="1"/>
  <c r="B35" i="15"/>
  <c r="S35" i="15" s="1"/>
  <c r="AG35" i="15" s="1"/>
  <c r="AX35" i="15" s="1"/>
  <c r="H29" i="12" l="1"/>
  <c r="F29" i="12" s="1"/>
  <c r="G29" i="12"/>
  <c r="E29" i="12"/>
  <c r="D29" i="12"/>
  <c r="C29" i="12"/>
  <c r="B29" i="12"/>
  <c r="H28" i="12"/>
  <c r="G28" i="12"/>
  <c r="E28" i="12"/>
  <c r="D28" i="12"/>
  <c r="C28" i="12"/>
  <c r="B28" i="12"/>
  <c r="G27" i="12"/>
  <c r="E27" i="12"/>
  <c r="D27" i="12"/>
  <c r="F27" i="12" s="1"/>
  <c r="C27" i="12"/>
  <c r="B27" i="12"/>
  <c r="I18" i="12"/>
  <c r="I17" i="12"/>
  <c r="F17" i="12"/>
  <c r="D17" i="12"/>
  <c r="C17" i="12"/>
  <c r="F15" i="12"/>
  <c r="E15" i="12"/>
  <c r="E17" i="12" s="1"/>
  <c r="D15" i="12"/>
  <c r="C15" i="12"/>
  <c r="B15" i="12"/>
  <c r="B17" i="12" s="1"/>
  <c r="F14" i="12"/>
  <c r="E14" i="12"/>
  <c r="D14" i="12"/>
  <c r="C14" i="12"/>
  <c r="I13" i="12"/>
  <c r="E13" i="12"/>
  <c r="D13" i="12"/>
  <c r="C13" i="12"/>
  <c r="B13" i="12"/>
  <c r="B10" i="12"/>
  <c r="B9" i="12"/>
  <c r="B14" i="12" s="1"/>
  <c r="F8" i="12"/>
  <c r="B8" i="12"/>
  <c r="H5" i="12"/>
  <c r="H4" i="12"/>
  <c r="H3" i="12"/>
  <c r="K23" i="11"/>
  <c r="E25" i="11" s="1"/>
  <c r="F12" i="11"/>
  <c r="E12" i="11"/>
  <c r="I10" i="11"/>
  <c r="D12" i="11" s="1"/>
  <c r="I9" i="11"/>
  <c r="I8" i="11"/>
  <c r="I7" i="11"/>
  <c r="I6" i="11"/>
  <c r="I5" i="11"/>
  <c r="I4" i="11"/>
  <c r="F13" i="12" l="1"/>
  <c r="G12" i="11"/>
  <c r="H25" i="11"/>
  <c r="F25" i="11"/>
  <c r="H12" i="11"/>
  <c r="I25" i="11"/>
  <c r="J25" i="11"/>
  <c r="C25" i="11"/>
  <c r="D27" i="11" s="1"/>
  <c r="C12" i="11"/>
  <c r="D25" i="11"/>
  <c r="J28" i="11"/>
  <c r="J29" i="11" s="1"/>
  <c r="G25" i="11"/>
</calcChain>
</file>

<file path=xl/comments1.xml><?xml version="1.0" encoding="utf-8"?>
<comments xmlns="http://schemas.openxmlformats.org/spreadsheetml/2006/main">
  <authors>
    <author>user</author>
  </authors>
  <commentList>
    <comment ref="K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Bloomberg historic ave.
Discounted over 20yr period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Bloomberg historic ave.
Discounted over 20yr period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Lazard historic 2021 value used for rooftop. Bloomberg not available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20% of PV farms multipled by global conversion factor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Lazard 2021 historic number used. However unlike others LCOE for Nuclear has risen over 10yr period</t>
        </r>
      </text>
    </comment>
  </commentList>
</comments>
</file>

<file path=xl/sharedStrings.xml><?xml version="1.0" encoding="utf-8"?>
<sst xmlns="http://schemas.openxmlformats.org/spreadsheetml/2006/main" count="483" uniqueCount="213">
  <si>
    <t>Year</t>
  </si>
  <si>
    <t>Population</t>
  </si>
  <si>
    <t>Real GDP (2015 $)</t>
  </si>
  <si>
    <t>Electric Production Scenario 1 (BAU) (TWh)</t>
  </si>
  <si>
    <t>Electric Production Scenario 2 (Max Efficiency) (TWh)</t>
  </si>
  <si>
    <t>Electric Production Scenario (Median case) (TWh)</t>
  </si>
  <si>
    <t>Electric Production Scenario 3 (Winds of Change) (TWh)</t>
  </si>
  <si>
    <t>Pop</t>
  </si>
  <si>
    <t>Real GDP PC</t>
  </si>
  <si>
    <t>MWhe pc</t>
  </si>
  <si>
    <t>Cumulative Coal</t>
  </si>
  <si>
    <t>Change in Coal</t>
  </si>
  <si>
    <t>Coal</t>
  </si>
  <si>
    <t>ALL SOLAR</t>
  </si>
  <si>
    <t>Solar PV</t>
  </si>
  <si>
    <t>Rooftop Solar PV</t>
  </si>
  <si>
    <t>Solar CSP</t>
  </si>
  <si>
    <t>ALL WIND</t>
  </si>
  <si>
    <t>Onshore Wind</t>
  </si>
  <si>
    <t>Offshore Wind</t>
  </si>
  <si>
    <t xml:space="preserve">Cumulative Nuclear </t>
  </si>
  <si>
    <t>Hydro</t>
  </si>
  <si>
    <t>Biomass</t>
  </si>
  <si>
    <t>Others</t>
  </si>
  <si>
    <t>Cumulative Capacity</t>
  </si>
  <si>
    <t>All Solar</t>
  </si>
  <si>
    <t>Cumulative Generation</t>
  </si>
  <si>
    <t>Usage Rate or Capacity factor</t>
  </si>
  <si>
    <t>Generation</t>
  </si>
  <si>
    <t>Capacity</t>
  </si>
  <si>
    <t>Electricity</t>
  </si>
  <si>
    <t>Biofuel</t>
  </si>
  <si>
    <t xml:space="preserve">Jet Fuel </t>
  </si>
  <si>
    <t>Diesel</t>
  </si>
  <si>
    <t>Petrol</t>
  </si>
  <si>
    <t>Gas</t>
  </si>
  <si>
    <t>TOTAL</t>
  </si>
  <si>
    <t>Commercial and public services</t>
  </si>
  <si>
    <t>Residential</t>
  </si>
  <si>
    <t>Transport</t>
  </si>
  <si>
    <t>Industry</t>
  </si>
  <si>
    <t>g</t>
  </si>
  <si>
    <t>Commercial and Public</t>
  </si>
  <si>
    <t>Winds of Change</t>
  </si>
  <si>
    <t>BAU</t>
  </si>
  <si>
    <t xml:space="preserve">Electricity </t>
  </si>
  <si>
    <t xml:space="preserve">Diesel </t>
  </si>
  <si>
    <t>Oil products</t>
  </si>
  <si>
    <t>Biofuels and waste</t>
  </si>
  <si>
    <t>Wind, solar, etc.</t>
  </si>
  <si>
    <t>Agriculture / forestry</t>
  </si>
  <si>
    <t>Non-specified</t>
  </si>
  <si>
    <t>Non-energy use</t>
  </si>
  <si>
    <t>Fishing</t>
  </si>
  <si>
    <t>pop 2019</t>
  </si>
  <si>
    <t>per capita</t>
  </si>
  <si>
    <t>TWh</t>
  </si>
  <si>
    <t>MWh</t>
  </si>
  <si>
    <t>Industry (excl. mining)</t>
  </si>
  <si>
    <t>Mining</t>
  </si>
  <si>
    <t>Agriculture</t>
  </si>
  <si>
    <t>Commerce</t>
  </si>
  <si>
    <t>Total</t>
  </si>
  <si>
    <t>NOW</t>
  </si>
  <si>
    <t>BAU 2030</t>
  </si>
  <si>
    <t>BAU 2050</t>
  </si>
  <si>
    <t>WoC 2030</t>
  </si>
  <si>
    <t>WoC 2050</t>
  </si>
  <si>
    <t>Jet Fuel</t>
  </si>
  <si>
    <t>Today</t>
  </si>
  <si>
    <t>PMS</t>
  </si>
  <si>
    <t>Public and Commercial</t>
  </si>
  <si>
    <t>Delta Today - 2050</t>
  </si>
  <si>
    <t>Technology</t>
  </si>
  <si>
    <t>Solar Farms</t>
  </si>
  <si>
    <t>Rooftop PV</t>
  </si>
  <si>
    <t>Wind</t>
  </si>
  <si>
    <t>Nuclear</t>
  </si>
  <si>
    <t>Batteries</t>
  </si>
  <si>
    <t xml:space="preserve">Cumulative Battery </t>
  </si>
  <si>
    <t xml:space="preserve">Battery Installation </t>
  </si>
  <si>
    <t>Battery Decommissioning</t>
  </si>
  <si>
    <t xml:space="preserve"> (USD)</t>
  </si>
  <si>
    <t>Billion USD</t>
  </si>
  <si>
    <t>CAPEX ($mm)</t>
  </si>
  <si>
    <t>Fixed OPEX&amp;Maintenance</t>
  </si>
  <si>
    <t>Storage</t>
  </si>
  <si>
    <t>Fuel Cost</t>
  </si>
  <si>
    <t>LCOE ($/MWh)</t>
  </si>
  <si>
    <t>Cost Type</t>
  </si>
  <si>
    <t>CAPEX</t>
  </si>
  <si>
    <t>Sere Wind Farm</t>
  </si>
  <si>
    <t>100MW</t>
  </si>
  <si>
    <t>Bloomberg 3yr Ave. ($/MW)</t>
  </si>
  <si>
    <t>375USD</t>
  </si>
  <si>
    <t>$/MW</t>
  </si>
  <si>
    <t>Project Ave.</t>
  </si>
  <si>
    <t>Jasper Solar Project</t>
  </si>
  <si>
    <t>96MW</t>
  </si>
  <si>
    <t>Total CAPEX</t>
  </si>
  <si>
    <t>150USD</t>
  </si>
  <si>
    <t>Solar Rooftop</t>
  </si>
  <si>
    <t>Total O&amp;M</t>
  </si>
  <si>
    <t>CAPEX (mm)</t>
  </si>
  <si>
    <t>Cost of electricity ($)/Kwh</t>
  </si>
  <si>
    <t>O&amp;M</t>
  </si>
  <si>
    <t>Lesedi Solar Project</t>
  </si>
  <si>
    <t>75MW</t>
  </si>
  <si>
    <t>190MM</t>
  </si>
  <si>
    <t>Bloomberg 3yr Ave ($/MW/yr)</t>
  </si>
  <si>
    <t>Solar Farm</t>
  </si>
  <si>
    <t>$/yr (mm)</t>
  </si>
  <si>
    <t>Total Electricity Generated</t>
  </si>
  <si>
    <t>$/MW/yr (mm)</t>
  </si>
  <si>
    <t>Million (USD)</t>
  </si>
  <si>
    <t>Expected Revenue Generated base</t>
  </si>
  <si>
    <t>Expected Revenue @ $0.25/Kwh</t>
  </si>
  <si>
    <t>$/MW/yr</t>
  </si>
  <si>
    <t>Solar Roof-top</t>
  </si>
  <si>
    <t>Lazard Ave. ($/MW)</t>
  </si>
  <si>
    <t>Storage/Battery</t>
  </si>
  <si>
    <t>Lazard (High End)</t>
  </si>
  <si>
    <t>CAPEX conversion factor PV to Farm</t>
  </si>
  <si>
    <t>Discounted every half a decade by 10% to factor in trend in LCOE costs of renewable technologies</t>
  </si>
  <si>
    <t>South Africa 3yr inflation rate (ave.)</t>
  </si>
  <si>
    <t>Battery CAPEX/MW</t>
  </si>
  <si>
    <t>Inflation compounded 5th</t>
  </si>
  <si>
    <t>TRANSPORT</t>
  </si>
  <si>
    <t>INDUSTRY</t>
  </si>
  <si>
    <t>RESIDENTIAL</t>
  </si>
  <si>
    <t>PUBLIC AND COMMERCIAL SERVICES</t>
  </si>
  <si>
    <t>YEAR</t>
  </si>
  <si>
    <t>Electricity (TWh)</t>
  </si>
  <si>
    <t>Biofuel (TWh)</t>
  </si>
  <si>
    <t>Jet Fuel (TWh)</t>
  </si>
  <si>
    <t>Diesel (TWh)</t>
  </si>
  <si>
    <t>Petrol (TWh)</t>
  </si>
  <si>
    <t>USD</t>
  </si>
  <si>
    <t>Biofuel (bbl)</t>
  </si>
  <si>
    <t>Jet Fuel (bbl)</t>
  </si>
  <si>
    <t>Diesel (bbl)</t>
  </si>
  <si>
    <t>Petrol (bbl)</t>
  </si>
  <si>
    <t>Coal (TWh)</t>
  </si>
  <si>
    <t>Gas (TWh)</t>
  </si>
  <si>
    <t>Coal (tcoal-eq)</t>
  </si>
  <si>
    <t>Gas (MMSCFD)</t>
  </si>
  <si>
    <t>Biomass (TWh)</t>
  </si>
  <si>
    <t>Biomass (tons)</t>
  </si>
  <si>
    <t>GAS</t>
  </si>
  <si>
    <t>BIOFUEL</t>
  </si>
  <si>
    <t xml:space="preserve">Ethanol: </t>
  </si>
  <si>
    <t>MJ/l</t>
  </si>
  <si>
    <t>DIESEL</t>
  </si>
  <si>
    <t>PETROL</t>
  </si>
  <si>
    <t>JET FUEL</t>
  </si>
  <si>
    <t>kWh</t>
  </si>
  <si>
    <t>scf</t>
  </si>
  <si>
    <t>https://www.ren21.net/gsr-2020/pages/units/units/</t>
  </si>
  <si>
    <t>Biodiesel (FAME):</t>
  </si>
  <si>
    <t>.</t>
  </si>
  <si>
    <t>https://www.withouthotair.com/c3/page_31.shtml</t>
  </si>
  <si>
    <t>L</t>
  </si>
  <si>
    <t>Biodiesel (HVO):</t>
  </si>
  <si>
    <t>COAL</t>
  </si>
  <si>
    <t>https://www.kylesconverter.com/energy,-work,-and-heat/terawatt-hours-to-tons-of-coal-equivalent</t>
  </si>
  <si>
    <t>BIOMASS</t>
  </si>
  <si>
    <t>http://woodenergy.ie/media/coford/content/publications/projectreports/cofordconnects/ht21.pdf</t>
  </si>
  <si>
    <t>TWH</t>
  </si>
  <si>
    <t>MJ</t>
  </si>
  <si>
    <t>tcoal-eq</t>
  </si>
  <si>
    <t>GJ</t>
  </si>
  <si>
    <t>bbl</t>
  </si>
  <si>
    <t>Wood chips 30%</t>
  </si>
  <si>
    <t>l</t>
  </si>
  <si>
    <t>ton</t>
  </si>
  <si>
    <t>Diesel Price/l</t>
  </si>
  <si>
    <t>PMS Price/l</t>
  </si>
  <si>
    <t>Jet Fuel Price/l</t>
  </si>
  <si>
    <t>Electricity Cost/Kwh</t>
  </si>
  <si>
    <t>ZAR/USD</t>
  </si>
  <si>
    <t>Ltr to BBL</t>
  </si>
  <si>
    <t>Kwh - TWh</t>
  </si>
  <si>
    <t>Coal/T</t>
  </si>
  <si>
    <t>Nat. Gas/MMBTu</t>
  </si>
  <si>
    <t>mmbtu/mmscf</t>
  </si>
  <si>
    <t>Fuel</t>
  </si>
  <si>
    <t>25 year</t>
  </si>
  <si>
    <t xml:space="preserve">Jet fuel </t>
  </si>
  <si>
    <t>67.07 million tonne(s) of oil equivalent (Mtoe)</t>
  </si>
  <si>
    <t>124 million tonne(s) of oil equivalent (Mtoe)</t>
  </si>
  <si>
    <t>73.75 million tonne(s) of oil equivalent (Mtoe)</t>
  </si>
  <si>
    <t>EV</t>
  </si>
  <si>
    <t>Charging Points</t>
  </si>
  <si>
    <t>Plant</t>
  </si>
  <si>
    <t>$1.57/gl</t>
  </si>
  <si>
    <t>300kbopd</t>
  </si>
  <si>
    <t>Stations @ $1.5MM</t>
  </si>
  <si>
    <t>in Gallons</t>
  </si>
  <si>
    <t>Cost/plant</t>
  </si>
  <si>
    <t>3 Plants</t>
  </si>
  <si>
    <t>Feedstock/PA</t>
  </si>
  <si>
    <t>25 years</t>
  </si>
  <si>
    <t>Estimated O&amp;M @20%</t>
  </si>
  <si>
    <t>Total Budget</t>
  </si>
  <si>
    <t>Solar Utility</t>
  </si>
  <si>
    <t>Feedstock</t>
  </si>
  <si>
    <t>Charging Stations</t>
  </si>
  <si>
    <t>MW</t>
  </si>
  <si>
    <t>Delta</t>
  </si>
  <si>
    <t>Cost (mm)</t>
  </si>
  <si>
    <t>Net of scrap</t>
  </si>
  <si>
    <t>Cost</t>
  </si>
  <si>
    <t>$mm/MW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</si>
</sst>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0.000"/>
    <numFmt numFmtId="167" formatCode="_-* #,##0.0_-;\-* #,##0.0_-;_-* &quot;-&quot;??_-;_-@_-"/>
    <numFmt numFmtId="168" formatCode="0.0000"/>
    <numFmt numFmtId="169" formatCode="_-* #,##0.0000_-;\-* #,##0.0000_-;_-* &quot;-&quot;??_-;_-@_-"/>
    <numFmt numFmtId="170" formatCode="0.000%"/>
    <numFmt numFmtId="171" formatCode="_-* #,##0_-;\-* #,##0_-;_-* &quot;-&quot;??_-;_-@_-"/>
    <numFmt numFmtId="172" formatCode="&quot;$&quot;#,##0"/>
    <numFmt numFmtId="173" formatCode="_([$$-409]* #,##0_);_([$$-409]* \(#,##0\);_([$$-409]* &quot;-&quot;??_);_(@_)"/>
    <numFmt numFmtId="174" formatCode="_([$$-409]* #,##0.00_);_([$$-409]* \(#,##0.00\);_([$$-409]* &quot;-&quot;??_);_(@_)"/>
    <numFmt numFmtId="175" formatCode="_(* #,##0.00_);_(* \(#,##0.00\);_(* &quot;-&quot;??_);_(@_)"/>
    <numFmt numFmtId="176" formatCode="0.00000"/>
    <numFmt numFmtId="177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  <font>
      <sz val="11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>
      <alignment horizontal="center" vertical="center"/>
    </xf>
    <xf numFmtId="175" fontId="1" fillId="0" borderId="0" applyFont="0" applyFill="0" applyBorder="0" applyAlignment="0" applyProtection="0"/>
  </cellStyleXfs>
  <cellXfs count="279">
    <xf numFmtId="0" fontId="0" fillId="0" borderId="0" xfId="0"/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3" fontId="4" fillId="4" borderId="0" xfId="0" applyNumberFormat="1" applyFont="1" applyFill="1" applyAlignment="1">
      <alignment horizontal="left" vertical="center"/>
    </xf>
    <xf numFmtId="164" fontId="5" fillId="4" borderId="0" xfId="0" applyNumberFormat="1" applyFont="1" applyFill="1" applyAlignment="1">
      <alignment horizontal="left" vertical="center"/>
    </xf>
    <xf numFmtId="2" fontId="0" fillId="5" borderId="1" xfId="0" applyNumberFormat="1" applyFill="1" applyBorder="1" applyAlignment="1">
      <alignment wrapText="1"/>
    </xf>
    <xf numFmtId="2" fontId="0" fillId="5" borderId="1" xfId="0" applyNumberFormat="1" applyFill="1" applyBorder="1"/>
    <xf numFmtId="0" fontId="0" fillId="3" borderId="0" xfId="0" applyFill="1"/>
    <xf numFmtId="2" fontId="0" fillId="3" borderId="1" xfId="0" applyNumberFormat="1" applyFill="1" applyBorder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0" xfId="0" applyNumberFormat="1"/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1" applyNumberFormat="1" applyFont="1" applyBorder="1"/>
    <xf numFmtId="43" fontId="0" fillId="0" borderId="0" xfId="1" applyFont="1" applyBorder="1"/>
    <xf numFmtId="43" fontId="0" fillId="0" borderId="0" xfId="1" applyNumberFormat="1" applyFont="1" applyBorder="1"/>
    <xf numFmtId="0" fontId="0" fillId="0" borderId="0" xfId="1" applyNumberFormat="1" applyFont="1" applyBorder="1"/>
    <xf numFmtId="43" fontId="0" fillId="0" borderId="0" xfId="1" applyNumberFormat="1" applyFont="1"/>
    <xf numFmtId="43" fontId="2" fillId="0" borderId="0" xfId="1" applyNumberFormat="1" applyFont="1" applyBorder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43" fontId="7" fillId="0" borderId="0" xfId="1" applyNumberFormat="1" applyFont="1" applyBorder="1"/>
    <xf numFmtId="9" fontId="0" fillId="0" borderId="0" xfId="2" applyFont="1" applyBorder="1"/>
    <xf numFmtId="43" fontId="0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 wrapText="1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1" fillId="0" borderId="0" xfId="3"/>
    <xf numFmtId="0" fontId="8" fillId="0" borderId="0" xfId="3" applyFont="1" applyAlignment="1">
      <alignment horizontal="center" vertical="top"/>
    </xf>
    <xf numFmtId="2" fontId="1" fillId="0" borderId="0" xfId="3" applyNumberFormat="1" applyAlignment="1">
      <alignment horizontal="center" vertical="center"/>
    </xf>
    <xf numFmtId="10" fontId="0" fillId="0" borderId="0" xfId="4" applyNumberFormat="1" applyFont="1"/>
    <xf numFmtId="168" fontId="1" fillId="0" borderId="0" xfId="3" applyNumberFormat="1"/>
    <xf numFmtId="10" fontId="1" fillId="0" borderId="0" xfId="3" applyNumberFormat="1"/>
    <xf numFmtId="0" fontId="8" fillId="0" borderId="0" xfId="3" applyFont="1"/>
    <xf numFmtId="11" fontId="1" fillId="0" borderId="0" xfId="3" applyNumberFormat="1"/>
    <xf numFmtId="9" fontId="2" fillId="0" borderId="0" xfId="0" applyNumberFormat="1" applyFont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169" fontId="0" fillId="0" borderId="0" xfId="0" applyNumberFormat="1"/>
    <xf numFmtId="3" fontId="0" fillId="0" borderId="0" xfId="0" applyNumberFormat="1"/>
    <xf numFmtId="170" fontId="0" fillId="0" borderId="0" xfId="2" applyNumberFormat="1" applyFont="1"/>
    <xf numFmtId="0" fontId="2" fillId="0" borderId="5" xfId="0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/>
    </xf>
    <xf numFmtId="43" fontId="0" fillId="0" borderId="7" xfId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71" fontId="0" fillId="0" borderId="0" xfId="1" applyNumberFormat="1" applyFont="1"/>
    <xf numFmtId="0" fontId="0" fillId="0" borderId="1" xfId="0" applyBorder="1"/>
    <xf numFmtId="0" fontId="2" fillId="9" borderId="0" xfId="0" applyFont="1" applyFill="1"/>
    <xf numFmtId="0" fontId="2" fillId="0" borderId="1" xfId="0" applyFont="1" applyBorder="1" applyAlignment="1">
      <alignment horizontal="center" vertical="center" wrapText="1"/>
    </xf>
    <xf numFmtId="43" fontId="0" fillId="0" borderId="1" xfId="1" applyFont="1" applyBorder="1"/>
    <xf numFmtId="0" fontId="8" fillId="0" borderId="10" xfId="3" applyFont="1" applyBorder="1" applyAlignment="1">
      <alignment horizontal="center"/>
    </xf>
    <xf numFmtId="0" fontId="8" fillId="0" borderId="11" xfId="3" applyFont="1" applyBorder="1" applyAlignment="1">
      <alignment horizontal="center"/>
    </xf>
    <xf numFmtId="0" fontId="8" fillId="0" borderId="12" xfId="3" applyFont="1" applyBorder="1" applyAlignment="1">
      <alignment horizontal="center"/>
    </xf>
    <xf numFmtId="0" fontId="8" fillId="0" borderId="13" xfId="3" applyFont="1" applyBorder="1" applyAlignment="1">
      <alignment horizontal="center"/>
    </xf>
    <xf numFmtId="172" fontId="1" fillId="0" borderId="13" xfId="3" applyNumberFormat="1" applyBorder="1" applyAlignment="1">
      <alignment horizontal="center"/>
    </xf>
    <xf numFmtId="172" fontId="1" fillId="0" borderId="14" xfId="3" applyNumberFormat="1" applyBorder="1" applyAlignment="1">
      <alignment horizontal="center"/>
    </xf>
    <xf numFmtId="172" fontId="1" fillId="0" borderId="1" xfId="3" applyNumberFormat="1" applyBorder="1" applyAlignment="1">
      <alignment horizontal="center"/>
    </xf>
    <xf numFmtId="172" fontId="8" fillId="0" borderId="13" xfId="3" applyNumberFormat="1" applyFont="1" applyBorder="1" applyAlignment="1">
      <alignment horizontal="center"/>
    </xf>
    <xf numFmtId="172" fontId="8" fillId="0" borderId="14" xfId="3" applyNumberFormat="1" applyFont="1" applyBorder="1" applyAlignment="1">
      <alignment horizontal="center"/>
    </xf>
    <xf numFmtId="172" fontId="8" fillId="0" borderId="1" xfId="3" applyNumberFormat="1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0" fontId="1" fillId="0" borderId="1" xfId="3" applyBorder="1" applyAlignment="1">
      <alignment horizontal="center"/>
    </xf>
    <xf numFmtId="173" fontId="1" fillId="0" borderId="13" xfId="3" applyNumberFormat="1" applyBorder="1" applyAlignment="1">
      <alignment horizontal="center"/>
    </xf>
    <xf numFmtId="173" fontId="1" fillId="0" borderId="14" xfId="3" applyNumberFormat="1" applyBorder="1" applyAlignment="1">
      <alignment horizontal="center"/>
    </xf>
    <xf numFmtId="174" fontId="8" fillId="0" borderId="1" xfId="3" applyNumberFormat="1" applyFont="1" applyBorder="1" applyAlignment="1">
      <alignment horizontal="center"/>
    </xf>
    <xf numFmtId="174" fontId="1" fillId="0" borderId="13" xfId="3" applyNumberFormat="1" applyBorder="1" applyAlignment="1">
      <alignment horizontal="center"/>
    </xf>
    <xf numFmtId="174" fontId="1" fillId="0" borderId="14" xfId="3" applyNumberFormat="1" applyBorder="1" applyAlignment="1">
      <alignment horizontal="center"/>
    </xf>
    <xf numFmtId="174" fontId="8" fillId="0" borderId="13" xfId="3" applyNumberFormat="1" applyFont="1" applyBorder="1" applyAlignment="1">
      <alignment horizontal="center"/>
    </xf>
    <xf numFmtId="174" fontId="8" fillId="0" borderId="14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1" fillId="0" borderId="0" xfId="3" applyAlignment="1">
      <alignment horizontal="center"/>
    </xf>
    <xf numFmtId="0" fontId="8" fillId="10" borderId="0" xfId="3" applyFont="1" applyFill="1" applyAlignment="1">
      <alignment horizontal="center"/>
    </xf>
    <xf numFmtId="172" fontId="8" fillId="10" borderId="0" xfId="3" applyNumberFormat="1" applyFont="1" applyFill="1" applyAlignment="1">
      <alignment horizontal="center"/>
    </xf>
    <xf numFmtId="0" fontId="8" fillId="0" borderId="0" xfId="3" applyFont="1" applyBorder="1"/>
    <xf numFmtId="0" fontId="8" fillId="0" borderId="1" xfId="3" applyFont="1" applyBorder="1" applyAlignment="1">
      <alignment horizontal="center"/>
    </xf>
    <xf numFmtId="0" fontId="1" fillId="0" borderId="13" xfId="3" applyBorder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 wrapText="1"/>
    </xf>
    <xf numFmtId="2" fontId="8" fillId="5" borderId="13" xfId="3" applyNumberFormat="1" applyFont="1" applyFill="1" applyBorder="1" applyAlignment="1">
      <alignment horizontal="center" wrapText="1"/>
    </xf>
    <xf numFmtId="0" fontId="1" fillId="0" borderId="0" xfId="3" applyBorder="1"/>
    <xf numFmtId="0" fontId="8" fillId="7" borderId="13" xfId="3" applyFont="1" applyFill="1" applyBorder="1" applyAlignment="1">
      <alignment horizontal="center" vertical="center"/>
    </xf>
    <xf numFmtId="0" fontId="4" fillId="0" borderId="13" xfId="3" applyFont="1" applyBorder="1" applyAlignment="1">
      <alignment horizontal="center" vertical="center"/>
    </xf>
    <xf numFmtId="2" fontId="1" fillId="5" borderId="13" xfId="3" applyNumberFormat="1" applyFill="1" applyBorder="1" applyAlignment="1">
      <alignment horizontal="center"/>
    </xf>
    <xf numFmtId="0" fontId="1" fillId="0" borderId="13" xfId="3" applyBorder="1" applyAlignment="1">
      <alignment horizontal="center"/>
    </xf>
    <xf numFmtId="0" fontId="1" fillId="0" borderId="0" xfId="3" applyBorder="1" applyAlignment="1">
      <alignment wrapText="1"/>
    </xf>
    <xf numFmtId="0" fontId="1" fillId="0" borderId="12" xfId="3" applyBorder="1" applyAlignment="1">
      <alignment horizontal="center" vertical="center"/>
    </xf>
    <xf numFmtId="2" fontId="8" fillId="0" borderId="12" xfId="3" applyNumberFormat="1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2" fontId="1" fillId="0" borderId="1" xfId="3" applyNumberFormat="1" applyBorder="1" applyAlignment="1">
      <alignment horizontal="center" vertical="center"/>
    </xf>
    <xf numFmtId="166" fontId="8" fillId="0" borderId="1" xfId="3" applyNumberFormat="1" applyFont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2" fontId="1" fillId="3" borderId="13" xfId="3" applyNumberFormat="1" applyFill="1" applyBorder="1" applyAlignment="1">
      <alignment horizontal="center"/>
    </xf>
    <xf numFmtId="2" fontId="8" fillId="0" borderId="1" xfId="3" applyNumberFormat="1" applyFont="1" applyBorder="1" applyAlignment="1">
      <alignment horizontal="center" vertical="center"/>
    </xf>
    <xf numFmtId="0" fontId="4" fillId="4" borderId="13" xfId="3" applyFont="1" applyFill="1" applyBorder="1" applyAlignment="1">
      <alignment horizontal="center" vertical="center"/>
    </xf>
    <xf numFmtId="2" fontId="1" fillId="0" borderId="13" xfId="3" applyNumberFormat="1" applyBorder="1" applyAlignment="1">
      <alignment horizontal="center"/>
    </xf>
    <xf numFmtId="0" fontId="10" fillId="0" borderId="1" xfId="5" applyFont="1" applyBorder="1" applyAlignment="1">
      <alignment horizontal="center" vertical="center"/>
    </xf>
    <xf numFmtId="0" fontId="8" fillId="7" borderId="1" xfId="3" applyFont="1" applyFill="1" applyBorder="1" applyAlignment="1">
      <alignment horizontal="center" vertical="center"/>
    </xf>
    <xf numFmtId="0" fontId="8" fillId="0" borderId="16" xfId="3" applyFont="1" applyBorder="1" applyAlignment="1">
      <alignment horizontal="center"/>
    </xf>
    <xf numFmtId="0" fontId="8" fillId="0" borderId="17" xfId="3" applyFont="1" applyBorder="1" applyAlignment="1">
      <alignment horizontal="center"/>
    </xf>
    <xf numFmtId="0" fontId="1" fillId="0" borderId="17" xfId="3" applyBorder="1" applyAlignment="1">
      <alignment horizontal="center"/>
    </xf>
    <xf numFmtId="0" fontId="1" fillId="0" borderId="19" xfId="3" applyBorder="1"/>
    <xf numFmtId="0" fontId="1" fillId="0" borderId="20" xfId="3" applyBorder="1" applyAlignment="1">
      <alignment horizontal="center"/>
    </xf>
    <xf numFmtId="0" fontId="1" fillId="0" borderId="21" xfId="3" applyBorder="1"/>
    <xf numFmtId="0" fontId="8" fillId="9" borderId="22" xfId="3" applyFont="1" applyFill="1" applyBorder="1" applyAlignment="1">
      <alignment horizontal="center"/>
    </xf>
    <xf numFmtId="0" fontId="1" fillId="0" borderId="22" xfId="3" applyBorder="1" applyAlignment="1">
      <alignment horizontal="center"/>
    </xf>
    <xf numFmtId="0" fontId="1" fillId="0" borderId="23" xfId="3" applyBorder="1" applyAlignment="1">
      <alignment horizontal="center"/>
    </xf>
    <xf numFmtId="175" fontId="0" fillId="0" borderId="0" xfId="6" applyNumberFormat="1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8" fillId="9" borderId="22" xfId="3" applyNumberFormat="1" applyFont="1" applyFill="1" applyBorder="1" applyAlignment="1">
      <alignment horizontal="center"/>
    </xf>
    <xf numFmtId="176" fontId="1" fillId="0" borderId="1" xfId="3" applyNumberFormat="1" applyBorder="1" applyAlignment="1">
      <alignment horizontal="center" vertical="center"/>
    </xf>
    <xf numFmtId="0" fontId="1" fillId="0" borderId="24" xfId="3" applyBorder="1"/>
    <xf numFmtId="175" fontId="11" fillId="0" borderId="0" xfId="6" applyNumberFormat="1" applyFont="1" applyAlignment="1">
      <alignment horizontal="center"/>
    </xf>
    <xf numFmtId="2" fontId="1" fillId="0" borderId="0" xfId="3" applyNumberFormat="1"/>
    <xf numFmtId="0" fontId="1" fillId="0" borderId="0" xfId="3" applyBorder="1" applyAlignment="1">
      <alignment horizontal="center"/>
    </xf>
    <xf numFmtId="0" fontId="8" fillId="0" borderId="19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3" fontId="1" fillId="0" borderId="0" xfId="3" applyNumberFormat="1" applyBorder="1" applyAlignment="1">
      <alignment horizontal="center"/>
    </xf>
    <xf numFmtId="0" fontId="1" fillId="0" borderId="20" xfId="3" applyBorder="1"/>
    <xf numFmtId="2" fontId="8" fillId="0" borderId="0" xfId="3" applyNumberFormat="1" applyFont="1" applyBorder="1" applyAlignment="1">
      <alignment horizontal="center"/>
    </xf>
    <xf numFmtId="0" fontId="8" fillId="0" borderId="17" xfId="3" applyFont="1" applyBorder="1" applyAlignment="1"/>
    <xf numFmtId="0" fontId="8" fillId="0" borderId="18" xfId="3" applyFont="1" applyBorder="1" applyAlignment="1"/>
    <xf numFmtId="0" fontId="1" fillId="0" borderId="19" xfId="3" applyBorder="1" applyAlignment="1">
      <alignment horizontal="center"/>
    </xf>
    <xf numFmtId="0" fontId="10" fillId="0" borderId="25" xfId="5" applyFont="1" applyBorder="1" applyAlignment="1">
      <alignment horizontal="center" vertical="center"/>
    </xf>
    <xf numFmtId="0" fontId="1" fillId="0" borderId="25" xfId="3" applyBorder="1" applyAlignment="1">
      <alignment horizontal="center" vertical="center"/>
    </xf>
    <xf numFmtId="2" fontId="1" fillId="0" borderId="25" xfId="3" applyNumberFormat="1" applyBorder="1" applyAlignment="1">
      <alignment horizontal="center" vertical="center"/>
    </xf>
    <xf numFmtId="2" fontId="8" fillId="0" borderId="13" xfId="3" applyNumberFormat="1" applyFont="1" applyBorder="1" applyAlignment="1">
      <alignment horizontal="center" vertical="center"/>
    </xf>
    <xf numFmtId="0" fontId="1" fillId="0" borderId="26" xfId="3" applyBorder="1" applyAlignment="1">
      <alignment horizontal="center" vertical="center"/>
    </xf>
    <xf numFmtId="0" fontId="8" fillId="0" borderId="26" xfId="3" applyFont="1" applyBorder="1" applyAlignment="1">
      <alignment horizontal="center" vertical="center"/>
    </xf>
    <xf numFmtId="0" fontId="8" fillId="9" borderId="0" xfId="3" applyFont="1" applyFill="1" applyAlignment="1">
      <alignment horizontal="center"/>
    </xf>
    <xf numFmtId="2" fontId="8" fillId="9" borderId="0" xfId="3" applyNumberFormat="1" applyFont="1" applyFill="1" applyAlignment="1">
      <alignment horizontal="center"/>
    </xf>
    <xf numFmtId="0" fontId="1" fillId="0" borderId="27" xfId="3" applyBorder="1" applyAlignment="1">
      <alignment horizontal="center" vertical="center"/>
    </xf>
    <xf numFmtId="0" fontId="1" fillId="0" borderId="28" xfId="3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0" fontId="1" fillId="0" borderId="21" xfId="3" applyBorder="1" applyAlignment="1">
      <alignment horizontal="left"/>
    </xf>
    <xf numFmtId="0" fontId="1" fillId="0" borderId="22" xfId="3" applyBorder="1" applyAlignment="1">
      <alignment horizontal="left"/>
    </xf>
    <xf numFmtId="0" fontId="1" fillId="0" borderId="0" xfId="3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0" borderId="17" xfId="3" applyFont="1" applyBorder="1" applyAlignment="1">
      <alignment horizontal="center" vertical="center"/>
    </xf>
    <xf numFmtId="0" fontId="1" fillId="0" borderId="17" xfId="3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0" borderId="19" xfId="3" applyBorder="1" applyAlignment="1">
      <alignment horizontal="center" vertical="center"/>
    </xf>
    <xf numFmtId="0" fontId="1" fillId="0" borderId="20" xfId="3" applyBorder="1" applyAlignment="1">
      <alignment horizontal="center" vertical="center"/>
    </xf>
    <xf numFmtId="177" fontId="0" fillId="0" borderId="0" xfId="6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2" fontId="8" fillId="0" borderId="0" xfId="3" applyNumberFormat="1" applyFont="1" applyBorder="1" applyAlignment="1">
      <alignment horizontal="center" vertical="center"/>
    </xf>
    <xf numFmtId="0" fontId="1" fillId="0" borderId="21" xfId="3" applyBorder="1" applyAlignment="1">
      <alignment horizontal="center" vertical="center"/>
    </xf>
    <xf numFmtId="0" fontId="8" fillId="9" borderId="22" xfId="3" applyFont="1" applyFill="1" applyBorder="1" applyAlignment="1">
      <alignment horizontal="center" vertical="center"/>
    </xf>
    <xf numFmtId="2" fontId="8" fillId="9" borderId="22" xfId="3" applyNumberFormat="1" applyFont="1" applyFill="1" applyBorder="1" applyAlignment="1">
      <alignment horizontal="center" vertical="center"/>
    </xf>
    <xf numFmtId="0" fontId="1" fillId="0" borderId="22" xfId="3" applyBorder="1" applyAlignment="1">
      <alignment horizontal="center" vertical="center"/>
    </xf>
    <xf numFmtId="0" fontId="1" fillId="0" borderId="23" xfId="3" applyBorder="1" applyAlignment="1">
      <alignment horizontal="center" vertical="center"/>
    </xf>
    <xf numFmtId="0" fontId="8" fillId="0" borderId="16" xfId="3" applyFont="1" applyBorder="1"/>
    <xf numFmtId="0" fontId="1" fillId="0" borderId="17" xfId="3" applyBorder="1"/>
    <xf numFmtId="0" fontId="1" fillId="0" borderId="18" xfId="3" applyBorder="1"/>
    <xf numFmtId="0" fontId="8" fillId="0" borderId="19" xfId="3" applyFont="1" applyBorder="1" applyAlignment="1">
      <alignment horizontal="center" vertical="center"/>
    </xf>
    <xf numFmtId="0" fontId="8" fillId="0" borderId="20" xfId="3" applyFont="1" applyBorder="1" applyAlignment="1">
      <alignment horizontal="center"/>
    </xf>
    <xf numFmtId="0" fontId="1" fillId="0" borderId="0" xfId="3" applyFill="1" applyBorder="1"/>
    <xf numFmtId="0" fontId="1" fillId="11" borderId="19" xfId="3" applyFill="1" applyBorder="1"/>
    <xf numFmtId="2" fontId="1" fillId="11" borderId="0" xfId="3" applyNumberFormat="1" applyFill="1" applyBorder="1"/>
    <xf numFmtId="175" fontId="14" fillId="11" borderId="0" xfId="6" applyNumberFormat="1" applyFont="1" applyFill="1" applyBorder="1"/>
    <xf numFmtId="177" fontId="0" fillId="11" borderId="0" xfId="6" applyNumberFormat="1" applyFont="1" applyFill="1" applyBorder="1"/>
    <xf numFmtId="177" fontId="14" fillId="11" borderId="0" xfId="6" applyNumberFormat="1" applyFont="1" applyFill="1" applyBorder="1"/>
    <xf numFmtId="175" fontId="0" fillId="11" borderId="0" xfId="6" applyNumberFormat="1" applyFont="1" applyFill="1" applyBorder="1"/>
    <xf numFmtId="175" fontId="14" fillId="11" borderId="0" xfId="6" applyFont="1" applyFill="1" applyBorder="1"/>
    <xf numFmtId="177" fontId="0" fillId="11" borderId="20" xfId="6" applyNumberFormat="1" applyFont="1" applyFill="1" applyBorder="1"/>
    <xf numFmtId="175" fontId="0" fillId="11" borderId="0" xfId="6" applyFont="1" applyFill="1" applyBorder="1"/>
    <xf numFmtId="171" fontId="0" fillId="11" borderId="0" xfId="6" applyNumberFormat="1" applyFont="1" applyFill="1" applyBorder="1"/>
    <xf numFmtId="0" fontId="1" fillId="11" borderId="0" xfId="3" applyFill="1" applyBorder="1"/>
    <xf numFmtId="1" fontId="0" fillId="11" borderId="19" xfId="6" applyNumberFormat="1" applyFont="1" applyFill="1" applyBorder="1"/>
    <xf numFmtId="175" fontId="0" fillId="11" borderId="20" xfId="6" applyFont="1" applyFill="1" applyBorder="1"/>
    <xf numFmtId="0" fontId="1" fillId="11" borderId="0" xfId="3" applyFill="1"/>
    <xf numFmtId="175" fontId="0" fillId="0" borderId="0" xfId="6" applyNumberFormat="1" applyFont="1" applyBorder="1"/>
    <xf numFmtId="175" fontId="14" fillId="0" borderId="0" xfId="6" applyNumberFormat="1" applyFont="1" applyBorder="1"/>
    <xf numFmtId="177" fontId="0" fillId="0" borderId="0" xfId="6" applyNumberFormat="1" applyFont="1" applyBorder="1"/>
    <xf numFmtId="177" fontId="14" fillId="0" borderId="0" xfId="6" applyNumberFormat="1" applyFont="1" applyBorder="1"/>
    <xf numFmtId="175" fontId="14" fillId="0" borderId="0" xfId="6" applyFont="1" applyBorder="1"/>
    <xf numFmtId="177" fontId="0" fillId="0" borderId="20" xfId="6" applyNumberFormat="1" applyFont="1" applyBorder="1"/>
    <xf numFmtId="175" fontId="0" fillId="0" borderId="0" xfId="6" applyFont="1" applyBorder="1"/>
    <xf numFmtId="171" fontId="0" fillId="0" borderId="0" xfId="6" applyNumberFormat="1" applyFont="1" applyBorder="1"/>
    <xf numFmtId="1" fontId="0" fillId="0" borderId="19" xfId="6" applyNumberFormat="1" applyFont="1" applyBorder="1"/>
    <xf numFmtId="177" fontId="0" fillId="0" borderId="20" xfId="6" applyNumberFormat="1" applyFont="1" applyFill="1" applyBorder="1"/>
    <xf numFmtId="0" fontId="1" fillId="9" borderId="19" xfId="3" applyFill="1" applyBorder="1"/>
    <xf numFmtId="175" fontId="0" fillId="9" borderId="0" xfId="6" applyNumberFormat="1" applyFont="1" applyFill="1" applyBorder="1"/>
    <xf numFmtId="177" fontId="0" fillId="9" borderId="0" xfId="6" applyNumberFormat="1" applyFont="1" applyFill="1" applyBorder="1"/>
    <xf numFmtId="177" fontId="0" fillId="0" borderId="0" xfId="6" applyNumberFormat="1" applyFont="1" applyFill="1" applyBorder="1"/>
    <xf numFmtId="177" fontId="0" fillId="9" borderId="20" xfId="6" applyNumberFormat="1" applyFont="1" applyFill="1" applyBorder="1"/>
    <xf numFmtId="175" fontId="0" fillId="9" borderId="0" xfId="6" applyFont="1" applyFill="1" applyBorder="1"/>
    <xf numFmtId="171" fontId="0" fillId="9" borderId="0" xfId="6" applyNumberFormat="1" applyFont="1" applyFill="1" applyBorder="1"/>
    <xf numFmtId="0" fontId="1" fillId="9" borderId="0" xfId="3" applyFill="1" applyBorder="1"/>
    <xf numFmtId="1" fontId="0" fillId="9" borderId="19" xfId="6" applyNumberFormat="1" applyFont="1" applyFill="1" applyBorder="1"/>
    <xf numFmtId="0" fontId="1" fillId="9" borderId="0" xfId="3" applyFill="1"/>
    <xf numFmtId="0" fontId="14" fillId="0" borderId="0" xfId="3" applyFont="1" applyBorder="1"/>
    <xf numFmtId="0" fontId="1" fillId="0" borderId="22" xfId="3" applyBorder="1"/>
    <xf numFmtId="0" fontId="1" fillId="0" borderId="22" xfId="3" applyFill="1" applyBorder="1"/>
    <xf numFmtId="0" fontId="1" fillId="0" borderId="23" xfId="3" applyBorder="1"/>
    <xf numFmtId="0" fontId="1" fillId="0" borderId="16" xfId="3" applyBorder="1" applyAlignment="1">
      <alignment horizontal="center" vertical="center"/>
    </xf>
    <xf numFmtId="0" fontId="1" fillId="0" borderId="16" xfId="3" applyBorder="1" applyAlignment="1">
      <alignment horizontal="center"/>
    </xf>
    <xf numFmtId="0" fontId="1" fillId="0" borderId="18" xfId="3" applyBorder="1" applyAlignment="1">
      <alignment horizontal="center"/>
    </xf>
    <xf numFmtId="0" fontId="1" fillId="0" borderId="19" xfId="3" applyBorder="1" applyAlignment="1">
      <alignment horizontal="left"/>
    </xf>
    <xf numFmtId="0" fontId="1" fillId="0" borderId="0" xfId="3" applyBorder="1" applyAlignment="1">
      <alignment horizontal="left"/>
    </xf>
    <xf numFmtId="0" fontId="1" fillId="0" borderId="21" xfId="3" applyBorder="1" applyAlignment="1">
      <alignment horizontal="center"/>
    </xf>
    <xf numFmtId="0" fontId="1" fillId="0" borderId="17" xfId="3" applyBorder="1" applyAlignment="1">
      <alignment horizontal="left"/>
    </xf>
    <xf numFmtId="0" fontId="1" fillId="0" borderId="0" xfId="3" applyFill="1" applyBorder="1" applyAlignment="1">
      <alignment horizontal="center"/>
    </xf>
    <xf numFmtId="175" fontId="0" fillId="0" borderId="0" xfId="6" applyFont="1"/>
    <xf numFmtId="0" fontId="1" fillId="0" borderId="3" xfId="3" applyBorder="1"/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1" fillId="0" borderId="6" xfId="3" applyBorder="1" applyAlignment="1">
      <alignment horizontal="center"/>
    </xf>
    <xf numFmtId="175" fontId="0" fillId="0" borderId="7" xfId="6" applyFont="1" applyBorder="1" applyAlignment="1">
      <alignment horizontal="center"/>
    </xf>
    <xf numFmtId="0" fontId="1" fillId="0" borderId="6" xfId="3" applyBorder="1"/>
    <xf numFmtId="0" fontId="1" fillId="0" borderId="8" xfId="3" applyBorder="1"/>
    <xf numFmtId="0" fontId="1" fillId="0" borderId="2" xfId="3" applyBorder="1" applyAlignment="1">
      <alignment horizontal="center"/>
    </xf>
    <xf numFmtId="175" fontId="0" fillId="0" borderId="9" xfId="6" applyFont="1" applyBorder="1" applyAlignment="1">
      <alignment horizontal="center"/>
    </xf>
    <xf numFmtId="0" fontId="1" fillId="0" borderId="2" xfId="3" applyBorder="1"/>
    <xf numFmtId="0" fontId="1" fillId="0" borderId="7" xfId="3" applyBorder="1"/>
    <xf numFmtId="0" fontId="1" fillId="0" borderId="5" xfId="3" applyBorder="1"/>
    <xf numFmtId="0" fontId="8" fillId="0" borderId="3" xfId="3" applyFont="1" applyBorder="1"/>
    <xf numFmtId="177" fontId="0" fillId="0" borderId="7" xfId="6" applyNumberFormat="1" applyFont="1" applyBorder="1"/>
    <xf numFmtId="177" fontId="0" fillId="0" borderId="9" xfId="6" applyNumberFormat="1" applyFont="1" applyBorder="1"/>
    <xf numFmtId="177" fontId="0" fillId="0" borderId="0" xfId="6" applyNumberFormat="1" applyFont="1"/>
    <xf numFmtId="177" fontId="0" fillId="0" borderId="5" xfId="6" applyNumberFormat="1" applyFont="1" applyBorder="1"/>
    <xf numFmtId="0" fontId="8" fillId="0" borderId="4" xfId="3" applyFont="1" applyBorder="1"/>
    <xf numFmtId="0" fontId="8" fillId="0" borderId="5" xfId="3" applyFont="1" applyBorder="1"/>
    <xf numFmtId="0" fontId="8" fillId="0" borderId="6" xfId="3" applyFont="1" applyBorder="1"/>
    <xf numFmtId="2" fontId="1" fillId="0" borderId="0" xfId="3" applyNumberFormat="1" applyBorder="1"/>
    <xf numFmtId="2" fontId="1" fillId="0" borderId="7" xfId="3" applyNumberFormat="1" applyBorder="1"/>
    <xf numFmtId="0" fontId="8" fillId="0" borderId="8" xfId="3" applyFont="1" applyBorder="1"/>
    <xf numFmtId="2" fontId="1" fillId="0" borderId="2" xfId="3" applyNumberFormat="1" applyBorder="1"/>
    <xf numFmtId="2" fontId="1" fillId="0" borderId="9" xfId="3" applyNumberFormat="1" applyBorder="1"/>
    <xf numFmtId="0" fontId="1" fillId="0" borderId="13" xfId="3" applyBorder="1" applyAlignment="1">
      <alignment vertical="center"/>
    </xf>
    <xf numFmtId="175" fontId="0" fillId="0" borderId="13" xfId="6" applyFont="1" applyBorder="1" applyAlignment="1">
      <alignment vertical="center"/>
    </xf>
    <xf numFmtId="0" fontId="1" fillId="0" borderId="0" xfId="3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10" borderId="15" xfId="3" applyFont="1" applyFill="1" applyBorder="1" applyAlignment="1">
      <alignment horizontal="center"/>
    </xf>
    <xf numFmtId="0" fontId="8" fillId="10" borderId="0" xfId="3" applyFont="1" applyFill="1" applyBorder="1" applyAlignment="1">
      <alignment horizontal="center"/>
    </xf>
    <xf numFmtId="0" fontId="8" fillId="10" borderId="7" xfId="3" applyFont="1" applyFill="1" applyBorder="1" applyAlignment="1">
      <alignment horizontal="center"/>
    </xf>
    <xf numFmtId="0" fontId="8" fillId="10" borderId="1" xfId="3" applyFont="1" applyFill="1" applyBorder="1" applyAlignment="1">
      <alignment horizontal="center"/>
    </xf>
    <xf numFmtId="0" fontId="8" fillId="0" borderId="17" xfId="3" applyFont="1" applyBorder="1" applyAlignment="1">
      <alignment horizontal="center"/>
    </xf>
    <xf numFmtId="0" fontId="8" fillId="0" borderId="18" xfId="3" applyFont="1" applyBorder="1" applyAlignment="1">
      <alignment horizontal="center"/>
    </xf>
    <xf numFmtId="0" fontId="8" fillId="0" borderId="0" xfId="3" applyFont="1" applyAlignment="1">
      <alignment horizontal="center"/>
    </xf>
  </cellXfs>
  <cellStyles count="7">
    <cellStyle name="Millares" xfId="1" builtinId="3"/>
    <cellStyle name="Millares 2" xfId="6"/>
    <cellStyle name="Normal" xfId="0" builtinId="0"/>
    <cellStyle name="Normal 2" xfId="3"/>
    <cellStyle name="Porcentaje" xfId="2" builtinId="5"/>
    <cellStyle name="Porcentaje 2" xfId="4"/>
    <cellStyle name="Table Header 3" xfId="5"/>
  </cellStyles>
  <dxfs count="8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South Africa's Current Demand by Sector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19583333333329E-2"/>
          <c:y val="0.12552925617712613"/>
          <c:w val="0.86849180555555561"/>
          <c:h val="0.62446868686868684"/>
        </c:manualLayout>
      </c:layout>
      <c:areaChart>
        <c:grouping val="stacked"/>
        <c:varyColors val="0"/>
        <c:ser>
          <c:idx val="0"/>
          <c:order val="0"/>
          <c:tx>
            <c:strRef>
              <c:f>'Current Demand'!$C$16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Demand'!$C$17:$C$23</c:f>
              <c:numCache>
                <c:formatCode>0.0000</c:formatCode>
                <c:ptCount val="7"/>
                <c:pt idx="0">
                  <c:v>252.5447222</c:v>
                </c:pt>
                <c:pt idx="1">
                  <c:v>206.90694439999999</c:v>
                </c:pt>
                <c:pt idx="2">
                  <c:v>238.3836111</c:v>
                </c:pt>
                <c:pt idx="3">
                  <c:v>296.39583329999999</c:v>
                </c:pt>
                <c:pt idx="4">
                  <c:v>299.16138890000002</c:v>
                </c:pt>
                <c:pt idx="5">
                  <c:v>293.63416669999998</c:v>
                </c:pt>
                <c:pt idx="6">
                  <c:v>278.19388889999999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40C8-9E30-1FCC44D37945}"/>
            </c:ext>
          </c:extLst>
        </c:ser>
        <c:ser>
          <c:idx val="1"/>
          <c:order val="1"/>
          <c:tx>
            <c:strRef>
              <c:f>'Current Demand'!$D$16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Demand'!$D$17:$D$23</c:f>
              <c:numCache>
                <c:formatCode>0.0000</c:formatCode>
                <c:ptCount val="7"/>
                <c:pt idx="0">
                  <c:v>119.75944440000001</c:v>
                </c:pt>
                <c:pt idx="1">
                  <c:v>142.6011111</c:v>
                </c:pt>
                <c:pt idx="2">
                  <c:v>143.31583330000001</c:v>
                </c:pt>
                <c:pt idx="3">
                  <c:v>174.07249999999999</c:v>
                </c:pt>
                <c:pt idx="4">
                  <c:v>184.53277779999999</c:v>
                </c:pt>
                <c:pt idx="5">
                  <c:v>212.44333330000001</c:v>
                </c:pt>
                <c:pt idx="6">
                  <c:v>223.36861110000001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9-40C8-9E30-1FCC44D37945}"/>
            </c:ext>
          </c:extLst>
        </c:ser>
        <c:ser>
          <c:idx val="2"/>
          <c:order val="2"/>
          <c:tx>
            <c:strRef>
              <c:f>'Current Demand'!$E$16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Demand'!$E$17:$E$23</c:f>
              <c:numCache>
                <c:formatCode>0.0000</c:formatCode>
                <c:ptCount val="7"/>
                <c:pt idx="0">
                  <c:v>120.6602778</c:v>
                </c:pt>
                <c:pt idx="1">
                  <c:v>131.53694440000001</c:v>
                </c:pt>
                <c:pt idx="2">
                  <c:v>123.7066667</c:v>
                </c:pt>
                <c:pt idx="3">
                  <c:v>133.96805560000001</c:v>
                </c:pt>
                <c:pt idx="4">
                  <c:v>121.0661111</c:v>
                </c:pt>
                <c:pt idx="5">
                  <c:v>128.02333329999999</c:v>
                </c:pt>
                <c:pt idx="6">
                  <c:v>145.78388889999999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9-40C8-9E30-1FCC44D37945}"/>
            </c:ext>
          </c:extLst>
        </c:ser>
        <c:ser>
          <c:idx val="3"/>
          <c:order val="3"/>
          <c:tx>
            <c:strRef>
              <c:f>'Current Demand'!$F$16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Demand'!$F$17:$F$23</c:f>
              <c:numCache>
                <c:formatCode>0.0000</c:formatCode>
                <c:ptCount val="7"/>
                <c:pt idx="0">
                  <c:v>27.659444440000001</c:v>
                </c:pt>
                <c:pt idx="1">
                  <c:v>28.911388890000001</c:v>
                </c:pt>
                <c:pt idx="2">
                  <c:v>25.659166670000001</c:v>
                </c:pt>
                <c:pt idx="3">
                  <c:v>46.375833329999999</c:v>
                </c:pt>
                <c:pt idx="4">
                  <c:v>43.09861111</c:v>
                </c:pt>
                <c:pt idx="5">
                  <c:v>51.335555560000003</c:v>
                </c:pt>
                <c:pt idx="6">
                  <c:v>61.831666669999997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9-40C8-9E30-1FCC44D37945}"/>
            </c:ext>
          </c:extLst>
        </c:ser>
        <c:ser>
          <c:idx val="4"/>
          <c:order val="4"/>
          <c:tx>
            <c:strRef>
              <c:f>'Current Demand'!$G$16</c:f>
              <c:strCache>
                <c:ptCount val="1"/>
                <c:pt idx="0">
                  <c:v>Agriculture / forestry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Demand'!$G$17:$G$23</c:f>
              <c:numCache>
                <c:formatCode>0.0000</c:formatCode>
                <c:ptCount val="7"/>
                <c:pt idx="0">
                  <c:v>14.890555559999999</c:v>
                </c:pt>
                <c:pt idx="1">
                  <c:v>22.89611111</c:v>
                </c:pt>
                <c:pt idx="2">
                  <c:v>16.379722220000001</c:v>
                </c:pt>
                <c:pt idx="3">
                  <c:v>17.274999999999999</c:v>
                </c:pt>
                <c:pt idx="4">
                  <c:v>17.46</c:v>
                </c:pt>
                <c:pt idx="5">
                  <c:v>24.62916667</c:v>
                </c:pt>
                <c:pt idx="6">
                  <c:v>27.7575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9-40C8-9E30-1FCC44D37945}"/>
            </c:ext>
          </c:extLst>
        </c:ser>
        <c:ser>
          <c:idx val="5"/>
          <c:order val="5"/>
          <c:tx>
            <c:strRef>
              <c:f>'Current Demand'!$H$16</c:f>
              <c:strCache>
                <c:ptCount val="1"/>
                <c:pt idx="0">
                  <c:v>Non-specified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Demand'!$H$17:$H$23</c:f>
              <c:numCache>
                <c:formatCode>0.0000</c:formatCode>
                <c:ptCount val="7"/>
                <c:pt idx="0">
                  <c:v>9.0919444439999992</c:v>
                </c:pt>
                <c:pt idx="1">
                  <c:v>12.15777778</c:v>
                </c:pt>
                <c:pt idx="2">
                  <c:v>22.045833330000001</c:v>
                </c:pt>
                <c:pt idx="3">
                  <c:v>8.4747222220000005</c:v>
                </c:pt>
                <c:pt idx="4">
                  <c:v>11.34305556</c:v>
                </c:pt>
                <c:pt idx="5">
                  <c:v>13.08888889</c:v>
                </c:pt>
                <c:pt idx="6">
                  <c:v>14.53444444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29-40C8-9E30-1FCC44D37945}"/>
            </c:ext>
          </c:extLst>
        </c:ser>
        <c:ser>
          <c:idx val="6"/>
          <c:order val="6"/>
          <c:tx>
            <c:strRef>
              <c:f>'Current Demand'!$I$16</c:f>
              <c:strCache>
                <c:ptCount val="1"/>
                <c:pt idx="0">
                  <c:v>Non-energy use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Demand'!$I$17:$I$23</c:f>
              <c:numCache>
                <c:formatCode>0.0000</c:formatCode>
                <c:ptCount val="7"/>
                <c:pt idx="0">
                  <c:v>49.082222219999998</c:v>
                </c:pt>
                <c:pt idx="1">
                  <c:v>63.067500000000003</c:v>
                </c:pt>
                <c:pt idx="2">
                  <c:v>65.766388890000002</c:v>
                </c:pt>
                <c:pt idx="3">
                  <c:v>26.782222220000001</c:v>
                </c:pt>
                <c:pt idx="4">
                  <c:v>50.470555560000001</c:v>
                </c:pt>
                <c:pt idx="5">
                  <c:v>45.756111109999999</c:v>
                </c:pt>
                <c:pt idx="6">
                  <c:v>51.21388889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9-40C8-9E30-1FCC44D37945}"/>
            </c:ext>
          </c:extLst>
        </c:ser>
        <c:ser>
          <c:idx val="7"/>
          <c:order val="7"/>
          <c:tx>
            <c:strRef>
              <c:f>'Current Demand'!$J$16</c:f>
              <c:strCache>
                <c:ptCount val="1"/>
                <c:pt idx="0">
                  <c:v>Fishing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'Current Demand'!$B$17:$B$23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Demand'!$J$17:$J$23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1.193333333</c:v>
                </c:pt>
                <c:pt idx="3">
                  <c:v>1.56</c:v>
                </c:pt>
                <c:pt idx="4">
                  <c:v>0.67333333299999998</c:v>
                </c:pt>
                <c:pt idx="5">
                  <c:v>0.76194444400000005</c:v>
                </c:pt>
                <c:pt idx="6">
                  <c:v>0.82611111100000001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29-40C8-9E30-1FCC44D3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31840"/>
        <c:axId val="2115338912"/>
      </c:areaChart>
      <c:catAx>
        <c:axId val="21153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8912"/>
        <c:crosses val="autoZero"/>
        <c:auto val="1"/>
        <c:lblAlgn val="ctr"/>
        <c:lblOffset val="100"/>
        <c:noMultiLvlLbl val="0"/>
      </c:catAx>
      <c:valAx>
        <c:axId val="21153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0583333333333333E-2"/>
              <c:y val="0.26552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766805555555552E-2"/>
          <c:y val="0.85624750000000005"/>
          <c:w val="0.95928569444444434"/>
          <c:h val="0.1225858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Proyected</a:t>
            </a:r>
            <a:r>
              <a:rPr lang="en-US" sz="1800" b="1" baseline="0"/>
              <a:t> Residential Demand (2020-2050)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05737604641816E-2"/>
          <c:y val="0.12183308080808079"/>
          <c:w val="0.87886541183872491"/>
          <c:h val="0.64823484848484847"/>
        </c:manualLayout>
      </c:layout>
      <c:areaChart>
        <c:grouping val="stacked"/>
        <c:varyColors val="0"/>
        <c:ser>
          <c:idx val="0"/>
          <c:order val="0"/>
          <c:tx>
            <c:strRef>
              <c:f>Residential!$F$1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Residential!$A$2:$A$32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Residential!$F$2:$F$32</c:f>
              <c:numCache>
                <c:formatCode>_(* #,##0.00_);_(* \(#,##0.00\);_(* "-"??_);_(@_)</c:formatCode>
                <c:ptCount val="31"/>
                <c:pt idx="0">
                  <c:v>51.682879978063283</c:v>
                </c:pt>
                <c:pt idx="1">
                  <c:v>51.597533929758356</c:v>
                </c:pt>
                <c:pt idx="2">
                  <c:v>51.55838794563897</c:v>
                </c:pt>
                <c:pt idx="3">
                  <c:v>51.565442025763332</c:v>
                </c:pt>
                <c:pt idx="4">
                  <c:v>51.618696170131443</c:v>
                </c:pt>
                <c:pt idx="5">
                  <c:v>51.718150378757855</c:v>
                </c:pt>
                <c:pt idx="6">
                  <c:v>51.86380465158436</c:v>
                </c:pt>
                <c:pt idx="7">
                  <c:v>52.055658988654613</c:v>
                </c:pt>
                <c:pt idx="8">
                  <c:v>52.293713389983168</c:v>
                </c:pt>
                <c:pt idx="9">
                  <c:v>52.577967855526367</c:v>
                </c:pt>
                <c:pt idx="10">
                  <c:v>52.908422385313315</c:v>
                </c:pt>
                <c:pt idx="11">
                  <c:v>53.285076979344012</c:v>
                </c:pt>
                <c:pt idx="12">
                  <c:v>53.707931637603906</c:v>
                </c:pt>
                <c:pt idx="13">
                  <c:v>54.176986360078445</c:v>
                </c:pt>
                <c:pt idx="14">
                  <c:v>54.692241146825836</c:v>
                </c:pt>
                <c:pt idx="15">
                  <c:v>55.253695997787872</c:v>
                </c:pt>
                <c:pt idx="16">
                  <c:v>55.861350912979105</c:v>
                </c:pt>
                <c:pt idx="17">
                  <c:v>56.515205892443191</c:v>
                </c:pt>
                <c:pt idx="18">
                  <c:v>57.21526093610737</c:v>
                </c:pt>
                <c:pt idx="19">
                  <c:v>57.961516044000746</c:v>
                </c:pt>
                <c:pt idx="20">
                  <c:v>58.75397121613787</c:v>
                </c:pt>
                <c:pt idx="21">
                  <c:v>59.592626452547847</c:v>
                </c:pt>
                <c:pt idx="22">
                  <c:v>60.477481753157917</c:v>
                </c:pt>
                <c:pt idx="23">
                  <c:v>61.408537117997184</c:v>
                </c:pt>
                <c:pt idx="24">
                  <c:v>62.385792547109304</c:v>
                </c:pt>
                <c:pt idx="25">
                  <c:v>63.409248040421517</c:v>
                </c:pt>
                <c:pt idx="26">
                  <c:v>64.478903597977478</c:v>
                </c:pt>
                <c:pt idx="27">
                  <c:v>65.59475921979174</c:v>
                </c:pt>
                <c:pt idx="28">
                  <c:v>66.756814905820647</c:v>
                </c:pt>
                <c:pt idx="29">
                  <c:v>67.965070656078751</c:v>
                </c:pt>
                <c:pt idx="30">
                  <c:v>69.219526470609708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8-435E-9508-6A77EF28DF15}"/>
            </c:ext>
          </c:extLst>
        </c:ser>
        <c:ser>
          <c:idx val="4"/>
          <c:order val="1"/>
          <c:tx>
            <c:strRef>
              <c:f>Residential!$E$1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Residential!$A$2:$A$32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Residential!$E$2:$E$32</c:f>
              <c:numCache>
                <c:formatCode>_(* #,##0.00_);_(* \(#,##0.00\);_(* "-"??_);_(@_)</c:formatCode>
                <c:ptCount val="31"/>
                <c:pt idx="0">
                  <c:v>8.6348773999999935</c:v>
                </c:pt>
                <c:pt idx="1">
                  <c:v>8.4137129999999729</c:v>
                </c:pt>
                <c:pt idx="2">
                  <c:v>8.1925486000000092</c:v>
                </c:pt>
                <c:pt idx="3">
                  <c:v>7.9713841999999886</c:v>
                </c:pt>
                <c:pt idx="4">
                  <c:v>7.750219799999968</c:v>
                </c:pt>
                <c:pt idx="5">
                  <c:v>7.5290554000000043</c:v>
                </c:pt>
                <c:pt idx="6">
                  <c:v>7.3078909999999837</c:v>
                </c:pt>
                <c:pt idx="7">
                  <c:v>7.0867265999999631</c:v>
                </c:pt>
                <c:pt idx="8">
                  <c:v>6.8655621999999994</c:v>
                </c:pt>
                <c:pt idx="9">
                  <c:v>6.6443977999999788</c:v>
                </c:pt>
                <c:pt idx="10">
                  <c:v>6.4232333999999582</c:v>
                </c:pt>
                <c:pt idx="11">
                  <c:v>6.2020689999999945</c:v>
                </c:pt>
                <c:pt idx="12">
                  <c:v>5.9809045999999739</c:v>
                </c:pt>
                <c:pt idx="13">
                  <c:v>5.7597402000000102</c:v>
                </c:pt>
                <c:pt idx="14">
                  <c:v>5.5385757999999896</c:v>
                </c:pt>
                <c:pt idx="15">
                  <c:v>5.317411399999969</c:v>
                </c:pt>
                <c:pt idx="16">
                  <c:v>5.0962470000000053</c:v>
                </c:pt>
                <c:pt idx="17">
                  <c:v>4.8750825999999847</c:v>
                </c:pt>
                <c:pt idx="18">
                  <c:v>4.6539181999999641</c:v>
                </c:pt>
                <c:pt idx="19">
                  <c:v>4.4327538000000004</c:v>
                </c:pt>
                <c:pt idx="20">
                  <c:v>4.2115893999999798</c:v>
                </c:pt>
                <c:pt idx="21">
                  <c:v>3.9904249999999593</c:v>
                </c:pt>
                <c:pt idx="22">
                  <c:v>3.7692605999999955</c:v>
                </c:pt>
                <c:pt idx="23">
                  <c:v>3.5480961999999749</c:v>
                </c:pt>
                <c:pt idx="24">
                  <c:v>3.3269318000000112</c:v>
                </c:pt>
                <c:pt idx="25">
                  <c:v>3.1057673999999906</c:v>
                </c:pt>
                <c:pt idx="26">
                  <c:v>2.8846029999999701</c:v>
                </c:pt>
                <c:pt idx="27">
                  <c:v>2.6634386000000063</c:v>
                </c:pt>
                <c:pt idx="28">
                  <c:v>2.4422741999999857</c:v>
                </c:pt>
                <c:pt idx="29">
                  <c:v>2.2211097999999652</c:v>
                </c:pt>
                <c:pt idx="30">
                  <c:v>1.9999454000000014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8-435E-9508-6A77EF28DF15}"/>
            </c:ext>
          </c:extLst>
        </c:ser>
        <c:ser>
          <c:idx val="1"/>
          <c:order val="2"/>
          <c:tx>
            <c:strRef>
              <c:f>Residential!$B$1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Residential!$A$2:$A$32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Residential!#REF!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8-435E-9508-6A77EF28DF15}"/>
            </c:ext>
          </c:extLst>
        </c:ser>
        <c:ser>
          <c:idx val="2"/>
          <c:order val="3"/>
          <c:tx>
            <c:strRef>
              <c:f>Residential!$D$1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Residential!$A$2:$A$32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Residential!$D$2:$D$32</c:f>
              <c:numCache>
                <c:formatCode>_(* #,##0.00_);_(* \(#,##0.00\);_(* "-"??_);_(@_)</c:formatCode>
                <c:ptCount val="31"/>
                <c:pt idx="0">
                  <c:v>6.4424999999999996E-2</c:v>
                </c:pt>
                <c:pt idx="1">
                  <c:v>6.4424999999999996E-2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8-435E-9508-6A77EF28DF15}"/>
            </c:ext>
          </c:extLst>
        </c:ser>
        <c:ser>
          <c:idx val="3"/>
          <c:order val="4"/>
          <c:tx>
            <c:strRef>
              <c:f>Residential!$C$1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Residential!$A$2:$A$32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Residential!$C$2:$C$32</c:f>
              <c:numCache>
                <c:formatCode>_(* #,##0.00_);_(* \(#,##0.00\);_(* "-"??_);_(@_)</c:formatCode>
                <c:ptCount val="31"/>
                <c:pt idx="0">
                  <c:v>0.15085370370370368</c:v>
                </c:pt>
                <c:pt idx="1">
                  <c:v>0.14565185185185184</c:v>
                </c:pt>
                <c:pt idx="2">
                  <c:v>0.14044999999999999</c:v>
                </c:pt>
                <c:pt idx="3">
                  <c:v>0.13524814814814815</c:v>
                </c:pt>
                <c:pt idx="4">
                  <c:v>0.1300462962962963</c:v>
                </c:pt>
                <c:pt idx="5">
                  <c:v>0.12484444444444445</c:v>
                </c:pt>
                <c:pt idx="6">
                  <c:v>0.11964259259259261</c:v>
                </c:pt>
                <c:pt idx="7">
                  <c:v>0.11444074074074076</c:v>
                </c:pt>
                <c:pt idx="8">
                  <c:v>0.10923888888888891</c:v>
                </c:pt>
                <c:pt idx="9">
                  <c:v>0.10403703703703707</c:v>
                </c:pt>
                <c:pt idx="10">
                  <c:v>9.883518518518522E-2</c:v>
                </c:pt>
                <c:pt idx="11">
                  <c:v>9.3633333333333374E-2</c:v>
                </c:pt>
                <c:pt idx="12">
                  <c:v>8.8431481481481528E-2</c:v>
                </c:pt>
                <c:pt idx="13">
                  <c:v>8.3229629629629681E-2</c:v>
                </c:pt>
                <c:pt idx="14">
                  <c:v>7.8027777777777835E-2</c:v>
                </c:pt>
                <c:pt idx="15">
                  <c:v>7.2825925925925988E-2</c:v>
                </c:pt>
                <c:pt idx="16">
                  <c:v>6.7624074074074142E-2</c:v>
                </c:pt>
                <c:pt idx="17">
                  <c:v>6.2422222222222289E-2</c:v>
                </c:pt>
                <c:pt idx="18">
                  <c:v>5.7220370370370435E-2</c:v>
                </c:pt>
                <c:pt idx="19">
                  <c:v>5.2018518518518582E-2</c:v>
                </c:pt>
                <c:pt idx="20">
                  <c:v>4.6816666666666729E-2</c:v>
                </c:pt>
                <c:pt idx="21">
                  <c:v>4.1614814814814875E-2</c:v>
                </c:pt>
                <c:pt idx="22">
                  <c:v>3.6412962962963022E-2</c:v>
                </c:pt>
                <c:pt idx="23">
                  <c:v>3.1211111111111172E-2</c:v>
                </c:pt>
                <c:pt idx="24">
                  <c:v>2.6009259259259322E-2</c:v>
                </c:pt>
                <c:pt idx="25">
                  <c:v>2.0807407407407472E-2</c:v>
                </c:pt>
                <c:pt idx="26">
                  <c:v>1.5605555555555622E-2</c:v>
                </c:pt>
                <c:pt idx="27">
                  <c:v>1.0403703703703773E-2</c:v>
                </c:pt>
                <c:pt idx="28">
                  <c:v>5.2018518518519219E-3</c:v>
                </c:pt>
                <c:pt idx="29">
                  <c:v>7.1123662515049091E-17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8-435E-9508-6A77EF28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07727"/>
        <c:axId val="1345397327"/>
      </c:areaChart>
      <c:catAx>
        <c:axId val="13454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0648085426169631"/>
              <c:y val="0.87321435166864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97327"/>
        <c:crosses val="autoZero"/>
        <c:auto val="1"/>
        <c:lblAlgn val="ctr"/>
        <c:lblOffset val="100"/>
        <c:noMultiLvlLbl val="0"/>
      </c:catAx>
      <c:valAx>
        <c:axId val="13453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0641360387283942E-2"/>
              <c:y val="0.29367313019390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0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82530278404027"/>
          <c:y val="0.9266500461680518"/>
          <c:w val="0.59054330706241343"/>
          <c:h val="6.2622929809515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Proyected Public &amp; Commercial Demand (2020-2050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5138888888884E-2"/>
          <c:y val="0.10972272727272729"/>
          <c:w val="0.87552930555555553"/>
          <c:h val="0.63864141414141407"/>
        </c:manualLayout>
      </c:layout>
      <c:areaChart>
        <c:grouping val="stacked"/>
        <c:varyColors val="0"/>
        <c:ser>
          <c:idx val="0"/>
          <c:order val="0"/>
          <c:tx>
            <c:strRef>
              <c:f>CommPublic!$E$1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CommPublic!$A$2:$A$32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CommPublic!$E$2:$E$32</c:f>
              <c:numCache>
                <c:formatCode>General</c:formatCode>
                <c:ptCount val="31"/>
                <c:pt idx="0">
                  <c:v>43.09484536742093</c:v>
                </c:pt>
                <c:pt idx="1">
                  <c:v>48.498138995200861</c:v>
                </c:pt>
                <c:pt idx="2">
                  <c:v>53.743629890435841</c:v>
                </c:pt>
                <c:pt idx="3">
                  <c:v>58.831318053125869</c:v>
                </c:pt>
                <c:pt idx="4">
                  <c:v>63.761203483212739</c:v>
                </c:pt>
                <c:pt idx="5">
                  <c:v>68.533286180812865</c:v>
                </c:pt>
                <c:pt idx="6">
                  <c:v>73.147566145868041</c:v>
                </c:pt>
                <c:pt idx="7">
                  <c:v>77.604043378378265</c:v>
                </c:pt>
                <c:pt idx="8">
                  <c:v>81.902717878343537</c:v>
                </c:pt>
                <c:pt idx="9">
                  <c:v>86.043589645763859</c:v>
                </c:pt>
                <c:pt idx="10">
                  <c:v>90.02665868063923</c:v>
                </c:pt>
                <c:pt idx="11">
                  <c:v>93.851924982853234</c:v>
                </c:pt>
                <c:pt idx="12">
                  <c:v>97.51938855269691</c:v>
                </c:pt>
                <c:pt idx="13">
                  <c:v>101.02904938993743</c:v>
                </c:pt>
                <c:pt idx="14">
                  <c:v>104.38090749463299</c:v>
                </c:pt>
                <c:pt idx="15">
                  <c:v>107.57496286678361</c:v>
                </c:pt>
                <c:pt idx="16">
                  <c:v>110.61121550644748</c:v>
                </c:pt>
                <c:pt idx="17">
                  <c:v>113.48966541350819</c:v>
                </c:pt>
                <c:pt idx="18">
                  <c:v>116.21031258790754</c:v>
                </c:pt>
                <c:pt idx="19">
                  <c:v>118.77315702987835</c:v>
                </c:pt>
                <c:pt idx="20">
                  <c:v>121.17819873936241</c:v>
                </c:pt>
                <c:pt idx="21">
                  <c:v>123.42543771624332</c:v>
                </c:pt>
                <c:pt idx="22">
                  <c:v>125.51487396063749</c:v>
                </c:pt>
                <c:pt idx="23">
                  <c:v>127.44650747242849</c:v>
                </c:pt>
                <c:pt idx="24">
                  <c:v>129.22033825167455</c:v>
                </c:pt>
                <c:pt idx="25">
                  <c:v>130.83636629831744</c:v>
                </c:pt>
                <c:pt idx="26">
                  <c:v>132.2945916124736</c:v>
                </c:pt>
                <c:pt idx="27">
                  <c:v>133.595014194143</c:v>
                </c:pt>
                <c:pt idx="28">
                  <c:v>134.73763404320925</c:v>
                </c:pt>
                <c:pt idx="29">
                  <c:v>135.72245115973055</c:v>
                </c:pt>
                <c:pt idx="30">
                  <c:v>136.54946554376511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7AD-A58E-4379220A84C0}"/>
            </c:ext>
          </c:extLst>
        </c:ser>
        <c:ser>
          <c:idx val="1"/>
          <c:order val="1"/>
          <c:tx>
            <c:strRef>
              <c:f>CommPublic!$B$1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CommPublic!$A$2:$A$32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CommPublic!$B$2:$B$32</c:f>
              <c:numCache>
                <c:formatCode>General</c:formatCode>
                <c:ptCount val="31"/>
                <c:pt idx="0">
                  <c:v>3.9814400729869508</c:v>
                </c:pt>
                <c:pt idx="1">
                  <c:v>3.482241396385561</c:v>
                </c:pt>
                <c:pt idx="2">
                  <c:v>3.1056070364246908</c:v>
                </c:pt>
                <c:pt idx="3">
                  <c:v>2.8116120050247635</c:v>
                </c:pt>
                <c:pt idx="4">
                  <c:v>2.5760074746942987</c:v>
                </c:pt>
                <c:pt idx="5">
                  <c:v>2.5642687064551857</c:v>
                </c:pt>
                <c:pt idx="6">
                  <c:v>2.3916189711718543</c:v>
                </c:pt>
                <c:pt idx="7">
                  <c:v>2.2459108354751347</c:v>
                </c:pt>
                <c:pt idx="8">
                  <c:v>2.1215044357907784</c:v>
                </c:pt>
                <c:pt idx="9">
                  <c:v>2.0142445297682228</c:v>
                </c:pt>
                <c:pt idx="10">
                  <c:v>1.4763613262441551</c:v>
                </c:pt>
                <c:pt idx="11">
                  <c:v>1.4136301828924107</c:v>
                </c:pt>
                <c:pt idx="12">
                  <c:v>1.358389577034443</c:v>
                </c:pt>
                <c:pt idx="13">
                  <c:v>1.3095019991795298</c:v>
                </c:pt>
                <c:pt idx="14">
                  <c:v>1.2660564266875638</c:v>
                </c:pt>
                <c:pt idx="15">
                  <c:v>0.74768495427558423</c:v>
                </c:pt>
                <c:pt idx="16">
                  <c:v>0.72658189873590928</c:v>
                </c:pt>
                <c:pt idx="17">
                  <c:v>0.70767396440653318</c:v>
                </c:pt>
                <c:pt idx="18">
                  <c:v>0.69070914946374928</c:v>
                </c:pt>
                <c:pt idx="19">
                  <c:v>0.67547659337383681</c:v>
                </c:pt>
                <c:pt idx="20">
                  <c:v>0.48894662928117916</c:v>
                </c:pt>
                <c:pt idx="21">
                  <c:v>0.47987915729062308</c:v>
                </c:pt>
                <c:pt idx="22">
                  <c:v>0.47175541130498988</c:v>
                </c:pt>
                <c:pt idx="23">
                  <c:v>0.46449524736512687</c:v>
                </c:pt>
                <c:pt idx="24">
                  <c:v>0.45803029212288121</c:v>
                </c:pt>
                <c:pt idx="25">
                  <c:v>0.32622900103013741</c:v>
                </c:pt>
                <c:pt idx="26">
                  <c:v>0.32259304414006795</c:v>
                </c:pt>
                <c:pt idx="27">
                  <c:v>0.31942203560392107</c:v>
                </c:pt>
                <c:pt idx="28">
                  <c:v>0.31669006270574246</c:v>
                </c:pt>
                <c:pt idx="29">
                  <c:v>0.31437532861827289</c:v>
                </c:pt>
                <c:pt idx="30">
                  <c:v>0.31245970657835764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C-47AD-A58E-4379220A84C0}"/>
            </c:ext>
          </c:extLst>
        </c:ser>
        <c:ser>
          <c:idx val="2"/>
          <c:order val="2"/>
          <c:tx>
            <c:strRef>
              <c:f>CommPublic!$D$1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CommPublic!$A$2:$A$32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CommPublic!#REF!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C-47AD-A58E-4379220A84C0}"/>
            </c:ext>
          </c:extLst>
        </c:ser>
        <c:ser>
          <c:idx val="3"/>
          <c:order val="3"/>
          <c:tx>
            <c:strRef>
              <c:f>CommPublic!#REF!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CommPublic!$A$2:$A$32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CommPublic!$C$2:$C$32</c:f>
              <c:numCache>
                <c:formatCode>General</c:formatCode>
                <c:ptCount val="31"/>
                <c:pt idx="0">
                  <c:v>57.801321819948498</c:v>
                </c:pt>
                <c:pt idx="1">
                  <c:v>54.753947099961806</c:v>
                </c:pt>
                <c:pt idx="2">
                  <c:v>51.797865619970253</c:v>
                </c:pt>
                <c:pt idx="3">
                  <c:v>48.933077380002942</c:v>
                </c:pt>
                <c:pt idx="4">
                  <c:v>46.159582379943458</c:v>
                </c:pt>
                <c:pt idx="5">
                  <c:v>43.477380619966425</c:v>
                </c:pt>
                <c:pt idx="6">
                  <c:v>40.88647209998453</c:v>
                </c:pt>
                <c:pt idx="7">
                  <c:v>38.386856819997774</c:v>
                </c:pt>
                <c:pt idx="8">
                  <c:v>35.97853477994795</c:v>
                </c:pt>
                <c:pt idx="9">
                  <c:v>33.661505979951471</c:v>
                </c:pt>
                <c:pt idx="10">
                  <c:v>31.435770419979235</c:v>
                </c:pt>
                <c:pt idx="11">
                  <c:v>29.301328099973034</c:v>
                </c:pt>
                <c:pt idx="12">
                  <c:v>27.258179019991076</c:v>
                </c:pt>
                <c:pt idx="13">
                  <c:v>25.306323179946048</c:v>
                </c:pt>
                <c:pt idx="14">
                  <c:v>23.445760579954367</c:v>
                </c:pt>
                <c:pt idx="15">
                  <c:v>21.676491219986929</c:v>
                </c:pt>
                <c:pt idx="16">
                  <c:v>19.998515099985525</c:v>
                </c:pt>
                <c:pt idx="17">
                  <c:v>18.411832219950156</c:v>
                </c:pt>
                <c:pt idx="18">
                  <c:v>16.916442579968134</c:v>
                </c:pt>
                <c:pt idx="19">
                  <c:v>15.51234617998125</c:v>
                </c:pt>
                <c:pt idx="20">
                  <c:v>14.199543019989505</c:v>
                </c:pt>
                <c:pt idx="21">
                  <c:v>12.978033099992899</c:v>
                </c:pt>
                <c:pt idx="22">
                  <c:v>11.847816419962328</c:v>
                </c:pt>
                <c:pt idx="23">
                  <c:v>10.808892979955999</c:v>
                </c:pt>
                <c:pt idx="24">
                  <c:v>9.861262779973913</c:v>
                </c:pt>
                <c:pt idx="25">
                  <c:v>9.0049258199869655</c:v>
                </c:pt>
                <c:pt idx="26">
                  <c:v>8.2398820999369491</c:v>
                </c:pt>
                <c:pt idx="27">
                  <c:v>7.5661316199693829</c:v>
                </c:pt>
                <c:pt idx="28">
                  <c:v>6.9836743799678516</c:v>
                </c:pt>
                <c:pt idx="29">
                  <c:v>6.4925103799905628</c:v>
                </c:pt>
                <c:pt idx="30">
                  <c:v>6.0926396199793089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C-47AD-A58E-4379220A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07727"/>
        <c:axId val="1345397327"/>
      </c:areaChart>
      <c:catAx>
        <c:axId val="13454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0415444444444446"/>
              <c:y val="0.8606072222222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97327"/>
        <c:crosses val="autoZero"/>
        <c:auto val="1"/>
        <c:lblAlgn val="ctr"/>
        <c:lblOffset val="100"/>
        <c:noMultiLvlLbl val="0"/>
      </c:catAx>
      <c:valAx>
        <c:axId val="13453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0583333333333333E-2"/>
              <c:y val="0.27240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0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81500000000001"/>
          <c:y val="0.92209638888888901"/>
          <c:w val="0.30834208333333335"/>
          <c:h val="6.379250000000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South Africa's</a:t>
            </a:r>
            <a:r>
              <a:rPr lang="en-US" sz="1800" b="1" baseline="0"/>
              <a:t> Current Demand by Fuel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19583333333329E-2"/>
          <c:y val="0.11743171758763049"/>
          <c:w val="0.86849180555555561"/>
          <c:h val="0.6808042929292929"/>
        </c:manualLayout>
      </c:layout>
      <c:areaChart>
        <c:grouping val="stacked"/>
        <c:varyColors val="0"/>
        <c:ser>
          <c:idx val="0"/>
          <c:order val="0"/>
          <c:tx>
            <c:strRef>
              <c:f>'Current Demand'!$C$3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Demand'!$C$4:$C$10</c:f>
              <c:numCache>
                <c:formatCode>0.00</c:formatCode>
                <c:ptCount val="7"/>
                <c:pt idx="0">
                  <c:v>190.1383333</c:v>
                </c:pt>
                <c:pt idx="1">
                  <c:v>182.7</c:v>
                </c:pt>
                <c:pt idx="2">
                  <c:v>185.21972220000001</c:v>
                </c:pt>
                <c:pt idx="3">
                  <c:v>218.97</c:v>
                </c:pt>
                <c:pt idx="4">
                  <c:v>179.28055560000001</c:v>
                </c:pt>
                <c:pt idx="5">
                  <c:v>189.6311111</c:v>
                </c:pt>
                <c:pt idx="6">
                  <c:v>208.51361109999999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0B9-9973-8FAAF90555B1}"/>
            </c:ext>
          </c:extLst>
        </c:ser>
        <c:ser>
          <c:idx val="1"/>
          <c:order val="1"/>
          <c:tx>
            <c:strRef>
              <c:f>'Current Demand'!$D$3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Demand'!$D$4:$D$10</c:f>
              <c:numCache>
                <c:formatCode>0.00</c:formatCode>
                <c:ptCount val="7"/>
                <c:pt idx="0">
                  <c:v>175.3377778</c:v>
                </c:pt>
                <c:pt idx="1">
                  <c:v>186.07138889999999</c:v>
                </c:pt>
                <c:pt idx="2">
                  <c:v>185.5325</c:v>
                </c:pt>
                <c:pt idx="3">
                  <c:v>219.59166669999999</c:v>
                </c:pt>
                <c:pt idx="4">
                  <c:v>258.5036111</c:v>
                </c:pt>
                <c:pt idx="5">
                  <c:v>298.54694439999997</c:v>
                </c:pt>
                <c:pt idx="6">
                  <c:v>316.24777779999999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C-40B9-9973-8FAAF90555B1}"/>
            </c:ext>
          </c:extLst>
        </c:ser>
        <c:ser>
          <c:idx val="2"/>
          <c:order val="2"/>
          <c:tx>
            <c:strRef>
              <c:f>'Current Demand'!$E$3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Demand'!$E$4:$E$10</c:f>
              <c:numCache>
                <c:formatCode>0.00</c:formatCode>
                <c:ptCount val="7"/>
                <c:pt idx="0">
                  <c:v>89.72666667</c:v>
                </c:pt>
                <c:pt idx="1">
                  <c:v>98.333611110000007</c:v>
                </c:pt>
                <c:pt idx="2">
                  <c:v>91.561388890000003</c:v>
                </c:pt>
                <c:pt idx="3">
                  <c:v>72.941388889999999</c:v>
                </c:pt>
                <c:pt idx="4">
                  <c:v>77.016666670000006</c:v>
                </c:pt>
                <c:pt idx="5">
                  <c:v>68.627222219999993</c:v>
                </c:pt>
                <c:pt idx="6">
                  <c:v>67.981388890000005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C-40B9-9973-8FAAF90555B1}"/>
            </c:ext>
          </c:extLst>
        </c:ser>
        <c:ser>
          <c:idx val="3"/>
          <c:order val="3"/>
          <c:tx>
            <c:strRef>
              <c:f>'Current Demand'!$F$3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Demand'!$F$4:$F$10</c:f>
              <c:numCache>
                <c:formatCode>0.00</c:formatCode>
                <c:ptCount val="7"/>
                <c:pt idx="0">
                  <c:v>138.48611109999999</c:v>
                </c:pt>
                <c:pt idx="1">
                  <c:v>140.97305560000001</c:v>
                </c:pt>
                <c:pt idx="2">
                  <c:v>174.1369444</c:v>
                </c:pt>
                <c:pt idx="3">
                  <c:v>193.19388889999999</c:v>
                </c:pt>
                <c:pt idx="4">
                  <c:v>202.68305559999999</c:v>
                </c:pt>
                <c:pt idx="5">
                  <c:v>191.3280556</c:v>
                </c:pt>
                <c:pt idx="6">
                  <c:v>187.1369444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C-40B9-9973-8FAAF90555B1}"/>
            </c:ext>
          </c:extLst>
        </c:ser>
        <c:ser>
          <c:idx val="4"/>
          <c:order val="4"/>
          <c:tx>
            <c:strRef>
              <c:f>'Current Demand'!$G$3</c:f>
              <c:strCache>
                <c:ptCount val="1"/>
                <c:pt idx="0">
                  <c:v>Wind, solar, etc.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Demand'!$G$4:$G$10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0.206666667</c:v>
                </c:pt>
                <c:pt idx="4">
                  <c:v>0.76888888899999996</c:v>
                </c:pt>
                <c:pt idx="5">
                  <c:v>1.271111111</c:v>
                </c:pt>
                <c:pt idx="6">
                  <c:v>1.4580555559999999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C-40B9-9973-8FAAF90555B1}"/>
            </c:ext>
          </c:extLst>
        </c:ser>
        <c:ser>
          <c:idx val="5"/>
          <c:order val="5"/>
          <c:tx>
            <c:strRef>
              <c:f>'Current Demand'!$H$3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'Current Demand'!$B$4:$B$10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</c:v>
                </c:pt>
              </c:numCache>
            </c:numRef>
          </c:cat>
          <c:val>
            <c:numRef>
              <c:f>'Current Demand'!$H$4:$H$10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9.5536111110000004</c:v>
                </c:pt>
                <c:pt idx="5">
                  <c:v>20.268055560000001</c:v>
                </c:pt>
                <c:pt idx="6">
                  <c:v>22.17166667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C-40B9-9973-8FAAF905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26288"/>
        <c:axId val="1993926704"/>
      </c:areaChart>
      <c:catAx>
        <c:axId val="19939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6704"/>
        <c:crosses val="autoZero"/>
        <c:auto val="1"/>
        <c:lblAlgn val="ctr"/>
        <c:lblOffset val="100"/>
        <c:noMultiLvlLbl val="0"/>
      </c:catAx>
      <c:valAx>
        <c:axId val="1993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2347222222222223E-2"/>
              <c:y val="0.303746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BAU</a:t>
            </a:r>
            <a:r>
              <a:rPr lang="en-US" sz="1800" b="1" baseline="0"/>
              <a:t> Demand Projections by Sector (2020-2050)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8708333333333"/>
          <c:y val="0.13254010840271788"/>
          <c:w val="0.85808361111111109"/>
          <c:h val="0.68728435790107179"/>
        </c:manualLayout>
      </c:layout>
      <c:areaChart>
        <c:grouping val="stacked"/>
        <c:varyColors val="0"/>
        <c:ser>
          <c:idx val="0"/>
          <c:order val="0"/>
          <c:tx>
            <c:strRef>
              <c:f>'Demand BAU'!$B$12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'Demand BAU'!$A$13:$A$15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BAU'!$B$13:$B$15</c:f>
              <c:numCache>
                <c:formatCode>_(* #,##0.00_);_(* \(#,##0.00\);_(* "-"??_);_(@_)</c:formatCode>
                <c:ptCount val="3"/>
                <c:pt idx="0">
                  <c:v>321.2894948227331</c:v>
                </c:pt>
                <c:pt idx="1">
                  <c:v>601.28500000000008</c:v>
                </c:pt>
                <c:pt idx="2">
                  <c:v>1358.46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5B2-BDC8-B5A5478D7472}"/>
            </c:ext>
          </c:extLst>
        </c:ser>
        <c:ser>
          <c:idx val="1"/>
          <c:order val="1"/>
          <c:tx>
            <c:strRef>
              <c:f>'Demand BAU'!$C$12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'Demand BAU'!$A$13:$A$15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BAU'!$C$13:$C$15</c:f>
              <c:numCache>
                <c:formatCode>_(* #,##0.00_);_(* \(#,##0.00\);_(* "-"??_);_(@_)</c:formatCode>
                <c:ptCount val="3"/>
                <c:pt idx="0">
                  <c:v>104.94203226035638</c:v>
                </c:pt>
                <c:pt idx="1">
                  <c:v>102.10499999999999</c:v>
                </c:pt>
                <c:pt idx="2">
                  <c:v>226.41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45B2-BDC8-B5A5478D7472}"/>
            </c:ext>
          </c:extLst>
        </c:ser>
        <c:ser>
          <c:idx val="2"/>
          <c:order val="2"/>
          <c:tx>
            <c:strRef>
              <c:f>'Demand BAU'!$D$12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'Demand BAU'!$A$13:$A$15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BAU'!$D$13:$D$15</c:f>
              <c:numCache>
                <c:formatCode>_(* #,##0.00_);_(* \(#,##0.00\);_(* "-"??_);_(@_)</c:formatCode>
                <c:ptCount val="3"/>
                <c:pt idx="0">
                  <c:v>65.583208535694283</c:v>
                </c:pt>
                <c:pt idx="1">
                  <c:v>90.76</c:v>
                </c:pt>
                <c:pt idx="2">
                  <c:v>135.846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3-45B2-BDC8-B5A5478D7472}"/>
            </c:ext>
          </c:extLst>
        </c:ser>
        <c:ser>
          <c:idx val="3"/>
          <c:order val="3"/>
          <c:tx>
            <c:strRef>
              <c:f>'Demand BAU'!$E$12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'Demand BAU'!$A$13:$A$15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BAU'!$E$13:$E$15</c:f>
              <c:numCache>
                <c:formatCode>_(* #,##0.00_);_(* \(#,##0.00\);_(* "-"??_);_(@_)</c:formatCode>
                <c:ptCount val="3"/>
                <c:pt idx="0">
                  <c:v>297.74272214094543</c:v>
                </c:pt>
                <c:pt idx="1">
                  <c:v>340.34999999999997</c:v>
                </c:pt>
                <c:pt idx="2">
                  <c:v>543.38400000000001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3-45B2-BDC8-B5A5478D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05312"/>
        <c:axId val="1812908224"/>
      </c:areaChart>
      <c:catAx>
        <c:axId val="18129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0678775448635272"/>
              <c:y val="0.87272080517710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8224"/>
        <c:crosses val="autoZero"/>
        <c:auto val="1"/>
        <c:lblAlgn val="ctr"/>
        <c:lblOffset val="100"/>
        <c:noMultiLvlLbl val="0"/>
      </c:catAx>
      <c:valAx>
        <c:axId val="1812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(TWh)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3721612956345085E-3"/>
              <c:y val="0.32513196816869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BAU Demand Projections by Fuel (2020-2050)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67874999999999"/>
          <c:y val="0.12413939393939394"/>
          <c:w val="0.85279194444444439"/>
          <c:h val="0.69247803030303035"/>
        </c:manualLayout>
      </c:layout>
      <c:areaChart>
        <c:grouping val="stacked"/>
        <c:varyColors val="0"/>
        <c:ser>
          <c:idx val="0"/>
          <c:order val="0"/>
          <c:tx>
            <c:strRef>
              <c:f>'Demand BAU'!$B$20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BAU'!$B$27:$B$29</c:f>
              <c:numCache>
                <c:formatCode>_(* #,##0.00_);_(* \(#,##0.00\);_(* "-"??_);_(@_)</c:formatCode>
                <c:ptCount val="3"/>
                <c:pt idx="0">
                  <c:v>204.25</c:v>
                </c:pt>
                <c:pt idx="1">
                  <c:v>362.19444444444446</c:v>
                </c:pt>
                <c:pt idx="2">
                  <c:v>675.38888888888891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5-4E16-BF86-03598C378565}"/>
            </c:ext>
          </c:extLst>
        </c:ser>
        <c:ser>
          <c:idx val="1"/>
          <c:order val="1"/>
          <c:tx>
            <c:strRef>
              <c:f>'Demand BAU'!$C$20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BAU'!$C$27:$C$29</c:f>
              <c:numCache>
                <c:formatCode>_(* #,##0.00_);_(* \(#,##0.00\);_(* "-"??_);_(@_)</c:formatCode>
                <c:ptCount val="3"/>
                <c:pt idx="0">
                  <c:v>163.38888888888889</c:v>
                </c:pt>
                <c:pt idx="1">
                  <c:v>250.55555555555554</c:v>
                </c:pt>
                <c:pt idx="2">
                  <c:v>403.05555555555554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5-4E16-BF86-03598C378565}"/>
            </c:ext>
          </c:extLst>
        </c:ser>
        <c:ser>
          <c:idx val="2"/>
          <c:order val="2"/>
          <c:tx>
            <c:strRef>
              <c:f>'Demand BAU'!$D$20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BAU'!$D$27:$D$29</c:f>
              <c:numCache>
                <c:formatCode>_(* #,##0.00_);_(* \(#,##0.00\);_(* "-"??_);_(@_)</c:formatCode>
                <c:ptCount val="3"/>
                <c:pt idx="0">
                  <c:v>250.55555555555554</c:v>
                </c:pt>
                <c:pt idx="1">
                  <c:v>427.55555555555554</c:v>
                </c:pt>
                <c:pt idx="2">
                  <c:v>754.36111111111109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5-4E16-BF86-03598C378565}"/>
            </c:ext>
          </c:extLst>
        </c:ser>
        <c:ser>
          <c:idx val="3"/>
          <c:order val="3"/>
          <c:tx>
            <c:strRef>
              <c:f>'Demand BAU'!$E$20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BAU'!$E$27:$E$29</c:f>
              <c:numCache>
                <c:formatCode>_(* #,##0.00_);_(* \(#,##0.00\);_(* "-"??_);_(@_)</c:formatCode>
                <c:ptCount val="3"/>
                <c:pt idx="0">
                  <c:v>40.861111111111114</c:v>
                </c:pt>
                <c:pt idx="1">
                  <c:v>64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5-4E16-BF86-03598C378565}"/>
            </c:ext>
          </c:extLst>
        </c:ser>
        <c:ser>
          <c:idx val="4"/>
          <c:order val="4"/>
          <c:tx>
            <c:strRef>
              <c:f>'Demand BAU'!$F$20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BAU'!$F$27:$F$29</c:f>
              <c:numCache>
                <c:formatCode>_(* #,##0.00_);_(* \(#,##0.00\);_(* "-"??_);_(@_)</c:formatCode>
                <c:ptCount val="3"/>
                <c:pt idx="0">
                  <c:v>164.70444444444442</c:v>
                </c:pt>
                <c:pt idx="1">
                  <c:v>200</c:v>
                </c:pt>
                <c:pt idx="2">
                  <c:v>303.29444444444448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5-4E16-BF86-03598C378565}"/>
            </c:ext>
          </c:extLst>
        </c:ser>
        <c:ser>
          <c:idx val="5"/>
          <c:order val="5"/>
          <c:tx>
            <c:strRef>
              <c:f>'Demand BAU'!$G$20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'Demand BAU'!$A$27:$A$29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'Demand BAU'!$G$27:$G$29</c:f>
              <c:numCache>
                <c:formatCode>_(* #,##0.00_);_(* \(#,##0.00\);_(* "-"??_);_(@_)</c:formatCode>
                <c:ptCount val="3"/>
                <c:pt idx="0">
                  <c:v>30</c:v>
                </c:pt>
                <c:pt idx="1">
                  <c:v>5.5555555555555554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5-4E16-BF86-03598C37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05312"/>
        <c:axId val="1812908224"/>
      </c:areaChart>
      <c:catAx>
        <c:axId val="18129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0678775448635272"/>
              <c:y val="0.87272080517710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8224"/>
        <c:crosses val="autoZero"/>
        <c:auto val="1"/>
        <c:lblAlgn val="ctr"/>
        <c:lblOffset val="100"/>
        <c:noMultiLvlLbl val="0"/>
      </c:catAx>
      <c:valAx>
        <c:axId val="1812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(TWh)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3721612956345085E-3"/>
              <c:y val="0.32513196816869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Energy Demand by Sector (2020-2050)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3118601117907"/>
          <c:y val="0.12224468437423266"/>
          <c:w val="0.86449225813459962"/>
          <c:h val="0.634251470344113"/>
        </c:manualLayout>
      </c:layout>
      <c:areaChart>
        <c:grouping val="stacked"/>
        <c:varyColors val="0"/>
        <c:ser>
          <c:idx val="0"/>
          <c:order val="0"/>
          <c:tx>
            <c:strRef>
              <c:f>'Demand Total'!$B$1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'Demand Total'!$A$2:$A$32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Total'!$B$2:$B$32</c:f>
              <c:numCache>
                <c:formatCode>_(* #,##0.00_);_(* \(#,##0.00\);_(* "-"??_);_(@_)</c:formatCode>
                <c:ptCount val="31"/>
                <c:pt idx="0">
                  <c:v>321.2894948227331</c:v>
                </c:pt>
                <c:pt idx="1">
                  <c:v>323.81928539794882</c:v>
                </c:pt>
                <c:pt idx="2">
                  <c:v>326.21840837119157</c:v>
                </c:pt>
                <c:pt idx="3">
                  <c:v>328.49467449861697</c:v>
                </c:pt>
                <c:pt idx="4">
                  <c:v>330.64748621823367</c:v>
                </c:pt>
                <c:pt idx="5">
                  <c:v>332.98584683213676</c:v>
                </c:pt>
                <c:pt idx="6">
                  <c:v>334.88588149479313</c:v>
                </c:pt>
                <c:pt idx="7">
                  <c:v>336.66097049382086</c:v>
                </c:pt>
                <c:pt idx="8">
                  <c:v>338.31063074415101</c:v>
                </c:pt>
                <c:pt idx="9">
                  <c:v>339.83440438110313</c:v>
                </c:pt>
                <c:pt idx="10">
                  <c:v>333.17502543040155</c:v>
                </c:pt>
                <c:pt idx="11">
                  <c:v>334.54822405316321</c:v>
                </c:pt>
                <c:pt idx="12">
                  <c:v>335.79172393034708</c:v>
                </c:pt>
                <c:pt idx="13">
                  <c:v>336.90524880904252</c:v>
                </c:pt>
                <c:pt idx="14">
                  <c:v>337.88853597507892</c:v>
                </c:pt>
                <c:pt idx="15">
                  <c:v>329.96169538441109</c:v>
                </c:pt>
                <c:pt idx="16">
                  <c:v>330.78876435142905</c:v>
                </c:pt>
                <c:pt idx="17">
                  <c:v>331.4823992014384</c:v>
                </c:pt>
                <c:pt idx="18">
                  <c:v>332.04247069714836</c:v>
                </c:pt>
                <c:pt idx="19">
                  <c:v>332.46885556915316</c:v>
                </c:pt>
                <c:pt idx="20">
                  <c:v>329.46639517096162</c:v>
                </c:pt>
                <c:pt idx="21">
                  <c:v>329.66224111746635</c:v>
                </c:pt>
                <c:pt idx="22">
                  <c:v>329.72323337380749</c:v>
                </c:pt>
                <c:pt idx="23">
                  <c:v>329.64929682903414</c:v>
                </c:pt>
                <c:pt idx="24">
                  <c:v>329.44035965151556</c:v>
                </c:pt>
                <c:pt idx="25">
                  <c:v>326.32196781510947</c:v>
                </c:pt>
                <c:pt idx="26">
                  <c:v>325.87246084628691</c:v>
                </c:pt>
                <c:pt idx="27">
                  <c:v>325.28712931185868</c:v>
                </c:pt>
                <c:pt idx="28">
                  <c:v>324.5659324893561</c:v>
                </c:pt>
                <c:pt idx="29">
                  <c:v>323.7088313416931</c:v>
                </c:pt>
                <c:pt idx="30">
                  <c:v>322.70709202674334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3B0-82BB-923C2F2768F7}"/>
            </c:ext>
          </c:extLst>
        </c:ser>
        <c:ser>
          <c:idx val="1"/>
          <c:order val="1"/>
          <c:tx>
            <c:strRef>
              <c:f>'Demand Total'!$C$1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'Demand Total'!$A$2:$A$32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Total'!$C$2:$C$32</c:f>
              <c:numCache>
                <c:formatCode>_(* #,##0.00_);_(* \(#,##0.00\);_(* "-"??_);_(@_)</c:formatCode>
                <c:ptCount val="31"/>
                <c:pt idx="0">
                  <c:v>297.74272214094543</c:v>
                </c:pt>
                <c:pt idx="1">
                  <c:v>292.56757652281112</c:v>
                </c:pt>
                <c:pt idx="2">
                  <c:v>287.27971878721746</c:v>
                </c:pt>
                <c:pt idx="3">
                  <c:v>282.40363895088672</c:v>
                </c:pt>
                <c:pt idx="4">
                  <c:v>277.27697418730656</c:v>
                </c:pt>
                <c:pt idx="5">
                  <c:v>271.92277554407173</c:v>
                </c:pt>
                <c:pt idx="6">
                  <c:v>266.36637408619208</c:v>
                </c:pt>
                <c:pt idx="7">
                  <c:v>260.63310095340159</c:v>
                </c:pt>
                <c:pt idx="8">
                  <c:v>254.74828725553587</c:v>
                </c:pt>
                <c:pt idx="9">
                  <c:v>248.7372641022572</c:v>
                </c:pt>
                <c:pt idx="10">
                  <c:v>242.6253625884944</c:v>
                </c:pt>
                <c:pt idx="11">
                  <c:v>236.43791386888842</c:v>
                </c:pt>
                <c:pt idx="12">
                  <c:v>230.2002490233865</c:v>
                </c:pt>
                <c:pt idx="13">
                  <c:v>223.93769913201629</c:v>
                </c:pt>
                <c:pt idx="14">
                  <c:v>217.67559539396939</c:v>
                </c:pt>
                <c:pt idx="15">
                  <c:v>211.43926882967585</c:v>
                </c:pt>
                <c:pt idx="16">
                  <c:v>205.25405059364698</c:v>
                </c:pt>
                <c:pt idx="17">
                  <c:v>199.14527181061987</c:v>
                </c:pt>
                <c:pt idx="18">
                  <c:v>193.13826356057129</c:v>
                </c:pt>
                <c:pt idx="19">
                  <c:v>187.25835696823071</c:v>
                </c:pt>
                <c:pt idx="20">
                  <c:v>181.5308831732159</c:v>
                </c:pt>
                <c:pt idx="21">
                  <c:v>175.98117327050622</c:v>
                </c:pt>
                <c:pt idx="22">
                  <c:v>170.6345583103182</c:v>
                </c:pt>
                <c:pt idx="23">
                  <c:v>165.5163694916701</c:v>
                </c:pt>
                <c:pt idx="24">
                  <c:v>160.65193789477155</c:v>
                </c:pt>
                <c:pt idx="25">
                  <c:v>156.0665946144041</c:v>
                </c:pt>
                <c:pt idx="26">
                  <c:v>151.78567079033806</c:v>
                </c:pt>
                <c:pt idx="27">
                  <c:v>147.83449748751769</c:v>
                </c:pt>
                <c:pt idx="28">
                  <c:v>144.23840587550728</c:v>
                </c:pt>
                <c:pt idx="29">
                  <c:v>141.02272703425405</c:v>
                </c:pt>
                <c:pt idx="30">
                  <c:v>138.22340046332846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A-43B0-82BB-923C2F2768F7}"/>
            </c:ext>
          </c:extLst>
        </c:ser>
        <c:ser>
          <c:idx val="2"/>
          <c:order val="2"/>
          <c:tx>
            <c:strRef>
              <c:f>'Demand Total'!$D$1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'Demand Total'!$A$2:$A$32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Total'!$D$2:$D$32</c:f>
              <c:numCache>
                <c:formatCode>_(* #,##0.00_);_(* \(#,##0.00\);_(* "-"??_);_(@_)</c:formatCode>
                <c:ptCount val="31"/>
                <c:pt idx="0">
                  <c:v>65.583208535694283</c:v>
                </c:pt>
                <c:pt idx="1">
                  <c:v>65.279835791351402</c:v>
                </c:pt>
                <c:pt idx="2">
                  <c:v>65.013736344044105</c:v>
                </c:pt>
                <c:pt idx="3">
                  <c:v>64.793731555217448</c:v>
                </c:pt>
                <c:pt idx="4">
                  <c:v>64.61539202774685</c:v>
                </c:pt>
                <c:pt idx="5">
                  <c:v>64.455438026115445</c:v>
                </c:pt>
                <c:pt idx="6">
                  <c:v>64.360550473622766</c:v>
                </c:pt>
                <c:pt idx="7">
                  <c:v>64.307471513068776</c:v>
                </c:pt>
                <c:pt idx="8">
                  <c:v>64.286291340088681</c:v>
                </c:pt>
                <c:pt idx="9">
                  <c:v>64.317121706678464</c:v>
                </c:pt>
                <c:pt idx="10">
                  <c:v>63.099171590712004</c:v>
                </c:pt>
                <c:pt idx="11">
                  <c:v>63.223627387442448</c:v>
                </c:pt>
                <c:pt idx="12">
                  <c:v>63.381524653933234</c:v>
                </c:pt>
                <c:pt idx="13">
                  <c:v>63.59299758443909</c:v>
                </c:pt>
                <c:pt idx="14">
                  <c:v>63.848189726070018</c:v>
                </c:pt>
                <c:pt idx="15">
                  <c:v>62.736419511255697</c:v>
                </c:pt>
                <c:pt idx="16">
                  <c:v>63.094915917972564</c:v>
                </c:pt>
                <c:pt idx="17">
                  <c:v>63.498413056387506</c:v>
                </c:pt>
                <c:pt idx="18">
                  <c:v>63.937009430700996</c:v>
                </c:pt>
                <c:pt idx="19">
                  <c:v>64.43080445529921</c:v>
                </c:pt>
                <c:pt idx="20">
                  <c:v>64.451639225404335</c:v>
                </c:pt>
                <c:pt idx="21">
                  <c:v>65.033526899420323</c:v>
                </c:pt>
                <c:pt idx="22">
                  <c:v>65.67109661851805</c:v>
                </c:pt>
                <c:pt idx="23">
                  <c:v>66.354418271118249</c:v>
                </c:pt>
                <c:pt idx="24">
                  <c:v>67.083559792937393</c:v>
                </c:pt>
                <c:pt idx="25">
                  <c:v>67.489437553037561</c:v>
                </c:pt>
                <c:pt idx="26">
                  <c:v>68.316640257800671</c:v>
                </c:pt>
                <c:pt idx="27">
                  <c:v>69.189905003159097</c:v>
                </c:pt>
                <c:pt idx="28">
                  <c:v>70.109272920802866</c:v>
                </c:pt>
                <c:pt idx="29">
                  <c:v>71.074782823172725</c:v>
                </c:pt>
                <c:pt idx="30">
                  <c:v>72.091672983420509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A-43B0-82BB-923C2F2768F7}"/>
            </c:ext>
          </c:extLst>
        </c:ser>
        <c:ser>
          <c:idx val="3"/>
          <c:order val="3"/>
          <c:tx>
            <c:strRef>
              <c:f>'Demand Total'!$E$1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'Demand Total'!$A$2:$A$32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Total'!$E$2:$E$32</c:f>
              <c:numCache>
                <c:formatCode>_(* #,##0.00_);_(* \(#,##0.00\);_(* "-"??_);_(@_)</c:formatCode>
                <c:ptCount val="31"/>
                <c:pt idx="0">
                  <c:v>104.94203226035638</c:v>
                </c:pt>
                <c:pt idx="1">
                  <c:v>106.79875249154823</c:v>
                </c:pt>
                <c:pt idx="2">
                  <c:v>108.70710254683078</c:v>
                </c:pt>
                <c:pt idx="3">
                  <c:v>110.63600743815358</c:v>
                </c:pt>
                <c:pt idx="4">
                  <c:v>112.55679333785049</c:v>
                </c:pt>
                <c:pt idx="5">
                  <c:v>114.62493550723447</c:v>
                </c:pt>
                <c:pt idx="6">
                  <c:v>116.47565721702442</c:v>
                </c:pt>
                <c:pt idx="7">
                  <c:v>118.28681103385117</c:v>
                </c:pt>
                <c:pt idx="8">
                  <c:v>120.04275709408228</c:v>
                </c:pt>
                <c:pt idx="9">
                  <c:v>121.75934015548356</c:v>
                </c:pt>
                <c:pt idx="10">
                  <c:v>122.97879042686263</c:v>
                </c:pt>
                <c:pt idx="11">
                  <c:v>124.60688326571868</c:v>
                </c:pt>
                <c:pt idx="12">
                  <c:v>126.16595714972243</c:v>
                </c:pt>
                <c:pt idx="13">
                  <c:v>127.67487456906301</c:v>
                </c:pt>
                <c:pt idx="14">
                  <c:v>129.12272450127492</c:v>
                </c:pt>
                <c:pt idx="15">
                  <c:v>130.01913904104612</c:v>
                </c:pt>
                <c:pt idx="16">
                  <c:v>131.35631250516892</c:v>
                </c:pt>
                <c:pt idx="17">
                  <c:v>132.62917159786488</c:v>
                </c:pt>
                <c:pt idx="18">
                  <c:v>133.82746431733941</c:v>
                </c:pt>
                <c:pt idx="19">
                  <c:v>134.97097980323343</c:v>
                </c:pt>
                <c:pt idx="20">
                  <c:v>135.87668838863308</c:v>
                </c:pt>
                <c:pt idx="21">
                  <c:v>136.88334997352683</c:v>
                </c:pt>
                <c:pt idx="22">
                  <c:v>137.83444579190481</c:v>
                </c:pt>
                <c:pt idx="23">
                  <c:v>138.71989569974963</c:v>
                </c:pt>
                <c:pt idx="24">
                  <c:v>139.53963132377135</c:v>
                </c:pt>
                <c:pt idx="25">
                  <c:v>140.16752111933454</c:v>
                </c:pt>
                <c:pt idx="26">
                  <c:v>140.85706675655061</c:v>
                </c:pt>
                <c:pt idx="27">
                  <c:v>141.48056784971632</c:v>
                </c:pt>
                <c:pt idx="28">
                  <c:v>142.03799848588284</c:v>
                </c:pt>
                <c:pt idx="29">
                  <c:v>142.52933686833939</c:v>
                </c:pt>
                <c:pt idx="30">
                  <c:v>142.95456487032277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A-43B0-82BB-923C2F27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87375"/>
        <c:axId val="913793199"/>
      </c:areaChart>
      <c:catAx>
        <c:axId val="9137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3199"/>
        <c:crosses val="autoZero"/>
        <c:auto val="1"/>
        <c:lblAlgn val="ctr"/>
        <c:lblOffset val="100"/>
        <c:noMultiLvlLbl val="0"/>
      </c:catAx>
      <c:valAx>
        <c:axId val="9137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8.6321439546022585E-3"/>
              <c:y val="0.29457282407647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0860036799241"/>
          <c:y val="0.92706205716745149"/>
          <c:w val="0.61621381034134448"/>
          <c:h val="6.2559214594507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Energy Demand by Fuel (2020-2050)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75745339524872E-2"/>
          <c:y val="0.13405390650170002"/>
          <c:w val="0.86738757655293086"/>
          <c:h val="0.63767486332244827"/>
        </c:manualLayout>
      </c:layout>
      <c:areaChart>
        <c:grouping val="stacked"/>
        <c:varyColors val="0"/>
        <c:ser>
          <c:idx val="0"/>
          <c:order val="0"/>
          <c:tx>
            <c:strRef>
              <c:f>'Demand Source'!$B$1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Source'!$B$2:$B$32</c:f>
              <c:numCache>
                <c:formatCode>General</c:formatCode>
                <c:ptCount val="31"/>
                <c:pt idx="0">
                  <c:v>260.95321908990354</c:v>
                </c:pt>
                <c:pt idx="1">
                  <c:v>268.61608420077823</c:v>
                </c:pt>
                <c:pt idx="2">
                  <c:v>276.16962663772642</c:v>
                </c:pt>
                <c:pt idx="3">
                  <c:v>284.13829940558435</c:v>
                </c:pt>
                <c:pt idx="4">
                  <c:v>291.85973967787379</c:v>
                </c:pt>
                <c:pt idx="5">
                  <c:v>299.35699850224228</c:v>
                </c:pt>
                <c:pt idx="6">
                  <c:v>306.65540694368553</c:v>
                </c:pt>
                <c:pt idx="7">
                  <c:v>313.78029614186244</c:v>
                </c:pt>
                <c:pt idx="8">
                  <c:v>320.75699720660316</c:v>
                </c:pt>
                <c:pt idx="9">
                  <c:v>327.61084124767979</c:v>
                </c:pt>
                <c:pt idx="10">
                  <c:v>334.36715936003316</c:v>
                </c:pt>
                <c:pt idx="11">
                  <c:v>341.0512826980659</c:v>
                </c:pt>
                <c:pt idx="12">
                  <c:v>347.68854234206799</c:v>
                </c:pt>
                <c:pt idx="13">
                  <c:v>354.30426937180255</c:v>
                </c:pt>
                <c:pt idx="14">
                  <c:v>360.92379498660864</c:v>
                </c:pt>
                <c:pt idx="15">
                  <c:v>367.57245020683672</c:v>
                </c:pt>
                <c:pt idx="16">
                  <c:v>374.27556618707604</c:v>
                </c:pt>
                <c:pt idx="17">
                  <c:v>381.05847405197062</c:v>
                </c:pt>
                <c:pt idx="18">
                  <c:v>387.9465048814028</c:v>
                </c:pt>
                <c:pt idx="19">
                  <c:v>394.96498980034858</c:v>
                </c:pt>
                <c:pt idx="20">
                  <c:v>402.13925994838235</c:v>
                </c:pt>
                <c:pt idx="21">
                  <c:v>409.49464642033126</c:v>
                </c:pt>
                <c:pt idx="22">
                  <c:v>417.05648026644724</c:v>
                </c:pt>
                <c:pt idx="23">
                  <c:v>424.8500926858656</c:v>
                </c:pt>
                <c:pt idx="24">
                  <c:v>432.90081475870159</c:v>
                </c:pt>
                <c:pt idx="25">
                  <c:v>441.23397757973595</c:v>
                </c:pt>
                <c:pt idx="26">
                  <c:v>449.87491228874671</c:v>
                </c:pt>
                <c:pt idx="27">
                  <c:v>458.84894995086069</c:v>
                </c:pt>
                <c:pt idx="28">
                  <c:v>468.18142173533533</c:v>
                </c:pt>
                <c:pt idx="29">
                  <c:v>477.89765872225672</c:v>
                </c:pt>
                <c:pt idx="30">
                  <c:v>488.02299205134472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F-47C4-AA60-2E8A984924B7}"/>
            </c:ext>
          </c:extLst>
        </c:ser>
        <c:ser>
          <c:idx val="6"/>
          <c:order val="1"/>
          <c:tx>
            <c:strRef>
              <c:f>'Demand Source'!$H$1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Source'!$H$2:$H$32</c:f>
              <c:numCache>
                <c:formatCode>General</c:formatCode>
                <c:ptCount val="31"/>
                <c:pt idx="0">
                  <c:v>45.076189152971423</c:v>
                </c:pt>
                <c:pt idx="1">
                  <c:v>48.643417286089189</c:v>
                </c:pt>
                <c:pt idx="2">
                  <c:v>51.981142857508871</c:v>
                </c:pt>
                <c:pt idx="3">
                  <c:v>55.107698777962923</c:v>
                </c:pt>
                <c:pt idx="4">
                  <c:v>58.014832609908382</c:v>
                </c:pt>
                <c:pt idx="5">
                  <c:v>60.373541050580656</c:v>
                </c:pt>
                <c:pt idx="6">
                  <c:v>62.847698946298749</c:v>
                </c:pt>
                <c:pt idx="7">
                  <c:v>65.103926008978931</c:v>
                </c:pt>
                <c:pt idx="8">
                  <c:v>67.122705323457339</c:v>
                </c:pt>
                <c:pt idx="9">
                  <c:v>68.944494754996384</c:v>
                </c:pt>
                <c:pt idx="10">
                  <c:v>78.606560277435264</c:v>
                </c:pt>
                <c:pt idx="11">
                  <c:v>79.893171729977126</c:v>
                </c:pt>
                <c:pt idx="12">
                  <c:v>80.946605431372021</c:v>
                </c:pt>
                <c:pt idx="13">
                  <c:v>81.807137634530562</c:v>
                </c:pt>
                <c:pt idx="14">
                  <c:v>82.455031054059873</c:v>
                </c:pt>
                <c:pt idx="15">
                  <c:v>91.650175733364932</c:v>
                </c:pt>
                <c:pt idx="16">
                  <c:v>91.768534358695973</c:v>
                </c:pt>
                <c:pt idx="17">
                  <c:v>91.677450604165301</c:v>
                </c:pt>
                <c:pt idx="18">
                  <c:v>91.357053707471238</c:v>
                </c:pt>
                <c:pt idx="19">
                  <c:v>90.847466937961215</c:v>
                </c:pt>
                <c:pt idx="20">
                  <c:v>93.423848941835445</c:v>
                </c:pt>
                <c:pt idx="21">
                  <c:v>92.439048104608801</c:v>
                </c:pt>
                <c:pt idx="22">
                  <c:v>91.26622446079179</c:v>
                </c:pt>
                <c:pt idx="23">
                  <c:v>89.88545312156829</c:v>
                </c:pt>
                <c:pt idx="24">
                  <c:v>88.296805918627115</c:v>
                </c:pt>
                <c:pt idx="25">
                  <c:v>89.274736877674044</c:v>
                </c:pt>
                <c:pt idx="26">
                  <c:v>87.240906472820157</c:v>
                </c:pt>
                <c:pt idx="27">
                  <c:v>85.000024136672494</c:v>
                </c:pt>
                <c:pt idx="28">
                  <c:v>82.552130592310959</c:v>
                </c:pt>
                <c:pt idx="29">
                  <c:v>79.897264876443259</c:v>
                </c:pt>
                <c:pt idx="30">
                  <c:v>77.035464426339175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F-47C4-AA60-2E8A984924B7}"/>
            </c:ext>
          </c:extLst>
        </c:ser>
        <c:ser>
          <c:idx val="1"/>
          <c:order val="2"/>
          <c:tx>
            <c:strRef>
              <c:f>'Demand Source'!$C$1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Source'!$C$2:$C$32</c:f>
              <c:numCache>
                <c:formatCode>General</c:formatCode>
                <c:ptCount val="31"/>
                <c:pt idx="0">
                  <c:v>0</c:v>
                </c:pt>
                <c:pt idx="1">
                  <c:v>1.5162438000002112</c:v>
                </c:pt>
                <c:pt idx="2">
                  <c:v>3.0324973100000534</c:v>
                </c:pt>
                <c:pt idx="3">
                  <c:v>4.5487508199998956</c:v>
                </c:pt>
                <c:pt idx="4">
                  <c:v>6.0650043300001926</c:v>
                </c:pt>
                <c:pt idx="5">
                  <c:v>7.5812578400000348</c:v>
                </c:pt>
                <c:pt idx="6">
                  <c:v>9.097511349999877</c:v>
                </c:pt>
                <c:pt idx="7">
                  <c:v>10.613764860000174</c:v>
                </c:pt>
                <c:pt idx="8">
                  <c:v>12.130018370000016</c:v>
                </c:pt>
                <c:pt idx="9">
                  <c:v>13.646271879999858</c:v>
                </c:pt>
                <c:pt idx="10">
                  <c:v>15.162525390000155</c:v>
                </c:pt>
                <c:pt idx="11">
                  <c:v>16.678778899999998</c:v>
                </c:pt>
                <c:pt idx="12">
                  <c:v>18.19503240999984</c:v>
                </c:pt>
                <c:pt idx="13">
                  <c:v>19.711285920000137</c:v>
                </c:pt>
                <c:pt idx="14">
                  <c:v>21.227539429999979</c:v>
                </c:pt>
                <c:pt idx="15">
                  <c:v>22.743792939999821</c:v>
                </c:pt>
                <c:pt idx="16">
                  <c:v>24.260046450000118</c:v>
                </c:pt>
                <c:pt idx="17">
                  <c:v>25.77629995999996</c:v>
                </c:pt>
                <c:pt idx="18">
                  <c:v>27.292553470000257</c:v>
                </c:pt>
                <c:pt idx="19">
                  <c:v>28.808806980000099</c:v>
                </c:pt>
                <c:pt idx="20">
                  <c:v>30.325060489999942</c:v>
                </c:pt>
                <c:pt idx="21">
                  <c:v>31.841314000000239</c:v>
                </c:pt>
                <c:pt idx="22">
                  <c:v>33.357567510000081</c:v>
                </c:pt>
                <c:pt idx="23">
                  <c:v>34.873821019999923</c:v>
                </c:pt>
                <c:pt idx="24">
                  <c:v>36.39007453000022</c:v>
                </c:pt>
                <c:pt idx="25">
                  <c:v>37.906328040000062</c:v>
                </c:pt>
                <c:pt idx="26">
                  <c:v>39.422581549999904</c:v>
                </c:pt>
                <c:pt idx="27">
                  <c:v>40.938835060000201</c:v>
                </c:pt>
                <c:pt idx="28">
                  <c:v>42.455088570000044</c:v>
                </c:pt>
                <c:pt idx="29">
                  <c:v>43.971342079999886</c:v>
                </c:pt>
                <c:pt idx="30">
                  <c:v>45.487595590000183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F-47C4-AA60-2E8A984924B7}"/>
            </c:ext>
          </c:extLst>
        </c:ser>
        <c:ser>
          <c:idx val="2"/>
          <c:order val="3"/>
          <c:tx>
            <c:strRef>
              <c:f>'Demand Source'!$D$1</c:f>
              <c:strCache>
                <c:ptCount val="1"/>
                <c:pt idx="0">
                  <c:v>Jet Fuel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Source'!$D$2:$D$32</c:f>
              <c:numCache>
                <c:formatCode>General</c:formatCode>
                <c:ptCount val="31"/>
                <c:pt idx="0">
                  <c:v>29.774272214094545</c:v>
                </c:pt>
                <c:pt idx="1">
                  <c:v>30.081443629999967</c:v>
                </c:pt>
                <c:pt idx="2">
                  <c:v>30.388613759999998</c:v>
                </c:pt>
                <c:pt idx="3">
                  <c:v>30.69578389000003</c:v>
                </c:pt>
                <c:pt idx="4">
                  <c:v>31.002954020000061</c:v>
                </c:pt>
                <c:pt idx="5">
                  <c:v>31.310124149999979</c:v>
                </c:pt>
                <c:pt idx="6">
                  <c:v>31.61729428000001</c:v>
                </c:pt>
                <c:pt idx="7">
                  <c:v>31.924464410000041</c:v>
                </c:pt>
                <c:pt idx="8">
                  <c:v>32.231634540000073</c:v>
                </c:pt>
                <c:pt idx="9">
                  <c:v>32.53880466999999</c:v>
                </c:pt>
                <c:pt idx="10">
                  <c:v>32.845974800000022</c:v>
                </c:pt>
                <c:pt idx="11">
                  <c:v>33.153144930000053</c:v>
                </c:pt>
                <c:pt idx="12">
                  <c:v>33.460315059999971</c:v>
                </c:pt>
                <c:pt idx="13">
                  <c:v>33.767485190000002</c:v>
                </c:pt>
                <c:pt idx="14">
                  <c:v>34.074655320000033</c:v>
                </c:pt>
                <c:pt idx="15">
                  <c:v>34.381825450000065</c:v>
                </c:pt>
                <c:pt idx="16">
                  <c:v>34.688995579999983</c:v>
                </c:pt>
                <c:pt idx="17">
                  <c:v>34.996165710000014</c:v>
                </c:pt>
                <c:pt idx="18">
                  <c:v>35.303335840000045</c:v>
                </c:pt>
                <c:pt idx="19">
                  <c:v>35.610505969999963</c:v>
                </c:pt>
                <c:pt idx="20">
                  <c:v>35.917676099999994</c:v>
                </c:pt>
                <c:pt idx="21">
                  <c:v>36.224846230000026</c:v>
                </c:pt>
                <c:pt idx="22">
                  <c:v>36.532016360000057</c:v>
                </c:pt>
                <c:pt idx="23">
                  <c:v>36.839186489999975</c:v>
                </c:pt>
                <c:pt idx="24">
                  <c:v>37.146356620000006</c:v>
                </c:pt>
                <c:pt idx="25">
                  <c:v>37.453526750000037</c:v>
                </c:pt>
                <c:pt idx="26">
                  <c:v>37.760696880000069</c:v>
                </c:pt>
                <c:pt idx="27">
                  <c:v>38.067867009999986</c:v>
                </c:pt>
                <c:pt idx="28">
                  <c:v>38.375037140000018</c:v>
                </c:pt>
                <c:pt idx="29">
                  <c:v>38.682207270000049</c:v>
                </c:pt>
                <c:pt idx="30">
                  <c:v>38.989377399999967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F-47C4-AA60-2E8A984924B7}"/>
            </c:ext>
          </c:extLst>
        </c:ser>
        <c:ser>
          <c:idx val="3"/>
          <c:order val="4"/>
          <c:tx>
            <c:strRef>
              <c:f>'Demand Source'!$E$1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Source'!$E$2:$E$32</c:f>
              <c:numCache>
                <c:formatCode>General</c:formatCode>
                <c:ptCount val="31"/>
                <c:pt idx="0">
                  <c:v>210.08689464736398</c:v>
                </c:pt>
                <c:pt idx="1">
                  <c:v>203.09508468179976</c:v>
                </c:pt>
                <c:pt idx="2">
                  <c:v>196.11336753994067</c:v>
                </c:pt>
                <c:pt idx="3">
                  <c:v>189.16053259815459</c:v>
                </c:pt>
                <c:pt idx="4">
                  <c:v>182.23657985620864</c:v>
                </c:pt>
                <c:pt idx="5">
                  <c:v>175.34150931442301</c:v>
                </c:pt>
                <c:pt idx="6">
                  <c:v>168.47532097256482</c:v>
                </c:pt>
                <c:pt idx="7">
                  <c:v>161.63801483075054</c:v>
                </c:pt>
                <c:pt idx="8">
                  <c:v>154.8295908889219</c:v>
                </c:pt>
                <c:pt idx="9">
                  <c:v>148.05004914707894</c:v>
                </c:pt>
                <c:pt idx="10">
                  <c:v>141.29938960522168</c:v>
                </c:pt>
                <c:pt idx="11">
                  <c:v>134.57761226337919</c:v>
                </c:pt>
                <c:pt idx="12">
                  <c:v>127.88471712149325</c:v>
                </c:pt>
                <c:pt idx="13">
                  <c:v>121.220704179593</c:v>
                </c:pt>
                <c:pt idx="14">
                  <c:v>114.58557343776573</c:v>
                </c:pt>
                <c:pt idx="15">
                  <c:v>107.97932489592414</c:v>
                </c:pt>
                <c:pt idx="16">
                  <c:v>101.40195855406822</c:v>
                </c:pt>
                <c:pt idx="17">
                  <c:v>94.853474412197968</c:v>
                </c:pt>
                <c:pt idx="18">
                  <c:v>88.333872470342499</c:v>
                </c:pt>
                <c:pt idx="19">
                  <c:v>81.843152728501806</c:v>
                </c:pt>
                <c:pt idx="20">
                  <c:v>75.381315186617684</c:v>
                </c:pt>
                <c:pt idx="21">
                  <c:v>68.948359844806532</c:v>
                </c:pt>
                <c:pt idx="22">
                  <c:v>62.544286703039283</c:v>
                </c:pt>
                <c:pt idx="23">
                  <c:v>56.169095761083078</c:v>
                </c:pt>
                <c:pt idx="24">
                  <c:v>49.822787019287169</c:v>
                </c:pt>
                <c:pt idx="25">
                  <c:v>43.505360477418726</c:v>
                </c:pt>
                <c:pt idx="26">
                  <c:v>37.21681613553595</c:v>
                </c:pt>
                <c:pt idx="27">
                  <c:v>30.957153993667962</c:v>
                </c:pt>
                <c:pt idx="28">
                  <c:v>24.726374051843848</c:v>
                </c:pt>
                <c:pt idx="29">
                  <c:v>18.524476310034515</c:v>
                </c:pt>
                <c:pt idx="30">
                  <c:v>12.347966215235243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F-47C4-AA60-2E8A984924B7}"/>
            </c:ext>
          </c:extLst>
        </c:ser>
        <c:ser>
          <c:idx val="4"/>
          <c:order val="5"/>
          <c:tx>
            <c:strRef>
              <c:f>'Demand Source'!$F$1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Source'!$F$2:$F$32</c:f>
              <c:numCache>
                <c:formatCode>General</c:formatCode>
                <c:ptCount val="31"/>
                <c:pt idx="0">
                  <c:v>154.82621551329163</c:v>
                </c:pt>
                <c:pt idx="1">
                  <c:v>149.42176410999673</c:v>
                </c:pt>
                <c:pt idx="2">
                  <c:v>144.04370035999455</c:v>
                </c:pt>
                <c:pt idx="3">
                  <c:v>138.68172398999013</c:v>
                </c:pt>
                <c:pt idx="4">
                  <c:v>133.33583500000532</c:v>
                </c:pt>
                <c:pt idx="5">
                  <c:v>128.00603339000372</c:v>
                </c:pt>
                <c:pt idx="6">
                  <c:v>122.6923191599999</c:v>
                </c:pt>
                <c:pt idx="7">
                  <c:v>117.39469230999384</c:v>
                </c:pt>
                <c:pt idx="8">
                  <c:v>112.11315284000739</c:v>
                </c:pt>
                <c:pt idx="9">
                  <c:v>106.84770075000415</c:v>
                </c:pt>
                <c:pt idx="10">
                  <c:v>101.59833603999869</c:v>
                </c:pt>
                <c:pt idx="11">
                  <c:v>96.365058709998266</c:v>
                </c:pt>
                <c:pt idx="12">
                  <c:v>91.147868759995617</c:v>
                </c:pt>
                <c:pt idx="13">
                  <c:v>85.946766190005292</c:v>
                </c:pt>
                <c:pt idx="14">
                  <c:v>80.761750999998185</c:v>
                </c:pt>
                <c:pt idx="15">
                  <c:v>75.592823189996125</c:v>
                </c:pt>
                <c:pt idx="16">
                  <c:v>70.439982759991835</c:v>
                </c:pt>
                <c:pt idx="17">
                  <c:v>65.303229710007145</c:v>
                </c:pt>
                <c:pt idx="18">
                  <c:v>60.182564040005673</c:v>
                </c:pt>
                <c:pt idx="19">
                  <c:v>55.077985750001972</c:v>
                </c:pt>
                <c:pt idx="20">
                  <c:v>49.989494839996041</c:v>
                </c:pt>
                <c:pt idx="21">
                  <c:v>44.917091309995158</c:v>
                </c:pt>
                <c:pt idx="22">
                  <c:v>39.860775160006597</c:v>
                </c:pt>
                <c:pt idx="23">
                  <c:v>34.820546390001255</c:v>
                </c:pt>
                <c:pt idx="24">
                  <c:v>29.796405000000959</c:v>
                </c:pt>
                <c:pt idx="25">
                  <c:v>24.788350989991159</c:v>
                </c:pt>
                <c:pt idx="26">
                  <c:v>19.796384360008233</c:v>
                </c:pt>
                <c:pt idx="27">
                  <c:v>14.82050511000125</c:v>
                </c:pt>
                <c:pt idx="28">
                  <c:v>9.8607132399993134</c:v>
                </c:pt>
                <c:pt idx="29">
                  <c:v>4.9170087499951478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F-47C4-AA60-2E8A984924B7}"/>
            </c:ext>
          </c:extLst>
        </c:ser>
        <c:ser>
          <c:idx val="5"/>
          <c:order val="6"/>
          <c:tx>
            <c:strRef>
              <c:f>'Demand Source'!$G$1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Source'!$G$2:$G$32</c:f>
              <c:numCache>
                <c:formatCode>General</c:formatCode>
                <c:ptCount val="31"/>
                <c:pt idx="0">
                  <c:v>80.20578974210413</c:v>
                </c:pt>
                <c:pt idx="1">
                  <c:v>78.677699494995494</c:v>
                </c:pt>
                <c:pt idx="2">
                  <c:v>77.297468984113323</c:v>
                </c:pt>
                <c:pt idx="3">
                  <c:v>76.023878761182814</c:v>
                </c:pt>
                <c:pt idx="4">
                  <c:v>74.831480477141199</c:v>
                </c:pt>
                <c:pt idx="5">
                  <c:v>74.490476262308661</c:v>
                </c:pt>
                <c:pt idx="6">
                  <c:v>73.395020619083539</c:v>
                </c:pt>
                <c:pt idx="7">
                  <c:v>72.346468832556496</c:v>
                </c:pt>
                <c:pt idx="8">
                  <c:v>71.338305064867924</c:v>
                </c:pt>
                <c:pt idx="9">
                  <c:v>70.365570095763246</c:v>
                </c:pt>
                <c:pt idx="10">
                  <c:v>51.575171163781704</c:v>
                </c:pt>
                <c:pt idx="11">
                  <c:v>50.895530343792231</c:v>
                </c:pt>
                <c:pt idx="12">
                  <c:v>50.235469032460557</c:v>
                </c:pt>
                <c:pt idx="13">
                  <c:v>49.593431408629321</c:v>
                </c:pt>
                <c:pt idx="14">
                  <c:v>48.968124567960828</c:v>
                </c:pt>
                <c:pt idx="15">
                  <c:v>28.918718950266946</c:v>
                </c:pt>
                <c:pt idx="16">
                  <c:v>28.562712478385325</c:v>
                </c:pt>
                <c:pt idx="17">
                  <c:v>28.215078617969699</c:v>
                </c:pt>
                <c:pt idx="18">
                  <c:v>27.87540539653763</c:v>
                </c:pt>
                <c:pt idx="19">
                  <c:v>27.543334829102928</c:v>
                </c:pt>
                <c:pt idx="20">
                  <c:v>19.937361051383554</c:v>
                </c:pt>
                <c:pt idx="21">
                  <c:v>19.704560351177758</c:v>
                </c:pt>
                <c:pt idx="22">
                  <c:v>19.476723034263546</c:v>
                </c:pt>
                <c:pt idx="23">
                  <c:v>19.253688623054007</c:v>
                </c:pt>
                <c:pt idx="24">
                  <c:v>19.03531301637879</c:v>
                </c:pt>
                <c:pt idx="25">
                  <c:v>12.777472987065716</c:v>
                </c:pt>
                <c:pt idx="26">
                  <c:v>12.634937963865227</c:v>
                </c:pt>
                <c:pt idx="27">
                  <c:v>12.495325791049197</c:v>
                </c:pt>
                <c:pt idx="28">
                  <c:v>12.35857024205959</c:v>
                </c:pt>
                <c:pt idx="29">
                  <c:v>12.224610258729744</c:v>
                </c:pt>
                <c:pt idx="30">
                  <c:v>12.093389260895831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F-47C4-AA60-2E8A984924B7}"/>
            </c:ext>
          </c:extLst>
        </c:ser>
        <c:ser>
          <c:idx val="7"/>
          <c:order val="7"/>
          <c:tx>
            <c:strRef>
              <c:f>'Demand Source'!$I$1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'Demand Source'!$A$2:$A$32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'Demand Source'!$I$2:$I$32</c:f>
              <c:numCache>
                <c:formatCode>General</c:formatCode>
                <c:ptCount val="31"/>
                <c:pt idx="0">
                  <c:v>8.6348773999999935</c:v>
                </c:pt>
                <c:pt idx="1">
                  <c:v>8.4137129999999729</c:v>
                </c:pt>
                <c:pt idx="2">
                  <c:v>8.1925486000000092</c:v>
                </c:pt>
                <c:pt idx="3">
                  <c:v>7.9713841999999886</c:v>
                </c:pt>
                <c:pt idx="4">
                  <c:v>7.750219799999968</c:v>
                </c:pt>
                <c:pt idx="5">
                  <c:v>7.5290554000000043</c:v>
                </c:pt>
                <c:pt idx="6">
                  <c:v>7.3078909999999837</c:v>
                </c:pt>
                <c:pt idx="7">
                  <c:v>7.0867265999999631</c:v>
                </c:pt>
                <c:pt idx="8">
                  <c:v>6.8655621999999994</c:v>
                </c:pt>
                <c:pt idx="9">
                  <c:v>6.6443977999999788</c:v>
                </c:pt>
                <c:pt idx="10">
                  <c:v>6.4232333999999582</c:v>
                </c:pt>
                <c:pt idx="11">
                  <c:v>6.2020689999999945</c:v>
                </c:pt>
                <c:pt idx="12">
                  <c:v>5.9809045999999739</c:v>
                </c:pt>
                <c:pt idx="13">
                  <c:v>5.7597402000000102</c:v>
                </c:pt>
                <c:pt idx="14">
                  <c:v>5.5385757999999896</c:v>
                </c:pt>
                <c:pt idx="15">
                  <c:v>5.317411399999969</c:v>
                </c:pt>
                <c:pt idx="16">
                  <c:v>5.0962470000000053</c:v>
                </c:pt>
                <c:pt idx="17">
                  <c:v>4.8750825999999847</c:v>
                </c:pt>
                <c:pt idx="18">
                  <c:v>4.6539181999999641</c:v>
                </c:pt>
                <c:pt idx="19">
                  <c:v>4.4327538000000004</c:v>
                </c:pt>
                <c:pt idx="20">
                  <c:v>4.2115893999999798</c:v>
                </c:pt>
                <c:pt idx="21">
                  <c:v>3.9904249999999593</c:v>
                </c:pt>
                <c:pt idx="22">
                  <c:v>3.7692605999999955</c:v>
                </c:pt>
                <c:pt idx="23">
                  <c:v>3.5480961999999749</c:v>
                </c:pt>
                <c:pt idx="24">
                  <c:v>3.3269318000000112</c:v>
                </c:pt>
                <c:pt idx="25">
                  <c:v>3.1057673999999906</c:v>
                </c:pt>
                <c:pt idx="26">
                  <c:v>2.8846029999999701</c:v>
                </c:pt>
                <c:pt idx="27">
                  <c:v>2.6634386000000063</c:v>
                </c:pt>
                <c:pt idx="28">
                  <c:v>2.4422741999999857</c:v>
                </c:pt>
                <c:pt idx="29">
                  <c:v>2.2211097999999652</c:v>
                </c:pt>
                <c:pt idx="30">
                  <c:v>1.9999454000000014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6F-47C4-AA60-2E8A9849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46847"/>
        <c:axId val="1259847679"/>
      </c:areaChart>
      <c:catAx>
        <c:axId val="12598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50109967023352853"/>
              <c:y val="0.86786134711115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7679"/>
        <c:crosses val="autoZero"/>
        <c:auto val="1"/>
        <c:lblAlgn val="ctr"/>
        <c:lblOffset val="100"/>
        <c:noMultiLvlLbl val="0"/>
      </c:catAx>
      <c:valAx>
        <c:axId val="12598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Energy (TWh)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Electricity Demand (2020-2050)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1615854472924E-2"/>
          <c:y val="0.12750808080808082"/>
          <c:w val="0.88175271460880245"/>
          <c:h val="0.62880606060606059"/>
        </c:manualLayout>
      </c:layout>
      <c:areaChart>
        <c:grouping val="stacked"/>
        <c:varyColors val="0"/>
        <c:ser>
          <c:idx val="0"/>
          <c:order val="0"/>
          <c:tx>
            <c:strRef>
              <c:f>'Demand Elec'!$D$1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'Demand Elec'!$C$2:$C$42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'Demand Elec'!$D$2:$D$42</c:f>
              <c:numCache>
                <c:formatCode>_(* #,##0.00_);_(* \(#,##0.00\);_(* "-"??_);_(@_)</c:formatCode>
                <c:ptCount val="41"/>
                <c:pt idx="0">
                  <c:v>162.73489150137254</c:v>
                </c:pt>
                <c:pt idx="1">
                  <c:v>164.76644133060853</c:v>
                </c:pt>
                <c:pt idx="2">
                  <c:v>162.40244118637835</c:v>
                </c:pt>
                <c:pt idx="3">
                  <c:v>161.29555012604197</c:v>
                </c:pt>
                <c:pt idx="4">
                  <c:v>159.09948212106272</c:v>
                </c:pt>
                <c:pt idx="5">
                  <c:v>152.75240245825236</c:v>
                </c:pt>
                <c:pt idx="6">
                  <c:v>141.44703747262949</c:v>
                </c:pt>
                <c:pt idx="7">
                  <c:v>154.49464752133929</c:v>
                </c:pt>
                <c:pt idx="8">
                  <c:v>155.55080419827814</c:v>
                </c:pt>
                <c:pt idx="9">
                  <c:v>153.42082493200166</c:v>
                </c:pt>
                <c:pt idx="10">
                  <c:v>160.22063930160039</c:v>
                </c:pt>
                <c:pt idx="11">
                  <c:v>162.55555683300008</c:v>
                </c:pt>
                <c:pt idx="12">
                  <c:v>164.89047436439978</c:v>
                </c:pt>
                <c:pt idx="13">
                  <c:v>167.22539189580039</c:v>
                </c:pt>
                <c:pt idx="14">
                  <c:v>169.56030942720008</c:v>
                </c:pt>
                <c:pt idx="15">
                  <c:v>171.89522695859978</c:v>
                </c:pt>
                <c:pt idx="16">
                  <c:v>174.23014449000038</c:v>
                </c:pt>
                <c:pt idx="17">
                  <c:v>176.56506202140008</c:v>
                </c:pt>
                <c:pt idx="18">
                  <c:v>178.89997955279978</c:v>
                </c:pt>
                <c:pt idx="19">
                  <c:v>181.23489708420038</c:v>
                </c:pt>
                <c:pt idx="20">
                  <c:v>183.56981461560008</c:v>
                </c:pt>
                <c:pt idx="21">
                  <c:v>185.90473214699978</c:v>
                </c:pt>
                <c:pt idx="22">
                  <c:v>188.23964967840038</c:v>
                </c:pt>
                <c:pt idx="23">
                  <c:v>190.57456720980008</c:v>
                </c:pt>
                <c:pt idx="24">
                  <c:v>192.90948474119978</c:v>
                </c:pt>
                <c:pt idx="25">
                  <c:v>195.24440227260038</c:v>
                </c:pt>
                <c:pt idx="26">
                  <c:v>197.57931980400008</c:v>
                </c:pt>
                <c:pt idx="27">
                  <c:v>199.91423733539978</c:v>
                </c:pt>
                <c:pt idx="28">
                  <c:v>202.24915486680038</c:v>
                </c:pt>
                <c:pt idx="29">
                  <c:v>204.58407239820008</c:v>
                </c:pt>
                <c:pt idx="30">
                  <c:v>206.91898992959977</c:v>
                </c:pt>
                <c:pt idx="31">
                  <c:v>209.25390746100038</c:v>
                </c:pt>
                <c:pt idx="32">
                  <c:v>211.58882499240008</c:v>
                </c:pt>
                <c:pt idx="33">
                  <c:v>213.92374252379977</c:v>
                </c:pt>
                <c:pt idx="34">
                  <c:v>216.25866005520038</c:v>
                </c:pt>
                <c:pt idx="35">
                  <c:v>218.59357758660008</c:v>
                </c:pt>
                <c:pt idx="36">
                  <c:v>220.92849511799977</c:v>
                </c:pt>
                <c:pt idx="37">
                  <c:v>223.26341264940038</c:v>
                </c:pt>
                <c:pt idx="38">
                  <c:v>225.59833018080008</c:v>
                </c:pt>
                <c:pt idx="39">
                  <c:v>227.93324771219977</c:v>
                </c:pt>
                <c:pt idx="40">
                  <c:v>230.26816524360038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5CA-A043-4A050AE31971}"/>
            </c:ext>
          </c:extLst>
        </c:ser>
        <c:ser>
          <c:idx val="1"/>
          <c:order val="1"/>
          <c:tx>
            <c:strRef>
              <c:f>'Demand Elec'!$E$1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'Demand Elec'!$C$2:$C$42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'Demand Elec'!$E$2:$E$42</c:f>
              <c:numCache>
                <c:formatCode>_(* #,##0.00_);_(* \(#,##0.00\);_(* "-"??_);_(@_)</c:formatCode>
                <c:ptCount val="41"/>
                <c:pt idx="0">
                  <c:v>6.6616996761500928</c:v>
                </c:pt>
                <c:pt idx="1">
                  <c:v>6.9139573932796505</c:v>
                </c:pt>
                <c:pt idx="2">
                  <c:v>7.0089714690351936</c:v>
                </c:pt>
                <c:pt idx="3">
                  <c:v>6.8726454917049393</c:v>
                </c:pt>
                <c:pt idx="4">
                  <c:v>6.7707786626353155</c:v>
                </c:pt>
                <c:pt idx="5">
                  <c:v>6.5075827620350122</c:v>
                </c:pt>
                <c:pt idx="6">
                  <c:v>5.5332216933496614</c:v>
                </c:pt>
                <c:pt idx="7">
                  <c:v>6.7032444199439007</c:v>
                </c:pt>
                <c:pt idx="8">
                  <c:v>6.2682063598183362</c:v>
                </c:pt>
                <c:pt idx="9">
                  <c:v>5.9348544428189092</c:v>
                </c:pt>
                <c:pt idx="10">
                  <c:v>5.9548544428189087</c:v>
                </c:pt>
                <c:pt idx="11">
                  <c:v>5.9648544428189094</c:v>
                </c:pt>
                <c:pt idx="12">
                  <c:v>5.9771344372517969</c:v>
                </c:pt>
                <c:pt idx="13">
                  <c:v>6.5161474308947414</c:v>
                </c:pt>
                <c:pt idx="14">
                  <c:v>6.9195305973295635</c:v>
                </c:pt>
                <c:pt idx="15">
                  <c:v>7.2103349840718174</c:v>
                </c:pt>
                <c:pt idx="16">
                  <c:v>7.4138916562327655</c:v>
                </c:pt>
                <c:pt idx="17">
                  <c:v>7.5555317534294755</c:v>
                </c:pt>
                <c:pt idx="18">
                  <c:v>7.6605863854766962</c:v>
                </c:pt>
                <c:pt idx="19">
                  <c:v>7.7543866621891731</c:v>
                </c:pt>
                <c:pt idx="20">
                  <c:v>7.8622636784804918</c:v>
                </c:pt>
                <c:pt idx="21">
                  <c:v>8.0095485888688849</c:v>
                </c:pt>
                <c:pt idx="22">
                  <c:v>8.2215724733667734</c:v>
                </c:pt>
                <c:pt idx="23">
                  <c:v>8.5236664119865821</c:v>
                </c:pt>
                <c:pt idx="24">
                  <c:v>8.9411616039500288</c:v>
                </c:pt>
                <c:pt idx="25">
                  <c:v>9.4993890696648862</c:v>
                </c:pt>
                <c:pt idx="26">
                  <c:v>10.223679963649392</c:v>
                </c:pt>
                <c:pt idx="27">
                  <c:v>11.139365410619448</c:v>
                </c:pt>
                <c:pt idx="28">
                  <c:v>12.271776490587483</c:v>
                </c:pt>
                <c:pt idx="29">
                  <c:v>13.6462443282694</c:v>
                </c:pt>
                <c:pt idx="30">
                  <c:v>15.288100063282275</c:v>
                </c:pt>
                <c:pt idx="31">
                  <c:v>17.222674790539688</c:v>
                </c:pt>
                <c:pt idx="32">
                  <c:v>19.475299560251742</c:v>
                </c:pt>
                <c:pt idx="33">
                  <c:v>22.071305571640153</c:v>
                </c:pt>
                <c:pt idx="34">
                  <c:v>25.036023904717347</c:v>
                </c:pt>
                <c:pt idx="35">
                  <c:v>28.394785654396898</c:v>
                </c:pt>
                <c:pt idx="36">
                  <c:v>32.172921960295895</c:v>
                </c:pt>
                <c:pt idx="37">
                  <c:v>36.395763887525575</c:v>
                </c:pt>
                <c:pt idx="38">
                  <c:v>41.088642605505356</c:v>
                </c:pt>
                <c:pt idx="39">
                  <c:v>46.276889194247644</c:v>
                </c:pt>
                <c:pt idx="40">
                  <c:v>51.98583479336952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9-45CA-A043-4A050AE31971}"/>
            </c:ext>
          </c:extLst>
        </c:ser>
        <c:ser>
          <c:idx val="2"/>
          <c:order val="2"/>
          <c:tx>
            <c:strRef>
              <c:f>'Demand Elec'!$F$1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'Demand Elec'!$C$2:$C$42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'Demand Elec'!$F$2:$F$42</c:f>
              <c:numCache>
                <c:formatCode>_(* #,##0.00_);_(* \(#,##0.00\);_(* "-"??_);_(@_)</c:formatCode>
                <c:ptCount val="41"/>
                <c:pt idx="0">
                  <c:v>52.238342055672582</c:v>
                </c:pt>
                <c:pt idx="1">
                  <c:v>52.616188355411531</c:v>
                </c:pt>
                <c:pt idx="2">
                  <c:v>51.255524842305604</c:v>
                </c:pt>
                <c:pt idx="3">
                  <c:v>50.906370072294187</c:v>
                </c:pt>
                <c:pt idx="4">
                  <c:v>50.213288877648594</c:v>
                </c:pt>
                <c:pt idx="5">
                  <c:v>52.772168443716588</c:v>
                </c:pt>
                <c:pt idx="6">
                  <c:v>60.008677286856589</c:v>
                </c:pt>
                <c:pt idx="7">
                  <c:v>54.839496439111315</c:v>
                </c:pt>
                <c:pt idx="8">
                  <c:v>55.214270274585381</c:v>
                </c:pt>
                <c:pt idx="9">
                  <c:v>54.458458371424371</c:v>
                </c:pt>
                <c:pt idx="10">
                  <c:v>51.682879978063283</c:v>
                </c:pt>
                <c:pt idx="11">
                  <c:v>51.597533929758356</c:v>
                </c:pt>
                <c:pt idx="12">
                  <c:v>51.55838794563897</c:v>
                </c:pt>
                <c:pt idx="13">
                  <c:v>51.565442025763332</c:v>
                </c:pt>
                <c:pt idx="14">
                  <c:v>51.618696170131443</c:v>
                </c:pt>
                <c:pt idx="15">
                  <c:v>51.718150378757855</c:v>
                </c:pt>
                <c:pt idx="16">
                  <c:v>51.86380465158436</c:v>
                </c:pt>
                <c:pt idx="17">
                  <c:v>52.055658988654613</c:v>
                </c:pt>
                <c:pt idx="18">
                  <c:v>52.293713389983168</c:v>
                </c:pt>
                <c:pt idx="19">
                  <c:v>52.577967855526367</c:v>
                </c:pt>
                <c:pt idx="20">
                  <c:v>52.908422385313315</c:v>
                </c:pt>
                <c:pt idx="21">
                  <c:v>53.285076979344012</c:v>
                </c:pt>
                <c:pt idx="22">
                  <c:v>53.707931637603906</c:v>
                </c:pt>
                <c:pt idx="23">
                  <c:v>54.176986360078445</c:v>
                </c:pt>
                <c:pt idx="24">
                  <c:v>54.692241146825836</c:v>
                </c:pt>
                <c:pt idx="25">
                  <c:v>55.253695997787872</c:v>
                </c:pt>
                <c:pt idx="26">
                  <c:v>55.861350912979105</c:v>
                </c:pt>
                <c:pt idx="27">
                  <c:v>56.515205892443191</c:v>
                </c:pt>
                <c:pt idx="28">
                  <c:v>57.21526093610737</c:v>
                </c:pt>
                <c:pt idx="29">
                  <c:v>57.961516044000746</c:v>
                </c:pt>
                <c:pt idx="30">
                  <c:v>58.75397121613787</c:v>
                </c:pt>
                <c:pt idx="31">
                  <c:v>59.592626452547847</c:v>
                </c:pt>
                <c:pt idx="32">
                  <c:v>60.477481753157917</c:v>
                </c:pt>
                <c:pt idx="33">
                  <c:v>61.408537117997184</c:v>
                </c:pt>
                <c:pt idx="34">
                  <c:v>62.385792547109304</c:v>
                </c:pt>
                <c:pt idx="35">
                  <c:v>63.409248040421517</c:v>
                </c:pt>
                <c:pt idx="36">
                  <c:v>64.478903597977478</c:v>
                </c:pt>
                <c:pt idx="37">
                  <c:v>65.59475921979174</c:v>
                </c:pt>
                <c:pt idx="38">
                  <c:v>66.756814905820647</c:v>
                </c:pt>
                <c:pt idx="39">
                  <c:v>67.965070656078751</c:v>
                </c:pt>
                <c:pt idx="40">
                  <c:v>69.219526470609708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9-45CA-A043-4A050AE31971}"/>
            </c:ext>
          </c:extLst>
        </c:ser>
        <c:ser>
          <c:idx val="3"/>
          <c:order val="3"/>
          <c:tx>
            <c:strRef>
              <c:f>'Demand Elec'!$G$1</c:f>
              <c:strCache>
                <c:ptCount val="1"/>
                <c:pt idx="0">
                  <c:v>Commercial and Public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'Demand Elec'!$C$2:$C$42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'Demand Elec'!$G$2:$G$42</c:f>
              <c:numCache>
                <c:formatCode>_(* #,##0.00_);_(* \(#,##0.00\);_(* "-"??_);_(@_)</c:formatCode>
                <c:ptCount val="41"/>
                <c:pt idx="0">
                  <c:v>37.966066766804772</c:v>
                </c:pt>
                <c:pt idx="1">
                  <c:v>38.241412920700313</c:v>
                </c:pt>
                <c:pt idx="2">
                  <c:v>37.25206250228085</c:v>
                </c:pt>
                <c:pt idx="3">
                  <c:v>36.998434309958867</c:v>
                </c:pt>
                <c:pt idx="4">
                  <c:v>36.494450338653373</c:v>
                </c:pt>
                <c:pt idx="5">
                  <c:v>37.622846335996009</c:v>
                </c:pt>
                <c:pt idx="6">
                  <c:v>45.758063547164276</c:v>
                </c:pt>
                <c:pt idx="7">
                  <c:v>39.096931619605478</c:v>
                </c:pt>
                <c:pt idx="8">
                  <c:v>39.36394716731813</c:v>
                </c:pt>
                <c:pt idx="9">
                  <c:v>38.825183253755043</c:v>
                </c:pt>
                <c:pt idx="10">
                  <c:v>21.600626277517392</c:v>
                </c:pt>
                <c:pt idx="11">
                  <c:v>31.16530989547698</c:v>
                </c:pt>
                <c:pt idx="12">
                  <c:v>36.745065142024373</c:v>
                </c:pt>
                <c:pt idx="13">
                  <c:v>41.794395103256647</c:v>
                </c:pt>
                <c:pt idx="14">
                  <c:v>50.086584547932091</c:v>
                </c:pt>
                <c:pt idx="15">
                  <c:v>54.149119647950215</c:v>
                </c:pt>
                <c:pt idx="16">
                  <c:v>60.864633057656818</c:v>
                </c:pt>
                <c:pt idx="17">
                  <c:v>68.052088813154455</c:v>
                </c:pt>
                <c:pt idx="18">
                  <c:v>72.908041266008127</c:v>
                </c:pt>
                <c:pt idx="19">
                  <c:v>79.268923030694339</c:v>
                </c:pt>
                <c:pt idx="20">
                  <c:v>81.959459887511173</c:v>
                </c:pt>
                <c:pt idx="21">
                  <c:v>85.347611560480971</c:v>
                </c:pt>
                <c:pt idx="22">
                  <c:v>89.814303806119085</c:v>
                </c:pt>
                <c:pt idx="23">
                  <c:v>95.82279293184979</c:v>
                </c:pt>
                <c:pt idx="24">
                  <c:v>95.543234929788696</c:v>
                </c:pt>
                <c:pt idx="25">
                  <c:v>101.55097517146811</c:v>
                </c:pt>
                <c:pt idx="26">
                  <c:v>105.11766919345979</c:v>
                </c:pt>
                <c:pt idx="27">
                  <c:v>104.30228542649598</c:v>
                </c:pt>
                <c:pt idx="28">
                  <c:v>103.79483460389622</c:v>
                </c:pt>
                <c:pt idx="29">
                  <c:v>106.17299754834795</c:v>
                </c:pt>
                <c:pt idx="30">
                  <c:v>103.49077601976302</c:v>
                </c:pt>
                <c:pt idx="31">
                  <c:v>102.73280506459133</c:v>
                </c:pt>
                <c:pt idx="32">
                  <c:v>99.236473092611391</c:v>
                </c:pt>
                <c:pt idx="33">
                  <c:v>97.568022643093457</c:v>
                </c:pt>
                <c:pt idx="34">
                  <c:v>95.797064587761838</c:v>
                </c:pt>
                <c:pt idx="35">
                  <c:v>92.794940553654442</c:v>
                </c:pt>
                <c:pt idx="36">
                  <c:v>87.256266806021529</c:v>
                </c:pt>
                <c:pt idx="37">
                  <c:v>81.004143110312327</c:v>
                </c:pt>
                <c:pt idx="38">
                  <c:v>71.139026426268231</c:v>
                </c:pt>
                <c:pt idx="39">
                  <c:v>64.059289422323616</c:v>
                </c:pt>
                <c:pt idx="40">
                  <c:v>56.562536660994851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9-45CA-A043-4A050AE31971}"/>
            </c:ext>
          </c:extLst>
        </c:ser>
        <c:ser>
          <c:idx val="4"/>
          <c:order val="4"/>
          <c:tx>
            <c:strRef>
              <c:f>'Demand Elec'!#REF!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'Demand Elec'!$C$2:$C$42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'Demand Elec'!#REF!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E19-45CA-A043-4A050AE3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2959"/>
        <c:axId val="1176166703"/>
        <c:extLst/>
      </c:areaChart>
      <c:lineChart>
        <c:grouping val="standard"/>
        <c:varyColors val="0"/>
        <c:ser>
          <c:idx val="5"/>
          <c:order val="5"/>
          <c:tx>
            <c:strRef>
              <c:f>'Demand Elec'!$B$1</c:f>
              <c:strCache>
                <c:ptCount val="1"/>
                <c:pt idx="0">
                  <c:v>Winds of Change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'Demand Elec'!$B$2:$B$42</c:f>
              <c:numCache>
                <c:formatCode>_(* #,##0.00_);_(* \(#,##0.00\);_(* "-"??_);_(@_)</c:formatCode>
                <c:ptCount val="41"/>
                <c:pt idx="0">
                  <c:v>259.601</c:v>
                </c:pt>
                <c:pt idx="1">
                  <c:v>262.53800000000001</c:v>
                </c:pt>
                <c:pt idx="2">
                  <c:v>257.91899999999998</c:v>
                </c:pt>
                <c:pt idx="3">
                  <c:v>256.07299999999998</c:v>
                </c:pt>
                <c:pt idx="4">
                  <c:v>252.578</c:v>
                </c:pt>
                <c:pt idx="5">
                  <c:v>249.655</c:v>
                </c:pt>
                <c:pt idx="6">
                  <c:v>252.74700000000001</c:v>
                </c:pt>
                <c:pt idx="7">
                  <c:v>255.13432</c:v>
                </c:pt>
                <c:pt idx="8">
                  <c:v>256.39722799999998</c:v>
                </c:pt>
                <c:pt idx="9">
                  <c:v>252.639321</c:v>
                </c:pt>
                <c:pt idx="10">
                  <c:v>239.459</c:v>
                </c:pt>
                <c:pt idx="11">
                  <c:v>250.9670509389461</c:v>
                </c:pt>
                <c:pt idx="12">
                  <c:v>260.22156182746699</c:v>
                </c:pt>
                <c:pt idx="13">
                  <c:v>270.08215530133458</c:v>
                </c:pt>
                <c:pt idx="14">
                  <c:v>275.15433608211458</c:v>
                </c:pt>
                <c:pt idx="15">
                  <c:v>287.62022685898353</c:v>
                </c:pt>
                <c:pt idx="16">
                  <c:v>291.86058547462801</c:v>
                </c:pt>
                <c:pt idx="17">
                  <c:v>303.36155992893413</c:v>
                </c:pt>
                <c:pt idx="18">
                  <c:v>308.5129289326772</c:v>
                </c:pt>
                <c:pt idx="19">
                  <c:v>317.32309391448024</c:v>
                </c:pt>
                <c:pt idx="20">
                  <c:v>324.7240936281093</c:v>
                </c:pt>
                <c:pt idx="21">
                  <c:v>333.78881426778179</c:v>
                </c:pt>
                <c:pt idx="22">
                  <c:v>340.26782160953678</c:v>
                </c:pt>
                <c:pt idx="23">
                  <c:v>345.27495115377985</c:v>
                </c:pt>
                <c:pt idx="24">
                  <c:v>352.01303518695084</c:v>
                </c:pt>
                <c:pt idx="25">
                  <c:v>361.17480153268212</c:v>
                </c:pt>
                <c:pt idx="26">
                  <c:v>366.71369633629968</c:v>
                </c:pt>
                <c:pt idx="27">
                  <c:v>370.59989121257007</c:v>
                </c:pt>
                <c:pt idx="28">
                  <c:v>377.93887415977912</c:v>
                </c:pt>
                <c:pt idx="29">
                  <c:v>383.71014513723196</c:v>
                </c:pt>
                <c:pt idx="30">
                  <c:v>383.87028871620811</c:v>
                </c:pt>
                <c:pt idx="31">
                  <c:v>390.59572281350148</c:v>
                </c:pt>
                <c:pt idx="32">
                  <c:v>394.90648862461728</c:v>
                </c:pt>
                <c:pt idx="33">
                  <c:v>394.96366168494302</c:v>
                </c:pt>
                <c:pt idx="34">
                  <c:v>398.66658167534689</c:v>
                </c:pt>
                <c:pt idx="35">
                  <c:v>400.83914655942266</c:v>
                </c:pt>
                <c:pt idx="36">
                  <c:v>405.22920814018505</c:v>
                </c:pt>
                <c:pt idx="37">
                  <c:v>405.4840099238188</c:v>
                </c:pt>
                <c:pt idx="38">
                  <c:v>407.14027806924321</c:v>
                </c:pt>
                <c:pt idx="39">
                  <c:v>408.48528830126583</c:v>
                </c:pt>
                <c:pt idx="40">
                  <c:v>411.9331274244924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9-45CA-A043-4A050AE31971}"/>
            </c:ext>
          </c:extLst>
        </c:ser>
        <c:ser>
          <c:idx val="6"/>
          <c:order val="6"/>
          <c:tx>
            <c:strRef>
              <c:f>'Demand Elec'!$A$1</c:f>
              <c:strCache>
                <c:ptCount val="1"/>
                <c:pt idx="0">
                  <c:v>BAU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'Demand Elec'!$A$2:$A$42</c:f>
              <c:numCache>
                <c:formatCode>_(* #,##0.00_);_(* \(#,##0.00\);_(* "-"??_);_(@_)</c:formatCode>
                <c:ptCount val="41"/>
                <c:pt idx="0">
                  <c:v>259.601</c:v>
                </c:pt>
                <c:pt idx="1">
                  <c:v>262.53800000000001</c:v>
                </c:pt>
                <c:pt idx="2">
                  <c:v>257.91899999999998</c:v>
                </c:pt>
                <c:pt idx="3">
                  <c:v>256.07299999999998</c:v>
                </c:pt>
                <c:pt idx="4">
                  <c:v>252.578</c:v>
                </c:pt>
                <c:pt idx="5">
                  <c:v>249.655</c:v>
                </c:pt>
                <c:pt idx="6">
                  <c:v>252.74700000000001</c:v>
                </c:pt>
                <c:pt idx="7">
                  <c:v>255.13432</c:v>
                </c:pt>
                <c:pt idx="8">
                  <c:v>256.39722799999998</c:v>
                </c:pt>
                <c:pt idx="9">
                  <c:v>252.639321</c:v>
                </c:pt>
                <c:pt idx="10">
                  <c:v>239.459</c:v>
                </c:pt>
                <c:pt idx="11">
                  <c:v>250.06863199587895</c:v>
                </c:pt>
                <c:pt idx="12">
                  <c:v>257.12489547070788</c:v>
                </c:pt>
                <c:pt idx="13">
                  <c:v>271.19224229731549</c:v>
                </c:pt>
                <c:pt idx="14">
                  <c:v>280.12608556045916</c:v>
                </c:pt>
                <c:pt idx="15">
                  <c:v>289.6182316891036</c:v>
                </c:pt>
                <c:pt idx="16">
                  <c:v>301.28785607265007</c:v>
                </c:pt>
                <c:pt idx="17">
                  <c:v>311.45135844549458</c:v>
                </c:pt>
                <c:pt idx="18">
                  <c:v>319.93226845234841</c:v>
                </c:pt>
                <c:pt idx="19">
                  <c:v>332.69231703339972</c:v>
                </c:pt>
                <c:pt idx="20">
                  <c:v>339.85850062703554</c:v>
                </c:pt>
                <c:pt idx="21">
                  <c:v>349.33701308388231</c:v>
                </c:pt>
                <c:pt idx="22">
                  <c:v>356.68373484547709</c:v>
                </c:pt>
                <c:pt idx="23">
                  <c:v>364.11736639063867</c:v>
                </c:pt>
                <c:pt idx="24">
                  <c:v>372.76554868149395</c:v>
                </c:pt>
                <c:pt idx="25">
                  <c:v>379.96480762751776</c:v>
                </c:pt>
                <c:pt idx="26">
                  <c:v>388.87629058899711</c:v>
                </c:pt>
                <c:pt idx="27">
                  <c:v>392.86920107916268</c:v>
                </c:pt>
                <c:pt idx="28">
                  <c:v>398.16488558386231</c:v>
                </c:pt>
                <c:pt idx="29">
                  <c:v>408.56383231230842</c:v>
                </c:pt>
                <c:pt idx="30">
                  <c:v>412.75203916926489</c:v>
                </c:pt>
                <c:pt idx="31">
                  <c:v>417.48951846736213</c:v>
                </c:pt>
                <c:pt idx="32">
                  <c:v>423.71124673910208</c:v>
                </c:pt>
                <c:pt idx="33">
                  <c:v>426.53186989055752</c:v>
                </c:pt>
                <c:pt idx="34">
                  <c:v>429.10518332376444</c:v>
                </c:pt>
                <c:pt idx="35">
                  <c:v>432.90584897394137</c:v>
                </c:pt>
                <c:pt idx="36">
                  <c:v>440.45847329145454</c:v>
                </c:pt>
                <c:pt idx="37">
                  <c:v>443.3374005461975</c:v>
                </c:pt>
                <c:pt idx="38">
                  <c:v>445.8275018061442</c:v>
                </c:pt>
                <c:pt idx="39">
                  <c:v>450.77224589605692</c:v>
                </c:pt>
                <c:pt idx="40">
                  <c:v>453.53427334296896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9-45CA-A043-4A050AE3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62959"/>
        <c:axId val="1176166703"/>
      </c:lineChart>
      <c:catAx>
        <c:axId val="11761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66703"/>
        <c:crosses val="autoZero"/>
        <c:auto val="1"/>
        <c:lblAlgn val="ctr"/>
        <c:lblOffset val="100"/>
        <c:noMultiLvlLbl val="0"/>
      </c:catAx>
      <c:valAx>
        <c:axId val="11761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0186527777777777E-2"/>
              <c:y val="0.26066402211016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33163192620354E-2"/>
          <c:y val="0.91416256674090823"/>
          <c:w val="0.84999708333333335"/>
          <c:h val="7.1726038943012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Proyected</a:t>
            </a:r>
            <a:r>
              <a:rPr lang="en-US" sz="1800" b="1" baseline="0"/>
              <a:t> Transport Demand (2020-2050)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42523064138285E-2"/>
          <c:y val="0.13297878787878789"/>
          <c:w val="0.87726854660076703"/>
          <c:h val="0.63668636363636366"/>
        </c:manualLayout>
      </c:layout>
      <c:areaChart>
        <c:grouping val="stacked"/>
        <c:varyColors val="0"/>
        <c:ser>
          <c:idx val="4"/>
          <c:order val="0"/>
          <c:tx>
            <c:strRef>
              <c:f>Transport!$F$1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Transport!$A$2:$A$32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Transport!$F$2:$F$32</c:f>
              <c:numCache>
                <c:formatCode>_(* #,##0.00_);_(* \(#,##0.00\);_(* "-"??_);_(@_)</c:formatCode>
                <c:ptCount val="31"/>
                <c:pt idx="0">
                  <c:v>154.82621551329163</c:v>
                </c:pt>
                <c:pt idx="1">
                  <c:v>149.42176410999673</c:v>
                </c:pt>
                <c:pt idx="2">
                  <c:v>144.04370035999455</c:v>
                </c:pt>
                <c:pt idx="3">
                  <c:v>138.68172398999013</c:v>
                </c:pt>
                <c:pt idx="4">
                  <c:v>133.33583500000532</c:v>
                </c:pt>
                <c:pt idx="5">
                  <c:v>128.00603339000372</c:v>
                </c:pt>
                <c:pt idx="6">
                  <c:v>122.6923191599999</c:v>
                </c:pt>
                <c:pt idx="7">
                  <c:v>117.39469230999384</c:v>
                </c:pt>
                <c:pt idx="8">
                  <c:v>112.11315284000739</c:v>
                </c:pt>
                <c:pt idx="9">
                  <c:v>106.84770075000415</c:v>
                </c:pt>
                <c:pt idx="10">
                  <c:v>101.59833603999869</c:v>
                </c:pt>
                <c:pt idx="11">
                  <c:v>96.365058709998266</c:v>
                </c:pt>
                <c:pt idx="12">
                  <c:v>91.147868759995617</c:v>
                </c:pt>
                <c:pt idx="13">
                  <c:v>85.946766190005292</c:v>
                </c:pt>
                <c:pt idx="14">
                  <c:v>80.761750999998185</c:v>
                </c:pt>
                <c:pt idx="15">
                  <c:v>75.592823189996125</c:v>
                </c:pt>
                <c:pt idx="16">
                  <c:v>70.439982759991835</c:v>
                </c:pt>
                <c:pt idx="17">
                  <c:v>65.303229710007145</c:v>
                </c:pt>
                <c:pt idx="18">
                  <c:v>60.182564040005673</c:v>
                </c:pt>
                <c:pt idx="19">
                  <c:v>55.077985750001972</c:v>
                </c:pt>
                <c:pt idx="20">
                  <c:v>49.989494839996041</c:v>
                </c:pt>
                <c:pt idx="21">
                  <c:v>44.917091309995158</c:v>
                </c:pt>
                <c:pt idx="22">
                  <c:v>39.860775160006597</c:v>
                </c:pt>
                <c:pt idx="23">
                  <c:v>34.820546390001255</c:v>
                </c:pt>
                <c:pt idx="24">
                  <c:v>29.796405000000959</c:v>
                </c:pt>
                <c:pt idx="25">
                  <c:v>24.788350989991159</c:v>
                </c:pt>
                <c:pt idx="26">
                  <c:v>19.796384360008233</c:v>
                </c:pt>
                <c:pt idx="27">
                  <c:v>14.82050511000125</c:v>
                </c:pt>
                <c:pt idx="28">
                  <c:v>9.8607132399993134</c:v>
                </c:pt>
                <c:pt idx="29">
                  <c:v>4.9170087499951478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2AD-A366-BEB170A43363}"/>
            </c:ext>
          </c:extLst>
        </c:ser>
        <c:ser>
          <c:idx val="3"/>
          <c:order val="1"/>
          <c:tx>
            <c:strRef>
              <c:f>Transport!$E$1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Transport!$A$2:$A$32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Transport!$E$2:$E$32</c:f>
              <c:numCache>
                <c:formatCode>_(* #,##0.00_);_(* \(#,##0.00\);_(* "-"??_);_(@_)</c:formatCode>
                <c:ptCount val="31"/>
                <c:pt idx="0">
                  <c:v>107.18737997074034</c:v>
                </c:pt>
                <c:pt idx="1">
                  <c:v>105.58327053999528</c:v>
                </c:pt>
                <c:pt idx="2">
                  <c:v>103.83777291997103</c:v>
                </c:pt>
                <c:pt idx="3">
                  <c:v>101.9612328200019</c:v>
                </c:pt>
                <c:pt idx="4">
                  <c:v>99.953650239971466</c:v>
                </c:pt>
                <c:pt idx="5">
                  <c:v>97.815025179996155</c:v>
                </c:pt>
                <c:pt idx="6">
                  <c:v>95.545357639959548</c:v>
                </c:pt>
                <c:pt idx="7">
                  <c:v>93.144647619978059</c:v>
                </c:pt>
                <c:pt idx="8">
                  <c:v>90.612895120051689</c:v>
                </c:pt>
                <c:pt idx="9">
                  <c:v>87.950100140064023</c:v>
                </c:pt>
                <c:pt idx="10">
                  <c:v>85.156262680015061</c:v>
                </c:pt>
                <c:pt idx="11">
                  <c:v>82.231382740021218</c:v>
                </c:pt>
                <c:pt idx="12">
                  <c:v>79.175460320024285</c:v>
                </c:pt>
                <c:pt idx="13">
                  <c:v>75.988495420024265</c:v>
                </c:pt>
                <c:pt idx="14">
                  <c:v>72.670488040021155</c:v>
                </c:pt>
                <c:pt idx="15">
                  <c:v>69.221438180014957</c:v>
                </c:pt>
                <c:pt idx="16">
                  <c:v>65.64134584000567</c:v>
                </c:pt>
                <c:pt idx="17">
                  <c:v>61.930211019993294</c:v>
                </c:pt>
                <c:pt idx="18">
                  <c:v>58.08803371997783</c:v>
                </c:pt>
                <c:pt idx="19">
                  <c:v>54.114813939959276</c:v>
                </c:pt>
                <c:pt idx="20">
                  <c:v>50.010551679937635</c:v>
                </c:pt>
                <c:pt idx="21">
                  <c:v>45.775246939971112</c:v>
                </c:pt>
                <c:pt idx="22">
                  <c:v>41.408899720059708</c:v>
                </c:pt>
                <c:pt idx="23">
                  <c:v>36.9115100200288</c:v>
                </c:pt>
                <c:pt idx="24">
                  <c:v>32.283077840053011</c:v>
                </c:pt>
                <c:pt idx="25">
                  <c:v>27.523603180015925</c:v>
                </c:pt>
                <c:pt idx="26">
                  <c:v>22.633086040033959</c:v>
                </c:pt>
                <c:pt idx="27">
                  <c:v>17.611526419990696</c:v>
                </c:pt>
                <c:pt idx="28">
                  <c:v>12.458924320002552</c:v>
                </c:pt>
                <c:pt idx="29">
                  <c:v>7.1752797400113195</c:v>
                </c:pt>
                <c:pt idx="30">
                  <c:v>1.7605926799587905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4-42AD-A366-BEB170A43363}"/>
            </c:ext>
          </c:extLst>
        </c:ser>
        <c:ser>
          <c:idx val="2"/>
          <c:order val="2"/>
          <c:tx>
            <c:strRef>
              <c:f>Transport!$D$1</c:f>
              <c:strCache>
                <c:ptCount val="1"/>
                <c:pt idx="0">
                  <c:v>Jet Fuel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Transport!$A$2:$A$32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Transport!$D$2:$D$32</c:f>
              <c:numCache>
                <c:formatCode>_(* #,##0.00_);_(* \(#,##0.00\);_(* "-"??_);_(@_)</c:formatCode>
                <c:ptCount val="31"/>
                <c:pt idx="0">
                  <c:v>29.774272214094545</c:v>
                </c:pt>
                <c:pt idx="1">
                  <c:v>30.081443629999967</c:v>
                </c:pt>
                <c:pt idx="2">
                  <c:v>30.388613759999998</c:v>
                </c:pt>
                <c:pt idx="3">
                  <c:v>30.69578389000003</c:v>
                </c:pt>
                <c:pt idx="4">
                  <c:v>31.002954020000061</c:v>
                </c:pt>
                <c:pt idx="5">
                  <c:v>31.310124149999979</c:v>
                </c:pt>
                <c:pt idx="6">
                  <c:v>31.61729428000001</c:v>
                </c:pt>
                <c:pt idx="7">
                  <c:v>31.924464410000041</c:v>
                </c:pt>
                <c:pt idx="8">
                  <c:v>32.231634540000073</c:v>
                </c:pt>
                <c:pt idx="9">
                  <c:v>32.53880466999999</c:v>
                </c:pt>
                <c:pt idx="10">
                  <c:v>32.845974800000022</c:v>
                </c:pt>
                <c:pt idx="11">
                  <c:v>33.153144930000053</c:v>
                </c:pt>
                <c:pt idx="12">
                  <c:v>33.460315059999971</c:v>
                </c:pt>
                <c:pt idx="13">
                  <c:v>33.767485190000002</c:v>
                </c:pt>
                <c:pt idx="14">
                  <c:v>34.074655320000033</c:v>
                </c:pt>
                <c:pt idx="15">
                  <c:v>34.381825450000065</c:v>
                </c:pt>
                <c:pt idx="16">
                  <c:v>34.688995579999983</c:v>
                </c:pt>
                <c:pt idx="17">
                  <c:v>34.996165710000014</c:v>
                </c:pt>
                <c:pt idx="18">
                  <c:v>35.303335840000045</c:v>
                </c:pt>
                <c:pt idx="19">
                  <c:v>35.610505969999963</c:v>
                </c:pt>
                <c:pt idx="20">
                  <c:v>35.917676099999994</c:v>
                </c:pt>
                <c:pt idx="21">
                  <c:v>36.224846230000026</c:v>
                </c:pt>
                <c:pt idx="22">
                  <c:v>36.532016360000057</c:v>
                </c:pt>
                <c:pt idx="23">
                  <c:v>36.839186489999975</c:v>
                </c:pt>
                <c:pt idx="24">
                  <c:v>37.146356620000006</c:v>
                </c:pt>
                <c:pt idx="25">
                  <c:v>37.453526750000037</c:v>
                </c:pt>
                <c:pt idx="26">
                  <c:v>37.760696880000069</c:v>
                </c:pt>
                <c:pt idx="27">
                  <c:v>38.067867009999986</c:v>
                </c:pt>
                <c:pt idx="28">
                  <c:v>38.375037140000018</c:v>
                </c:pt>
                <c:pt idx="29">
                  <c:v>38.682207270000049</c:v>
                </c:pt>
                <c:pt idx="30">
                  <c:v>38.989377399999967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4-42AD-A366-BEB170A43363}"/>
            </c:ext>
          </c:extLst>
        </c:ser>
        <c:ser>
          <c:idx val="1"/>
          <c:order val="3"/>
          <c:tx>
            <c:strRef>
              <c:f>Transport!$C$1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Transport!$A$2:$A$32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Transport!$C$2:$C$32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1.5162438000002112</c:v>
                </c:pt>
                <c:pt idx="2">
                  <c:v>3.0324973100000534</c:v>
                </c:pt>
                <c:pt idx="3">
                  <c:v>4.5487508199998956</c:v>
                </c:pt>
                <c:pt idx="4">
                  <c:v>6.0650043300001926</c:v>
                </c:pt>
                <c:pt idx="5">
                  <c:v>7.5812578400000348</c:v>
                </c:pt>
                <c:pt idx="6">
                  <c:v>9.097511349999877</c:v>
                </c:pt>
                <c:pt idx="7">
                  <c:v>10.613764860000174</c:v>
                </c:pt>
                <c:pt idx="8">
                  <c:v>12.130018370000016</c:v>
                </c:pt>
                <c:pt idx="9">
                  <c:v>13.646271879999858</c:v>
                </c:pt>
                <c:pt idx="10">
                  <c:v>15.162525390000155</c:v>
                </c:pt>
                <c:pt idx="11">
                  <c:v>16.678778899999998</c:v>
                </c:pt>
                <c:pt idx="12">
                  <c:v>18.19503240999984</c:v>
                </c:pt>
                <c:pt idx="13">
                  <c:v>19.711285920000137</c:v>
                </c:pt>
                <c:pt idx="14">
                  <c:v>21.227539429999979</c:v>
                </c:pt>
                <c:pt idx="15">
                  <c:v>22.743792939999821</c:v>
                </c:pt>
                <c:pt idx="16">
                  <c:v>24.260046450000118</c:v>
                </c:pt>
                <c:pt idx="17">
                  <c:v>25.77629995999996</c:v>
                </c:pt>
                <c:pt idx="18">
                  <c:v>27.292553470000257</c:v>
                </c:pt>
                <c:pt idx="19">
                  <c:v>28.808806980000099</c:v>
                </c:pt>
                <c:pt idx="20">
                  <c:v>30.325060489999942</c:v>
                </c:pt>
                <c:pt idx="21">
                  <c:v>31.841314000000239</c:v>
                </c:pt>
                <c:pt idx="22">
                  <c:v>33.357567510000081</c:v>
                </c:pt>
                <c:pt idx="23">
                  <c:v>34.873821019999923</c:v>
                </c:pt>
                <c:pt idx="24">
                  <c:v>36.39007453000022</c:v>
                </c:pt>
                <c:pt idx="25">
                  <c:v>37.906328040000062</c:v>
                </c:pt>
                <c:pt idx="26">
                  <c:v>39.422581549999904</c:v>
                </c:pt>
                <c:pt idx="27">
                  <c:v>40.938835060000201</c:v>
                </c:pt>
                <c:pt idx="28">
                  <c:v>42.455088570000044</c:v>
                </c:pt>
                <c:pt idx="29">
                  <c:v>43.971342079999886</c:v>
                </c:pt>
                <c:pt idx="30">
                  <c:v>45.487595590000183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4-42AD-A366-BEB170A43363}"/>
            </c:ext>
          </c:extLst>
        </c:ser>
        <c:ser>
          <c:idx val="0"/>
          <c:order val="4"/>
          <c:tx>
            <c:strRef>
              <c:f>Transport!$B$1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Transport!$A$2:$A$32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Transport!$B$2:$B$32</c:f>
              <c:numCache>
                <c:formatCode>_(* #,##0.00_);_(* \(#,##0.00\);_(* "-"??_);_(@_)</c:formatCode>
                <c:ptCount val="31"/>
                <c:pt idx="0">
                  <c:v>5.9548544428189087</c:v>
                </c:pt>
                <c:pt idx="1">
                  <c:v>5.9648544428189094</c:v>
                </c:pt>
                <c:pt idx="2">
                  <c:v>5.9771344372517969</c:v>
                </c:pt>
                <c:pt idx="3">
                  <c:v>6.5161474308947414</c:v>
                </c:pt>
                <c:pt idx="4">
                  <c:v>6.9195305973295635</c:v>
                </c:pt>
                <c:pt idx="5">
                  <c:v>7.2103349840718174</c:v>
                </c:pt>
                <c:pt idx="6">
                  <c:v>7.4138916562327655</c:v>
                </c:pt>
                <c:pt idx="7">
                  <c:v>7.5555317534294755</c:v>
                </c:pt>
                <c:pt idx="8">
                  <c:v>7.6605863854766962</c:v>
                </c:pt>
                <c:pt idx="9">
                  <c:v>7.7543866621891731</c:v>
                </c:pt>
                <c:pt idx="10">
                  <c:v>7.8622636784804918</c:v>
                </c:pt>
                <c:pt idx="11">
                  <c:v>8.0095485888688849</c:v>
                </c:pt>
                <c:pt idx="12">
                  <c:v>8.2215724733667734</c:v>
                </c:pt>
                <c:pt idx="13">
                  <c:v>8.5236664119865821</c:v>
                </c:pt>
                <c:pt idx="14">
                  <c:v>8.9411616039500288</c:v>
                </c:pt>
                <c:pt idx="15">
                  <c:v>9.4993890696648862</c:v>
                </c:pt>
                <c:pt idx="16">
                  <c:v>10.223679963649392</c:v>
                </c:pt>
                <c:pt idx="17">
                  <c:v>11.139365410619448</c:v>
                </c:pt>
                <c:pt idx="18">
                  <c:v>12.271776490587483</c:v>
                </c:pt>
                <c:pt idx="19">
                  <c:v>13.6462443282694</c:v>
                </c:pt>
                <c:pt idx="20">
                  <c:v>15.288100063282275</c:v>
                </c:pt>
                <c:pt idx="21">
                  <c:v>17.222674790539688</c:v>
                </c:pt>
                <c:pt idx="22">
                  <c:v>19.475299560251742</c:v>
                </c:pt>
                <c:pt idx="23">
                  <c:v>22.071305571640153</c:v>
                </c:pt>
                <c:pt idx="24">
                  <c:v>25.036023904717347</c:v>
                </c:pt>
                <c:pt idx="25">
                  <c:v>28.394785654396898</c:v>
                </c:pt>
                <c:pt idx="26">
                  <c:v>32.172921960295895</c:v>
                </c:pt>
                <c:pt idx="27">
                  <c:v>36.395763887525575</c:v>
                </c:pt>
                <c:pt idx="28">
                  <c:v>41.088642605505356</c:v>
                </c:pt>
                <c:pt idx="29">
                  <c:v>46.276889194247644</c:v>
                </c:pt>
                <c:pt idx="30">
                  <c:v>51.98583479336952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4-42AD-A366-BEB170A4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75439"/>
        <c:axId val="1176176271"/>
      </c:areaChart>
      <c:catAx>
        <c:axId val="1176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164305555555555"/>
              <c:y val="0.8717825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76271"/>
        <c:crosses val="autoZero"/>
        <c:auto val="1"/>
        <c:lblAlgn val="ctr"/>
        <c:lblOffset val="100"/>
        <c:noMultiLvlLbl val="0"/>
      </c:catAx>
      <c:valAx>
        <c:axId val="1176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3635286130452232E-2"/>
              <c:y val="0.31672052395248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40698609257956"/>
          <c:y val="0.92930975025605544"/>
          <c:w val="0.42284872772128135"/>
          <c:h val="4.9052664764819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Proyected</a:t>
            </a:r>
            <a:r>
              <a:rPr lang="en-US" sz="1800" b="1" baseline="0"/>
              <a:t> Industry Demand (2020-2050)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54836420097841E-2"/>
          <c:y val="0.1182875995736983"/>
          <c:w val="0.86616774798831275"/>
          <c:h val="0.64479867715187278"/>
        </c:manualLayout>
      </c:layout>
      <c:areaChart>
        <c:grouping val="stacked"/>
        <c:varyColors val="0"/>
        <c:ser>
          <c:idx val="0"/>
          <c:order val="0"/>
          <c:tx>
            <c:strRef>
              <c:f>Industry!$B$1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Industry!$A$2:$A$32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Industry!$B$2:$B$32</c:f>
              <c:numCache>
                <c:formatCode>_(* #,##0.00_);_(* \(#,##0.00\);_(* "-"??_);_(@_)</c:formatCode>
                <c:ptCount val="31"/>
                <c:pt idx="0">
                  <c:v>160.22063930160039</c:v>
                </c:pt>
                <c:pt idx="1">
                  <c:v>162.55555683300008</c:v>
                </c:pt>
                <c:pt idx="2">
                  <c:v>164.89047436439978</c:v>
                </c:pt>
                <c:pt idx="3">
                  <c:v>167.22539189580039</c:v>
                </c:pt>
                <c:pt idx="4">
                  <c:v>169.56030942720008</c:v>
                </c:pt>
                <c:pt idx="5">
                  <c:v>171.89522695859978</c:v>
                </c:pt>
                <c:pt idx="6">
                  <c:v>174.23014449000038</c:v>
                </c:pt>
                <c:pt idx="7">
                  <c:v>176.56506202140008</c:v>
                </c:pt>
                <c:pt idx="8">
                  <c:v>178.89997955279978</c:v>
                </c:pt>
                <c:pt idx="9">
                  <c:v>181.23489708420038</c:v>
                </c:pt>
                <c:pt idx="10">
                  <c:v>183.56981461560008</c:v>
                </c:pt>
                <c:pt idx="11">
                  <c:v>185.90473214699978</c:v>
                </c:pt>
                <c:pt idx="12">
                  <c:v>188.23964967840038</c:v>
                </c:pt>
                <c:pt idx="13">
                  <c:v>190.57456720980008</c:v>
                </c:pt>
                <c:pt idx="14">
                  <c:v>192.90948474119978</c:v>
                </c:pt>
                <c:pt idx="15">
                  <c:v>195.24440227260038</c:v>
                </c:pt>
                <c:pt idx="16">
                  <c:v>197.57931980400008</c:v>
                </c:pt>
                <c:pt idx="17">
                  <c:v>199.91423733539978</c:v>
                </c:pt>
                <c:pt idx="18">
                  <c:v>202.24915486680038</c:v>
                </c:pt>
                <c:pt idx="19">
                  <c:v>204.58407239820008</c:v>
                </c:pt>
                <c:pt idx="20">
                  <c:v>206.91898992959977</c:v>
                </c:pt>
                <c:pt idx="21">
                  <c:v>209.25390746100038</c:v>
                </c:pt>
                <c:pt idx="22">
                  <c:v>211.58882499240008</c:v>
                </c:pt>
                <c:pt idx="23">
                  <c:v>213.92374252379977</c:v>
                </c:pt>
                <c:pt idx="24">
                  <c:v>216.25866005520038</c:v>
                </c:pt>
                <c:pt idx="25">
                  <c:v>218.59357758660008</c:v>
                </c:pt>
                <c:pt idx="26">
                  <c:v>220.92849511799977</c:v>
                </c:pt>
                <c:pt idx="27">
                  <c:v>223.26341264940038</c:v>
                </c:pt>
                <c:pt idx="28">
                  <c:v>225.59833018080008</c:v>
                </c:pt>
                <c:pt idx="29">
                  <c:v>227.93324771219977</c:v>
                </c:pt>
                <c:pt idx="30">
                  <c:v>230.26816524360038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116-9E41-1F7C41D233B4}"/>
            </c:ext>
          </c:extLst>
        </c:ser>
        <c:ser>
          <c:idx val="3"/>
          <c:order val="1"/>
          <c:tx>
            <c:strRef>
              <c:f>Industry!$E$1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Industry!$A$2:$A$32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Industry!$E$2:$E$32</c:f>
              <c:numCache>
                <c:formatCode>_(* #,##0.00_);_(* \(#,##0.00\);_(* "-"??_);_(@_)</c:formatCode>
                <c:ptCount val="31"/>
                <c:pt idx="0">
                  <c:v>44.947339152971423</c:v>
                </c:pt>
                <c:pt idx="1">
                  <c:v>48.514567286089189</c:v>
                </c:pt>
                <c:pt idx="2">
                  <c:v>51.861142857508867</c:v>
                </c:pt>
                <c:pt idx="3">
                  <c:v>54.987698777962919</c:v>
                </c:pt>
                <c:pt idx="4">
                  <c:v>57.894832609908377</c:v>
                </c:pt>
                <c:pt idx="5">
                  <c:v>60.273541050580661</c:v>
                </c:pt>
                <c:pt idx="6">
                  <c:v>62.747698946298755</c:v>
                </c:pt>
                <c:pt idx="7">
                  <c:v>65.003926008978937</c:v>
                </c:pt>
                <c:pt idx="8">
                  <c:v>67.042705323457326</c:v>
                </c:pt>
                <c:pt idx="9">
                  <c:v>68.864494754996372</c:v>
                </c:pt>
                <c:pt idx="10">
                  <c:v>78.526560277435252</c:v>
                </c:pt>
                <c:pt idx="11">
                  <c:v>79.813171729977114</c:v>
                </c:pt>
                <c:pt idx="12">
                  <c:v>80.886605431372018</c:v>
                </c:pt>
                <c:pt idx="13">
                  <c:v>81.74713763453056</c:v>
                </c:pt>
                <c:pt idx="14">
                  <c:v>82.395031054059871</c:v>
                </c:pt>
                <c:pt idx="15">
                  <c:v>91.61017573336494</c:v>
                </c:pt>
                <c:pt idx="16">
                  <c:v>91.728534358695981</c:v>
                </c:pt>
                <c:pt idx="17">
                  <c:v>91.637450604165309</c:v>
                </c:pt>
                <c:pt idx="18">
                  <c:v>91.337053707471227</c:v>
                </c:pt>
                <c:pt idx="19">
                  <c:v>90.827466937961205</c:v>
                </c:pt>
                <c:pt idx="20">
                  <c:v>93.403848941835435</c:v>
                </c:pt>
                <c:pt idx="21">
                  <c:v>92.439048104608801</c:v>
                </c:pt>
                <c:pt idx="22">
                  <c:v>91.26622446079179</c:v>
                </c:pt>
                <c:pt idx="23">
                  <c:v>89.88545312156829</c:v>
                </c:pt>
                <c:pt idx="24">
                  <c:v>88.296805918627115</c:v>
                </c:pt>
                <c:pt idx="25">
                  <c:v>89.274736877674044</c:v>
                </c:pt>
                <c:pt idx="26">
                  <c:v>87.240906472820157</c:v>
                </c:pt>
                <c:pt idx="27">
                  <c:v>85.000024136672494</c:v>
                </c:pt>
                <c:pt idx="28">
                  <c:v>82.552130592310959</c:v>
                </c:pt>
                <c:pt idx="29">
                  <c:v>79.897264876443259</c:v>
                </c:pt>
                <c:pt idx="30">
                  <c:v>77.035464426339175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0-4116-9E41-1F7C41D233B4}"/>
            </c:ext>
          </c:extLst>
        </c:ser>
        <c:ser>
          <c:idx val="2"/>
          <c:order val="2"/>
          <c:tx>
            <c:strRef>
              <c:f>Industry!$D$1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Industry!$A$2:$A$32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Industry!$D$2:$D$32</c:f>
              <c:numCache>
                <c:formatCode>_(* #,##0.00_);_(* \(#,##0.00\);_(* "-"??_);_(@_)</c:formatCode>
                <c:ptCount val="31"/>
                <c:pt idx="0">
                  <c:v>44.947339152971423</c:v>
                </c:pt>
                <c:pt idx="1">
                  <c:v>42.61221518999082</c:v>
                </c:pt>
                <c:pt idx="2">
                  <c:v>40.337278999999398</c:v>
                </c:pt>
                <c:pt idx="3">
                  <c:v>38.1309742500016</c:v>
                </c:pt>
                <c:pt idx="4">
                  <c:v>35.993300939997425</c:v>
                </c:pt>
                <c:pt idx="5">
                  <c:v>33.924259070015978</c:v>
                </c:pt>
                <c:pt idx="6">
                  <c:v>31.923848640028154</c:v>
                </c:pt>
                <c:pt idx="7">
                  <c:v>29.992069650033955</c:v>
                </c:pt>
                <c:pt idx="8">
                  <c:v>28.128922100033378</c:v>
                </c:pt>
                <c:pt idx="9">
                  <c:v>26.334405990026426</c:v>
                </c:pt>
                <c:pt idx="10">
                  <c:v>24.6085213200422</c:v>
                </c:pt>
                <c:pt idx="11">
                  <c:v>22.951268090051599</c:v>
                </c:pt>
                <c:pt idx="12">
                  <c:v>21.362646299996413</c:v>
                </c:pt>
                <c:pt idx="13">
                  <c:v>19.842655949993059</c:v>
                </c:pt>
                <c:pt idx="14">
                  <c:v>18.391297040012432</c:v>
                </c:pt>
                <c:pt idx="15">
                  <c:v>17.008569569996325</c:v>
                </c:pt>
                <c:pt idx="16">
                  <c:v>15.694473540002946</c:v>
                </c:pt>
                <c:pt idx="17">
                  <c:v>14.449008950032294</c:v>
                </c:pt>
                <c:pt idx="18">
                  <c:v>13.272175800026162</c:v>
                </c:pt>
                <c:pt idx="19">
                  <c:v>12.163974090042757</c:v>
                </c:pt>
                <c:pt idx="20">
                  <c:v>11.124403820023872</c:v>
                </c:pt>
                <c:pt idx="21">
                  <c:v>10.153464990027715</c:v>
                </c:pt>
                <c:pt idx="22">
                  <c:v>9.2511576000542846</c:v>
                </c:pt>
                <c:pt idx="23">
                  <c:v>8.4174816499871667</c:v>
                </c:pt>
                <c:pt idx="24">
                  <c:v>7.6524371400009841</c:v>
                </c:pt>
                <c:pt idx="25">
                  <c:v>6.956024070008425</c:v>
                </c:pt>
                <c:pt idx="26">
                  <c:v>6.3282424400094897</c:v>
                </c:pt>
                <c:pt idx="27">
                  <c:v>5.7690922500041779</c:v>
                </c:pt>
                <c:pt idx="28">
                  <c:v>5.2785735000215936</c:v>
                </c:pt>
                <c:pt idx="29">
                  <c:v>4.856686190032633</c:v>
                </c:pt>
                <c:pt idx="30">
                  <c:v>4.4947339152971422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0-4116-9E41-1F7C41D233B4}"/>
            </c:ext>
          </c:extLst>
        </c:ser>
        <c:ser>
          <c:idx val="1"/>
          <c:order val="3"/>
          <c:tx>
            <c:strRef>
              <c:f>Industry!$C$1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Industry!$A$2:$A$32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Industry!$C$2:$C$32</c:f>
              <c:numCache>
                <c:formatCode>_(* #,##0.00_);_(* \(#,##0.00\);_(* "-"??_);_(@_)</c:formatCode>
                <c:ptCount val="31"/>
                <c:pt idx="0">
                  <c:v>71.174177215189872</c:v>
                </c:pt>
                <c:pt idx="1">
                  <c:v>70.136946088868712</c:v>
                </c:pt>
                <c:pt idx="2">
                  <c:v>69.129512149283514</c:v>
                </c:pt>
                <c:pt idx="3">
                  <c:v>68.150609574852069</c:v>
                </c:pt>
                <c:pt idx="4">
                  <c:v>67.199043241127754</c:v>
                </c:pt>
                <c:pt idx="5">
                  <c:v>66.892819752940341</c:v>
                </c:pt>
                <c:pt idx="6">
                  <c:v>65.984189418465846</c:v>
                </c:pt>
                <c:pt idx="7">
                  <c:v>65.099912813407897</c:v>
                </c:pt>
                <c:pt idx="8">
                  <c:v>64.239023767860516</c:v>
                </c:pt>
                <c:pt idx="9">
                  <c:v>63.400606551879946</c:v>
                </c:pt>
                <c:pt idx="10">
                  <c:v>46.470129217324008</c:v>
                </c:pt>
                <c:pt idx="11">
                  <c:v>45.879052086134713</c:v>
                </c:pt>
                <c:pt idx="12">
                  <c:v>45.302822520578239</c:v>
                </c:pt>
                <c:pt idx="13">
                  <c:v>44.740888014718792</c:v>
                </c:pt>
                <c:pt idx="14">
                  <c:v>44.192723139806851</c:v>
                </c:pt>
                <c:pt idx="15">
                  <c:v>26.098547808449432</c:v>
                </c:pt>
                <c:pt idx="16">
                  <c:v>25.786436648730035</c:v>
                </c:pt>
                <c:pt idx="17">
                  <c:v>25.481702311841055</c:v>
                </c:pt>
                <c:pt idx="18">
                  <c:v>25.18408632285059</c:v>
                </c:pt>
                <c:pt idx="19">
                  <c:v>24.893342142949148</c:v>
                </c:pt>
                <c:pt idx="20">
                  <c:v>18.019152479502555</c:v>
                </c:pt>
                <c:pt idx="21">
                  <c:v>17.815820561829433</c:v>
                </c:pt>
                <c:pt idx="22">
                  <c:v>17.617026320561372</c:v>
                </c:pt>
                <c:pt idx="23">
                  <c:v>17.422619533678908</c:v>
                </c:pt>
                <c:pt idx="24">
                  <c:v>17.232456537687082</c:v>
                </c:pt>
                <c:pt idx="25">
                  <c:v>11.497629280826933</c:v>
                </c:pt>
                <c:pt idx="26">
                  <c:v>11.374816815457489</c:v>
                </c:pt>
                <c:pt idx="27">
                  <c:v>11.254600275781625</c:v>
                </c:pt>
                <c:pt idx="28">
                  <c:v>11.136898216223463</c:v>
                </c:pt>
                <c:pt idx="29">
                  <c:v>11.021632563017457</c:v>
                </c:pt>
                <c:pt idx="30">
                  <c:v>10.908728441506675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0-4116-9E41-1F7C41D2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83887"/>
        <c:axId val="1713085967"/>
      </c:areaChart>
      <c:catAx>
        <c:axId val="17130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2322900236149184"/>
              <c:y val="0.8702337226078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85967"/>
        <c:crosses val="autoZero"/>
        <c:auto val="1"/>
        <c:lblAlgn val="ctr"/>
        <c:lblOffset val="100"/>
        <c:noMultiLvlLbl val="0"/>
      </c:catAx>
      <c:valAx>
        <c:axId val="17130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(TWh)</a:t>
                </a:r>
              </a:p>
            </c:rich>
          </c:tx>
          <c:layout>
            <c:manualLayout>
              <c:xMode val="edge"/>
              <c:yMode val="edge"/>
              <c:x val="1.7558860323847732E-2"/>
              <c:y val="0.30131278462948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27355448634222"/>
          <c:y val="0.91641935674278896"/>
          <c:w val="0.29717497156625883"/>
          <c:h val="6.275742093734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438150</xdr:colOff>
      <xdr:row>19</xdr:row>
      <xdr:rowOff>177715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940549" cy="39178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210911</xdr:colOff>
      <xdr:row>7</xdr:row>
      <xdr:rowOff>34018</xdr:rowOff>
    </xdr:from>
    <xdr:to>
      <xdr:col>13</xdr:col>
      <xdr:colOff>721933</xdr:colOff>
      <xdr:row>27</xdr:row>
      <xdr:rowOff>109312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127516</xdr:colOff>
      <xdr:row>19</xdr:row>
      <xdr:rowOff>136711</xdr:rowOff>
    </xdr:from>
    <xdr:to>
      <xdr:col>20</xdr:col>
      <xdr:colOff>53880</xdr:colOff>
      <xdr:row>41</xdr:row>
      <xdr:rowOff>21165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180295</xdr:colOff>
      <xdr:row>0</xdr:row>
      <xdr:rowOff>87313</xdr:rowOff>
    </xdr:from>
    <xdr:to>
      <xdr:col>20</xdr:col>
      <xdr:colOff>106658</xdr:colOff>
      <xdr:row>18</xdr:row>
      <xdr:rowOff>168040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247197</xdr:colOff>
      <xdr:row>0</xdr:row>
      <xdr:rowOff>21317</xdr:rowOff>
    </xdr:from>
    <xdr:to>
      <xdr:col>18</xdr:col>
      <xdr:colOff>99340</xdr:colOff>
      <xdr:row>19</xdr:row>
      <xdr:rowOff>189460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335643</xdr:colOff>
      <xdr:row>20</xdr:row>
      <xdr:rowOff>9071</xdr:rowOff>
    </xdr:from>
    <xdr:to>
      <xdr:col>18</xdr:col>
      <xdr:colOff>187786</xdr:colOff>
      <xdr:row>39</xdr:row>
      <xdr:rowOff>177214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456046</xdr:colOff>
      <xdr:row>6</xdr:row>
      <xdr:rowOff>9763</xdr:rowOff>
    </xdr:from>
    <xdr:to>
      <xdr:col>14</xdr:col>
      <xdr:colOff>49653</xdr:colOff>
      <xdr:row>25</xdr:row>
      <xdr:rowOff>168834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28864</xdr:colOff>
      <xdr:row>0</xdr:row>
      <xdr:rowOff>0</xdr:rowOff>
    </xdr:from>
    <xdr:to>
      <xdr:col>19</xdr:col>
      <xdr:colOff>184727</xdr:colOff>
      <xdr:row>20</xdr:row>
      <xdr:rowOff>118918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352300</xdr:colOff>
      <xdr:row>11</xdr:row>
      <xdr:rowOff>11174</xdr:rowOff>
    </xdr:from>
    <xdr:to>
      <xdr:col>17</xdr:col>
      <xdr:colOff>196402</xdr:colOff>
      <xdr:row>31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270482</xdr:colOff>
      <xdr:row>11</xdr:row>
      <xdr:rowOff>129874</xdr:rowOff>
    </xdr:from>
    <xdr:to>
      <xdr:col>17</xdr:col>
      <xdr:colOff>252648</xdr:colOff>
      <xdr:row>31</xdr:row>
      <xdr:rowOff>78791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279839</xdr:colOff>
      <xdr:row>8</xdr:row>
      <xdr:rowOff>113802</xdr:rowOff>
    </xdr:from>
    <xdr:to>
      <xdr:col>16</xdr:col>
      <xdr:colOff>230256</xdr:colOff>
      <xdr:row>28</xdr:row>
      <xdr:rowOff>62719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485364</xdr:colOff>
      <xdr:row>6</xdr:row>
      <xdr:rowOff>17119</xdr:rowOff>
    </xdr:from>
    <xdr:to>
      <xdr:col>15</xdr:col>
      <xdr:colOff>155322</xdr:colOff>
      <xdr:row>25</xdr:row>
      <xdr:rowOff>145953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%20Africa%20Demand%20Projections%20-%20Clean%20to%20subm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del based on IEA data"/>
      <sheetName val="EPS 1"/>
      <sheetName val="EPS 2"/>
      <sheetName val="EPS 3 (Main)"/>
      <sheetName val="Coal Decomm pathway"/>
      <sheetName val="Sheet4"/>
      <sheetName val="Generation Pathway"/>
      <sheetName val="RE+Storage Buildout"/>
      <sheetName val="Power Plant Database "/>
      <sheetName val="Model 1"/>
      <sheetName val="Energy Intensity of EconomyYear"/>
      <sheetName val="Demand Total"/>
      <sheetName val="Demand Source"/>
      <sheetName val="Demand Elec"/>
      <sheetName val="Transport"/>
      <sheetName val="Industry"/>
      <sheetName val="Residential"/>
      <sheetName val="CommPublic"/>
      <sheetName val="Current Demand"/>
      <sheetName val="Demand B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Q12">
            <v>321.2894948227331</v>
          </cell>
          <cell r="S12">
            <v>297.74272214094543</v>
          </cell>
          <cell r="T12">
            <v>65.583208535694283</v>
          </cell>
          <cell r="U12">
            <v>104.94203226035638</v>
          </cell>
          <cell r="W12">
            <v>789.55745775972935</v>
          </cell>
        </row>
        <row r="22">
          <cell r="W22">
            <v>761.87835003647058</v>
          </cell>
        </row>
        <row r="42">
          <cell r="W42">
            <v>675.97673034381512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>
      <selection activeCell="L15" sqref="L15"/>
    </sheetView>
  </sheetViews>
  <sheetFormatPr baseColWidth="10" defaultRowHeight="15.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32"/>
  <sheetViews>
    <sheetView zoomScale="40" zoomScaleNormal="40" workbookViewId="0"/>
  </sheetViews>
  <sheetFormatPr baseColWidth="10" defaultColWidth="8.6640625" defaultRowHeight="15.5"/>
  <cols>
    <col min="2" max="2" width="11.83203125" customWidth="1"/>
    <col min="5" max="5" width="9.75" customWidth="1"/>
    <col min="6" max="6" width="10.33203125" customWidth="1"/>
  </cols>
  <sheetData>
    <row r="1" spans="1:7" ht="47.25" customHeight="1">
      <c r="A1" s="19" t="s">
        <v>0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/>
    </row>
    <row r="2" spans="1:7">
      <c r="A2" s="5">
        <v>2020</v>
      </c>
      <c r="B2" s="48">
        <v>5.9548544428189087</v>
      </c>
      <c r="C2" s="48">
        <v>0</v>
      </c>
      <c r="D2" s="48">
        <v>29.774272214094545</v>
      </c>
      <c r="E2" s="48">
        <v>107.18737997074034</v>
      </c>
      <c r="F2" s="48">
        <v>154.82621551329163</v>
      </c>
    </row>
    <row r="3" spans="1:7">
      <c r="A3" s="5">
        <v>2021</v>
      </c>
      <c r="B3" s="48">
        <v>5.9648544428189094</v>
      </c>
      <c r="C3" s="48">
        <v>1.5162438000002112</v>
      </c>
      <c r="D3" s="48">
        <v>30.081443629999967</v>
      </c>
      <c r="E3" s="48">
        <v>105.58327053999528</v>
      </c>
      <c r="F3" s="48">
        <v>149.42176410999673</v>
      </c>
    </row>
    <row r="4" spans="1:7">
      <c r="A4" s="5">
        <v>2022</v>
      </c>
      <c r="B4" s="48">
        <v>5.9771344372517969</v>
      </c>
      <c r="C4" s="48">
        <v>3.0324973100000534</v>
      </c>
      <c r="D4" s="48">
        <v>30.388613759999998</v>
      </c>
      <c r="E4" s="48">
        <v>103.83777291997103</v>
      </c>
      <c r="F4" s="48">
        <v>144.04370035999455</v>
      </c>
    </row>
    <row r="5" spans="1:7">
      <c r="A5" s="5">
        <v>2023</v>
      </c>
      <c r="B5" s="48">
        <v>6.5161474308947414</v>
      </c>
      <c r="C5" s="48">
        <v>4.5487508199998956</v>
      </c>
      <c r="D5" s="48">
        <v>30.69578389000003</v>
      </c>
      <c r="E5" s="48">
        <v>101.9612328200019</v>
      </c>
      <c r="F5" s="48">
        <v>138.68172398999013</v>
      </c>
    </row>
    <row r="6" spans="1:7">
      <c r="A6" s="5">
        <v>2024</v>
      </c>
      <c r="B6" s="48">
        <v>6.9195305973295635</v>
      </c>
      <c r="C6" s="48">
        <v>6.0650043300001926</v>
      </c>
      <c r="D6" s="48">
        <v>31.002954020000061</v>
      </c>
      <c r="E6" s="48">
        <v>99.953650239971466</v>
      </c>
      <c r="F6" s="48">
        <v>133.33583500000532</v>
      </c>
    </row>
    <row r="7" spans="1:7">
      <c r="A7" s="5">
        <v>2025</v>
      </c>
      <c r="B7" s="48">
        <v>7.2103349840718174</v>
      </c>
      <c r="C7" s="48">
        <v>7.5812578400000348</v>
      </c>
      <c r="D7" s="48">
        <v>31.310124149999979</v>
      </c>
      <c r="E7" s="48">
        <v>97.815025179996155</v>
      </c>
      <c r="F7" s="48">
        <v>128.00603339000372</v>
      </c>
    </row>
    <row r="8" spans="1:7">
      <c r="A8" s="5">
        <v>2026</v>
      </c>
      <c r="B8" s="48">
        <v>7.4138916562327655</v>
      </c>
      <c r="C8" s="48">
        <v>9.097511349999877</v>
      </c>
      <c r="D8" s="48">
        <v>31.61729428000001</v>
      </c>
      <c r="E8" s="48">
        <v>95.545357639959548</v>
      </c>
      <c r="F8" s="48">
        <v>122.6923191599999</v>
      </c>
    </row>
    <row r="9" spans="1:7">
      <c r="A9" s="5">
        <v>2027</v>
      </c>
      <c r="B9" s="48">
        <v>7.5555317534294755</v>
      </c>
      <c r="C9" s="48">
        <v>10.613764860000174</v>
      </c>
      <c r="D9" s="48">
        <v>31.924464410000041</v>
      </c>
      <c r="E9" s="48">
        <v>93.144647619978059</v>
      </c>
      <c r="F9" s="48">
        <v>117.39469230999384</v>
      </c>
    </row>
    <row r="10" spans="1:7">
      <c r="A10" s="5">
        <v>2028</v>
      </c>
      <c r="B10" s="48">
        <v>7.6605863854766962</v>
      </c>
      <c r="C10" s="48">
        <v>12.130018370000016</v>
      </c>
      <c r="D10" s="48">
        <v>32.231634540000073</v>
      </c>
      <c r="E10" s="48">
        <v>90.612895120051689</v>
      </c>
      <c r="F10" s="48">
        <v>112.11315284000739</v>
      </c>
    </row>
    <row r="11" spans="1:7">
      <c r="A11" s="5">
        <v>2029</v>
      </c>
      <c r="B11" s="48">
        <v>7.7543866621891731</v>
      </c>
      <c r="C11" s="48">
        <v>13.646271879999858</v>
      </c>
      <c r="D11" s="48">
        <v>32.53880466999999</v>
      </c>
      <c r="E11" s="48">
        <v>87.950100140064023</v>
      </c>
      <c r="F11" s="48">
        <v>106.84770075000415</v>
      </c>
    </row>
    <row r="12" spans="1:7">
      <c r="A12" s="5">
        <v>2030</v>
      </c>
      <c r="B12" s="48">
        <v>7.8622636784804918</v>
      </c>
      <c r="C12" s="48">
        <v>15.162525390000155</v>
      </c>
      <c r="D12" s="48">
        <v>32.845974800000022</v>
      </c>
      <c r="E12" s="48">
        <v>85.156262680015061</v>
      </c>
      <c r="F12" s="48">
        <v>101.59833603999869</v>
      </c>
    </row>
    <row r="13" spans="1:7">
      <c r="A13" s="5">
        <v>2031</v>
      </c>
      <c r="B13" s="48">
        <v>8.0095485888688849</v>
      </c>
      <c r="C13" s="48">
        <v>16.678778899999998</v>
      </c>
      <c r="D13" s="48">
        <v>33.153144930000053</v>
      </c>
      <c r="E13" s="48">
        <v>82.231382740021218</v>
      </c>
      <c r="F13" s="48">
        <v>96.365058709998266</v>
      </c>
    </row>
    <row r="14" spans="1:7">
      <c r="A14" s="5">
        <v>2032</v>
      </c>
      <c r="B14" s="48">
        <v>8.2215724733667734</v>
      </c>
      <c r="C14" s="48">
        <v>18.19503240999984</v>
      </c>
      <c r="D14" s="48">
        <v>33.460315059999971</v>
      </c>
      <c r="E14" s="48">
        <v>79.175460320024285</v>
      </c>
      <c r="F14" s="48">
        <v>91.147868759995617</v>
      </c>
    </row>
    <row r="15" spans="1:7">
      <c r="A15" s="5">
        <v>2033</v>
      </c>
      <c r="B15" s="48">
        <v>8.5236664119865821</v>
      </c>
      <c r="C15" s="48">
        <v>19.711285920000137</v>
      </c>
      <c r="D15" s="48">
        <v>33.767485190000002</v>
      </c>
      <c r="E15" s="48">
        <v>75.988495420024265</v>
      </c>
      <c r="F15" s="48">
        <v>85.946766190005292</v>
      </c>
    </row>
    <row r="16" spans="1:7">
      <c r="A16" s="5">
        <v>2034</v>
      </c>
      <c r="B16" s="48">
        <v>8.9411616039500288</v>
      </c>
      <c r="C16" s="48">
        <v>21.227539429999979</v>
      </c>
      <c r="D16" s="48">
        <v>34.074655320000033</v>
      </c>
      <c r="E16" s="48">
        <v>72.670488040021155</v>
      </c>
      <c r="F16" s="48">
        <v>80.761750999998185</v>
      </c>
    </row>
    <row r="17" spans="1:6">
      <c r="A17" s="5">
        <v>2035</v>
      </c>
      <c r="B17" s="48">
        <v>9.4993890696648862</v>
      </c>
      <c r="C17" s="48">
        <v>22.743792939999821</v>
      </c>
      <c r="D17" s="48">
        <v>34.381825450000065</v>
      </c>
      <c r="E17" s="48">
        <v>69.221438180014957</v>
      </c>
      <c r="F17" s="48">
        <v>75.592823189996125</v>
      </c>
    </row>
    <row r="18" spans="1:6">
      <c r="A18" s="5">
        <v>2036</v>
      </c>
      <c r="B18" s="48">
        <v>10.223679963649392</v>
      </c>
      <c r="C18" s="48">
        <v>24.260046450000118</v>
      </c>
      <c r="D18" s="48">
        <v>34.688995579999983</v>
      </c>
      <c r="E18" s="48">
        <v>65.64134584000567</v>
      </c>
      <c r="F18" s="48">
        <v>70.439982759991835</v>
      </c>
    </row>
    <row r="19" spans="1:6">
      <c r="A19" s="5">
        <v>2037</v>
      </c>
      <c r="B19" s="48">
        <v>11.139365410619448</v>
      </c>
      <c r="C19" s="48">
        <v>25.77629995999996</v>
      </c>
      <c r="D19" s="48">
        <v>34.996165710000014</v>
      </c>
      <c r="E19" s="48">
        <v>61.930211019993294</v>
      </c>
      <c r="F19" s="48">
        <v>65.303229710007145</v>
      </c>
    </row>
    <row r="20" spans="1:6">
      <c r="A20" s="5">
        <v>2038</v>
      </c>
      <c r="B20" s="48">
        <v>12.271776490587483</v>
      </c>
      <c r="C20" s="48">
        <v>27.292553470000257</v>
      </c>
      <c r="D20" s="48">
        <v>35.303335840000045</v>
      </c>
      <c r="E20" s="48">
        <v>58.08803371997783</v>
      </c>
      <c r="F20" s="48">
        <v>60.182564040005673</v>
      </c>
    </row>
    <row r="21" spans="1:6">
      <c r="A21" s="5">
        <v>2039</v>
      </c>
      <c r="B21" s="48">
        <v>13.6462443282694</v>
      </c>
      <c r="C21" s="48">
        <v>28.808806980000099</v>
      </c>
      <c r="D21" s="48">
        <v>35.610505969999963</v>
      </c>
      <c r="E21" s="48">
        <v>54.114813939959276</v>
      </c>
      <c r="F21" s="48">
        <v>55.077985750001972</v>
      </c>
    </row>
    <row r="22" spans="1:6">
      <c r="A22" s="5">
        <v>2040</v>
      </c>
      <c r="B22" s="48">
        <v>15.288100063282275</v>
      </c>
      <c r="C22" s="48">
        <v>30.325060489999942</v>
      </c>
      <c r="D22" s="48">
        <v>35.917676099999994</v>
      </c>
      <c r="E22" s="48">
        <v>50.010551679937635</v>
      </c>
      <c r="F22" s="48">
        <v>49.989494839996041</v>
      </c>
    </row>
    <row r="23" spans="1:6">
      <c r="A23" s="5">
        <v>2041</v>
      </c>
      <c r="B23" s="48">
        <v>17.222674790539688</v>
      </c>
      <c r="C23" s="48">
        <v>31.841314000000239</v>
      </c>
      <c r="D23" s="48">
        <v>36.224846230000026</v>
      </c>
      <c r="E23" s="48">
        <v>45.775246939971112</v>
      </c>
      <c r="F23" s="48">
        <v>44.917091309995158</v>
      </c>
    </row>
    <row r="24" spans="1:6">
      <c r="A24" s="5">
        <v>2042</v>
      </c>
      <c r="B24" s="48">
        <v>19.475299560251742</v>
      </c>
      <c r="C24" s="48">
        <v>33.357567510000081</v>
      </c>
      <c r="D24" s="48">
        <v>36.532016360000057</v>
      </c>
      <c r="E24" s="48">
        <v>41.408899720059708</v>
      </c>
      <c r="F24" s="48">
        <v>39.860775160006597</v>
      </c>
    </row>
    <row r="25" spans="1:6">
      <c r="A25" s="5">
        <v>2043</v>
      </c>
      <c r="B25" s="48">
        <v>22.071305571640153</v>
      </c>
      <c r="C25" s="48">
        <v>34.873821019999923</v>
      </c>
      <c r="D25" s="48">
        <v>36.839186489999975</v>
      </c>
      <c r="E25" s="48">
        <v>36.9115100200288</v>
      </c>
      <c r="F25" s="48">
        <v>34.820546390001255</v>
      </c>
    </row>
    <row r="26" spans="1:6">
      <c r="A26" s="5">
        <v>2044</v>
      </c>
      <c r="B26" s="48">
        <v>25.036023904717347</v>
      </c>
      <c r="C26" s="48">
        <v>36.39007453000022</v>
      </c>
      <c r="D26" s="48">
        <v>37.146356620000006</v>
      </c>
      <c r="E26" s="48">
        <v>32.283077840053011</v>
      </c>
      <c r="F26" s="48">
        <v>29.796405000000959</v>
      </c>
    </row>
    <row r="27" spans="1:6">
      <c r="A27" s="5">
        <v>2045</v>
      </c>
      <c r="B27" s="48">
        <v>28.394785654396898</v>
      </c>
      <c r="C27" s="48">
        <v>37.906328040000062</v>
      </c>
      <c r="D27" s="48">
        <v>37.453526750000037</v>
      </c>
      <c r="E27" s="48">
        <v>27.523603180015925</v>
      </c>
      <c r="F27" s="48">
        <v>24.788350989991159</v>
      </c>
    </row>
    <row r="28" spans="1:6">
      <c r="A28" s="5">
        <v>2046</v>
      </c>
      <c r="B28" s="48">
        <v>32.172921960295895</v>
      </c>
      <c r="C28" s="48">
        <v>39.422581549999904</v>
      </c>
      <c r="D28" s="48">
        <v>37.760696880000069</v>
      </c>
      <c r="E28" s="48">
        <v>22.633086040033959</v>
      </c>
      <c r="F28" s="48">
        <v>19.796384360008233</v>
      </c>
    </row>
    <row r="29" spans="1:6">
      <c r="A29" s="5">
        <v>2047</v>
      </c>
      <c r="B29" s="48">
        <v>36.395763887525575</v>
      </c>
      <c r="C29" s="48">
        <v>40.938835060000201</v>
      </c>
      <c r="D29" s="48">
        <v>38.067867009999986</v>
      </c>
      <c r="E29" s="48">
        <v>17.611526419990696</v>
      </c>
      <c r="F29" s="48">
        <v>14.82050511000125</v>
      </c>
    </row>
    <row r="30" spans="1:6">
      <c r="A30" s="5">
        <v>2048</v>
      </c>
      <c r="B30" s="48">
        <v>41.088642605505356</v>
      </c>
      <c r="C30" s="48">
        <v>42.455088570000044</v>
      </c>
      <c r="D30" s="48">
        <v>38.375037140000018</v>
      </c>
      <c r="E30" s="48">
        <v>12.458924320002552</v>
      </c>
      <c r="F30" s="48">
        <v>9.8607132399993134</v>
      </c>
    </row>
    <row r="31" spans="1:6">
      <c r="A31" s="5">
        <v>2049</v>
      </c>
      <c r="B31" s="48">
        <v>46.276889194247644</v>
      </c>
      <c r="C31" s="48">
        <v>43.971342079999886</v>
      </c>
      <c r="D31" s="48">
        <v>38.682207270000049</v>
      </c>
      <c r="E31" s="48">
        <v>7.1752797400113195</v>
      </c>
      <c r="F31" s="48">
        <v>4.9170087499951478</v>
      </c>
    </row>
    <row r="32" spans="1:6">
      <c r="A32" s="5">
        <v>2050</v>
      </c>
      <c r="B32" s="48">
        <v>51.98583479336952</v>
      </c>
      <c r="C32" s="48">
        <v>45.487595590000183</v>
      </c>
      <c r="D32" s="48">
        <v>38.989377399999967</v>
      </c>
      <c r="E32" s="48">
        <v>1.7605926799587905</v>
      </c>
      <c r="F32" s="4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32"/>
  <sheetViews>
    <sheetView zoomScale="40" zoomScaleNormal="40" workbookViewId="0"/>
  </sheetViews>
  <sheetFormatPr baseColWidth="10" defaultColWidth="8.6640625" defaultRowHeight="15.5"/>
  <cols>
    <col min="2" max="2" width="12.25" customWidth="1"/>
  </cols>
  <sheetData>
    <row r="1" spans="1:5">
      <c r="A1" s="19" t="s">
        <v>0</v>
      </c>
      <c r="B1" s="19" t="s">
        <v>30</v>
      </c>
      <c r="C1" s="19" t="s">
        <v>12</v>
      </c>
      <c r="D1" s="19" t="s">
        <v>33</v>
      </c>
      <c r="E1" s="19" t="s">
        <v>35</v>
      </c>
    </row>
    <row r="2" spans="1:5">
      <c r="A2" s="5">
        <v>2020</v>
      </c>
      <c r="B2" s="39">
        <v>160.22063930160039</v>
      </c>
      <c r="C2" s="39">
        <v>71.174177215189872</v>
      </c>
      <c r="D2" s="39">
        <v>44.947339152971423</v>
      </c>
      <c r="E2" s="39">
        <v>44.947339152971423</v>
      </c>
    </row>
    <row r="3" spans="1:5">
      <c r="A3" s="5">
        <v>2021</v>
      </c>
      <c r="B3" s="39">
        <v>162.55555683300008</v>
      </c>
      <c r="C3" s="39">
        <v>70.136946088868712</v>
      </c>
      <c r="D3" s="39">
        <v>42.61221518999082</v>
      </c>
      <c r="E3" s="39">
        <v>48.514567286089189</v>
      </c>
    </row>
    <row r="4" spans="1:5">
      <c r="A4" s="5">
        <v>2022</v>
      </c>
      <c r="B4" s="39">
        <v>164.89047436439978</v>
      </c>
      <c r="C4" s="39">
        <v>69.129512149283514</v>
      </c>
      <c r="D4" s="39">
        <v>40.337278999999398</v>
      </c>
      <c r="E4" s="39">
        <v>51.861142857508867</v>
      </c>
    </row>
    <row r="5" spans="1:5">
      <c r="A5" s="5">
        <v>2023</v>
      </c>
      <c r="B5" s="39">
        <v>167.22539189580039</v>
      </c>
      <c r="C5" s="39">
        <v>68.150609574852069</v>
      </c>
      <c r="D5" s="39">
        <v>38.1309742500016</v>
      </c>
      <c r="E5" s="39">
        <v>54.987698777962919</v>
      </c>
    </row>
    <row r="6" spans="1:5">
      <c r="A6" s="5">
        <v>2024</v>
      </c>
      <c r="B6" s="39">
        <v>169.56030942720008</v>
      </c>
      <c r="C6" s="39">
        <v>67.199043241127754</v>
      </c>
      <c r="D6" s="39">
        <v>35.993300939997425</v>
      </c>
      <c r="E6" s="39">
        <v>57.894832609908377</v>
      </c>
    </row>
    <row r="7" spans="1:5">
      <c r="A7" s="5">
        <v>2025</v>
      </c>
      <c r="B7" s="39">
        <v>171.89522695859978</v>
      </c>
      <c r="C7" s="39">
        <v>66.892819752940341</v>
      </c>
      <c r="D7" s="39">
        <v>33.924259070015978</v>
      </c>
      <c r="E7" s="39">
        <v>60.273541050580661</v>
      </c>
    </row>
    <row r="8" spans="1:5">
      <c r="A8" s="5">
        <v>2026</v>
      </c>
      <c r="B8" s="39">
        <v>174.23014449000038</v>
      </c>
      <c r="C8" s="39">
        <v>65.984189418465846</v>
      </c>
      <c r="D8" s="39">
        <v>31.923848640028154</v>
      </c>
      <c r="E8" s="39">
        <v>62.747698946298755</v>
      </c>
    </row>
    <row r="9" spans="1:5">
      <c r="A9" s="5">
        <v>2027</v>
      </c>
      <c r="B9" s="39">
        <v>176.56506202140008</v>
      </c>
      <c r="C9" s="39">
        <v>65.099912813407897</v>
      </c>
      <c r="D9" s="39">
        <v>29.992069650033955</v>
      </c>
      <c r="E9" s="39">
        <v>65.003926008978937</v>
      </c>
    </row>
    <row r="10" spans="1:5">
      <c r="A10" s="5">
        <v>2028</v>
      </c>
      <c r="B10" s="39">
        <v>178.89997955279978</v>
      </c>
      <c r="C10" s="39">
        <v>64.239023767860516</v>
      </c>
      <c r="D10" s="39">
        <v>28.128922100033378</v>
      </c>
      <c r="E10" s="39">
        <v>67.042705323457326</v>
      </c>
    </row>
    <row r="11" spans="1:5">
      <c r="A11" s="5">
        <v>2029</v>
      </c>
      <c r="B11" s="39">
        <v>181.23489708420038</v>
      </c>
      <c r="C11" s="39">
        <v>63.400606551879946</v>
      </c>
      <c r="D11" s="39">
        <v>26.334405990026426</v>
      </c>
      <c r="E11" s="39">
        <v>68.864494754996372</v>
      </c>
    </row>
    <row r="12" spans="1:5">
      <c r="A12" s="5">
        <v>2030</v>
      </c>
      <c r="B12" s="39">
        <v>183.56981461560008</v>
      </c>
      <c r="C12" s="39">
        <v>46.470129217324008</v>
      </c>
      <c r="D12" s="39">
        <v>24.6085213200422</v>
      </c>
      <c r="E12" s="39">
        <v>78.526560277435252</v>
      </c>
    </row>
    <row r="13" spans="1:5">
      <c r="A13" s="5">
        <v>2031</v>
      </c>
      <c r="B13" s="39">
        <v>185.90473214699978</v>
      </c>
      <c r="C13" s="39">
        <v>45.879052086134713</v>
      </c>
      <c r="D13" s="39">
        <v>22.951268090051599</v>
      </c>
      <c r="E13" s="39">
        <v>79.813171729977114</v>
      </c>
    </row>
    <row r="14" spans="1:5">
      <c r="A14" s="5">
        <v>2032</v>
      </c>
      <c r="B14" s="39">
        <v>188.23964967840038</v>
      </c>
      <c r="C14" s="39">
        <v>45.302822520578239</v>
      </c>
      <c r="D14" s="39">
        <v>21.362646299996413</v>
      </c>
      <c r="E14" s="39">
        <v>80.886605431372018</v>
      </c>
    </row>
    <row r="15" spans="1:5">
      <c r="A15" s="5">
        <v>2033</v>
      </c>
      <c r="B15" s="39">
        <v>190.57456720980008</v>
      </c>
      <c r="C15" s="39">
        <v>44.740888014718792</v>
      </c>
      <c r="D15" s="39">
        <v>19.842655949993059</v>
      </c>
      <c r="E15" s="39">
        <v>81.74713763453056</v>
      </c>
    </row>
    <row r="16" spans="1:5">
      <c r="A16" s="5">
        <v>2034</v>
      </c>
      <c r="B16" s="39">
        <v>192.90948474119978</v>
      </c>
      <c r="C16" s="39">
        <v>44.192723139806851</v>
      </c>
      <c r="D16" s="39">
        <v>18.391297040012432</v>
      </c>
      <c r="E16" s="39">
        <v>82.395031054059871</v>
      </c>
    </row>
    <row r="17" spans="1:5">
      <c r="A17" s="5">
        <v>2035</v>
      </c>
      <c r="B17" s="39">
        <v>195.24440227260038</v>
      </c>
      <c r="C17" s="39">
        <v>26.098547808449432</v>
      </c>
      <c r="D17" s="39">
        <v>17.008569569996325</v>
      </c>
      <c r="E17" s="39">
        <v>91.61017573336494</v>
      </c>
    </row>
    <row r="18" spans="1:5">
      <c r="A18" s="5">
        <v>2036</v>
      </c>
      <c r="B18" s="39">
        <v>197.57931980400008</v>
      </c>
      <c r="C18" s="39">
        <v>25.786436648730035</v>
      </c>
      <c r="D18" s="39">
        <v>15.694473540002946</v>
      </c>
      <c r="E18" s="39">
        <v>91.728534358695981</v>
      </c>
    </row>
    <row r="19" spans="1:5">
      <c r="A19" s="5">
        <v>2037</v>
      </c>
      <c r="B19" s="39">
        <v>199.91423733539978</v>
      </c>
      <c r="C19" s="39">
        <v>25.481702311841055</v>
      </c>
      <c r="D19" s="39">
        <v>14.449008950032294</v>
      </c>
      <c r="E19" s="39">
        <v>91.637450604165309</v>
      </c>
    </row>
    <row r="20" spans="1:5">
      <c r="A20" s="5">
        <v>2038</v>
      </c>
      <c r="B20" s="39">
        <v>202.24915486680038</v>
      </c>
      <c r="C20" s="39">
        <v>25.18408632285059</v>
      </c>
      <c r="D20" s="39">
        <v>13.272175800026162</v>
      </c>
      <c r="E20" s="39">
        <v>91.337053707471227</v>
      </c>
    </row>
    <row r="21" spans="1:5">
      <c r="A21" s="5">
        <v>2039</v>
      </c>
      <c r="B21" s="39">
        <v>204.58407239820008</v>
      </c>
      <c r="C21" s="39">
        <v>24.893342142949148</v>
      </c>
      <c r="D21" s="39">
        <v>12.163974090042757</v>
      </c>
      <c r="E21" s="39">
        <v>90.827466937961205</v>
      </c>
    </row>
    <row r="22" spans="1:5">
      <c r="A22" s="5">
        <v>2040</v>
      </c>
      <c r="B22" s="39">
        <v>206.91898992959977</v>
      </c>
      <c r="C22" s="39">
        <v>18.019152479502555</v>
      </c>
      <c r="D22" s="39">
        <v>11.124403820023872</v>
      </c>
      <c r="E22" s="39">
        <v>93.403848941835435</v>
      </c>
    </row>
    <row r="23" spans="1:5">
      <c r="A23" s="5">
        <v>2041</v>
      </c>
      <c r="B23" s="39">
        <v>209.25390746100038</v>
      </c>
      <c r="C23" s="39">
        <v>17.815820561829433</v>
      </c>
      <c r="D23" s="39">
        <v>10.153464990027715</v>
      </c>
      <c r="E23" s="39">
        <v>92.439048104608801</v>
      </c>
    </row>
    <row r="24" spans="1:5">
      <c r="A24" s="5">
        <v>2042</v>
      </c>
      <c r="B24" s="39">
        <v>211.58882499240008</v>
      </c>
      <c r="C24" s="39">
        <v>17.617026320561372</v>
      </c>
      <c r="D24" s="39">
        <v>9.2511576000542846</v>
      </c>
      <c r="E24" s="39">
        <v>91.26622446079179</v>
      </c>
    </row>
    <row r="25" spans="1:5">
      <c r="A25" s="5">
        <v>2043</v>
      </c>
      <c r="B25" s="39">
        <v>213.92374252379977</v>
      </c>
      <c r="C25" s="39">
        <v>17.422619533678908</v>
      </c>
      <c r="D25" s="39">
        <v>8.4174816499871667</v>
      </c>
      <c r="E25" s="39">
        <v>89.88545312156829</v>
      </c>
    </row>
    <row r="26" spans="1:5">
      <c r="A26" s="5">
        <v>2044</v>
      </c>
      <c r="B26" s="39">
        <v>216.25866005520038</v>
      </c>
      <c r="C26" s="39">
        <v>17.232456537687082</v>
      </c>
      <c r="D26" s="39">
        <v>7.6524371400009841</v>
      </c>
      <c r="E26" s="39">
        <v>88.296805918627115</v>
      </c>
    </row>
    <row r="27" spans="1:5">
      <c r="A27" s="5">
        <v>2045</v>
      </c>
      <c r="B27" s="39">
        <v>218.59357758660008</v>
      </c>
      <c r="C27" s="39">
        <v>11.497629280826933</v>
      </c>
      <c r="D27" s="39">
        <v>6.956024070008425</v>
      </c>
      <c r="E27" s="39">
        <v>89.274736877674044</v>
      </c>
    </row>
    <row r="28" spans="1:5">
      <c r="A28" s="5">
        <v>2046</v>
      </c>
      <c r="B28" s="39">
        <v>220.92849511799977</v>
      </c>
      <c r="C28" s="39">
        <v>11.374816815457489</v>
      </c>
      <c r="D28" s="39">
        <v>6.3282424400094897</v>
      </c>
      <c r="E28" s="39">
        <v>87.240906472820157</v>
      </c>
    </row>
    <row r="29" spans="1:5">
      <c r="A29" s="5">
        <v>2047</v>
      </c>
      <c r="B29" s="39">
        <v>223.26341264940038</v>
      </c>
      <c r="C29" s="39">
        <v>11.254600275781625</v>
      </c>
      <c r="D29" s="39">
        <v>5.7690922500041779</v>
      </c>
      <c r="E29" s="39">
        <v>85.000024136672494</v>
      </c>
    </row>
    <row r="30" spans="1:5">
      <c r="A30" s="5">
        <v>2048</v>
      </c>
      <c r="B30" s="39">
        <v>225.59833018080008</v>
      </c>
      <c r="C30" s="39">
        <v>11.136898216223463</v>
      </c>
      <c r="D30" s="39">
        <v>5.2785735000215936</v>
      </c>
      <c r="E30" s="39">
        <v>82.552130592310959</v>
      </c>
    </row>
    <row r="31" spans="1:5">
      <c r="A31" s="5">
        <v>2049</v>
      </c>
      <c r="B31" s="39">
        <v>227.93324771219977</v>
      </c>
      <c r="C31" s="39">
        <v>11.021632563017457</v>
      </c>
      <c r="D31" s="39">
        <v>4.856686190032633</v>
      </c>
      <c r="E31" s="39">
        <v>79.897264876443259</v>
      </c>
    </row>
    <row r="32" spans="1:5">
      <c r="A32" s="5">
        <v>2050</v>
      </c>
      <c r="B32" s="39">
        <v>230.26816524360038</v>
      </c>
      <c r="C32" s="39">
        <v>10.908728441506675</v>
      </c>
      <c r="D32" s="39">
        <v>4.4947339152971422</v>
      </c>
      <c r="E32" s="39">
        <v>77.035464426339175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2"/>
  <sheetViews>
    <sheetView zoomScale="40" zoomScaleNormal="40" workbookViewId="0"/>
  </sheetViews>
  <sheetFormatPr baseColWidth="10" defaultColWidth="11" defaultRowHeight="15.5"/>
  <sheetData>
    <row r="1" spans="1:6">
      <c r="A1" s="49" t="s">
        <v>0</v>
      </c>
      <c r="B1" s="49" t="s">
        <v>12</v>
      </c>
      <c r="C1" s="49" t="s">
        <v>33</v>
      </c>
      <c r="D1" s="49" t="s">
        <v>35</v>
      </c>
      <c r="E1" s="49" t="s">
        <v>22</v>
      </c>
      <c r="F1" s="49" t="s">
        <v>45</v>
      </c>
    </row>
    <row r="2" spans="1:6">
      <c r="A2">
        <v>2020</v>
      </c>
      <c r="B2" s="39">
        <v>5.0501724539273027</v>
      </c>
      <c r="C2" s="39">
        <v>0.15085370370370368</v>
      </c>
      <c r="D2" s="39">
        <v>6.4424999999999996E-2</v>
      </c>
      <c r="E2" s="39">
        <v>8.6348773999999935</v>
      </c>
      <c r="F2" s="39">
        <v>51.682879978063283</v>
      </c>
    </row>
    <row r="3" spans="1:6">
      <c r="A3">
        <v>2021</v>
      </c>
      <c r="B3" s="39">
        <v>5.0585120097412215</v>
      </c>
      <c r="C3" s="39">
        <v>0.14565185185185184</v>
      </c>
      <c r="D3" s="39">
        <v>6.4424999999999996E-2</v>
      </c>
      <c r="E3" s="39">
        <v>8.4137129999999729</v>
      </c>
      <c r="F3" s="39">
        <v>51.597533929758356</v>
      </c>
    </row>
    <row r="4" spans="1:6">
      <c r="A4">
        <v>2022</v>
      </c>
      <c r="B4" s="39">
        <v>5.0623497984051262</v>
      </c>
      <c r="C4" s="39">
        <v>0.14044999999999999</v>
      </c>
      <c r="D4" s="39">
        <v>0.06</v>
      </c>
      <c r="E4" s="39">
        <v>8.1925486000000092</v>
      </c>
      <c r="F4" s="39">
        <v>51.55838794563897</v>
      </c>
    </row>
    <row r="5" spans="1:6">
      <c r="A5">
        <v>2023</v>
      </c>
      <c r="B5" s="39">
        <v>5.0616571813059812</v>
      </c>
      <c r="C5" s="39">
        <v>0.13524814814814815</v>
      </c>
      <c r="D5" s="39">
        <v>0.06</v>
      </c>
      <c r="E5" s="39">
        <v>7.9713841999999886</v>
      </c>
      <c r="F5" s="39">
        <v>51.565442025763332</v>
      </c>
    </row>
    <row r="6" spans="1:6">
      <c r="A6">
        <v>2024</v>
      </c>
      <c r="B6" s="39">
        <v>5.0564297613191522</v>
      </c>
      <c r="C6" s="39">
        <v>0.1300462962962963</v>
      </c>
      <c r="D6" s="39">
        <v>0.06</v>
      </c>
      <c r="E6" s="39">
        <v>7.750219799999968</v>
      </c>
      <c r="F6" s="39">
        <v>51.618696170131443</v>
      </c>
    </row>
    <row r="7" spans="1:6">
      <c r="A7">
        <v>2025</v>
      </c>
      <c r="B7" s="39">
        <v>5.0333878029131407</v>
      </c>
      <c r="C7" s="39">
        <v>0.12484444444444445</v>
      </c>
      <c r="D7" s="39">
        <v>0.05</v>
      </c>
      <c r="E7" s="39">
        <v>7.5290554000000043</v>
      </c>
      <c r="F7" s="39">
        <v>51.718150378757855</v>
      </c>
    </row>
    <row r="8" spans="1:6">
      <c r="A8">
        <v>2026</v>
      </c>
      <c r="B8" s="39">
        <v>5.0192122294458379</v>
      </c>
      <c r="C8" s="39">
        <v>0.11964259259259261</v>
      </c>
      <c r="D8" s="39">
        <v>0.05</v>
      </c>
      <c r="E8" s="39">
        <v>7.3078909999999837</v>
      </c>
      <c r="F8" s="39">
        <v>51.86380465158436</v>
      </c>
    </row>
    <row r="9" spans="1:6">
      <c r="A9">
        <v>2027</v>
      </c>
      <c r="B9" s="39">
        <v>5.000645183673468</v>
      </c>
      <c r="C9" s="39">
        <v>0.11444074074074076</v>
      </c>
      <c r="D9" s="39">
        <v>0.05</v>
      </c>
      <c r="E9" s="39">
        <v>7.0867265999999631</v>
      </c>
      <c r="F9" s="39">
        <v>52.055658988654613</v>
      </c>
    </row>
    <row r="10" spans="1:6">
      <c r="A10">
        <v>2028</v>
      </c>
      <c r="B10" s="39">
        <v>4.9777768612166264</v>
      </c>
      <c r="C10" s="39">
        <v>0.10923888888888891</v>
      </c>
      <c r="D10" s="39">
        <v>0.04</v>
      </c>
      <c r="E10" s="39">
        <v>6.8655621999999994</v>
      </c>
      <c r="F10" s="39">
        <v>52.293713389983168</v>
      </c>
    </row>
    <row r="11" spans="1:6">
      <c r="A11">
        <v>2029</v>
      </c>
      <c r="B11" s="39">
        <v>4.9507190141150765</v>
      </c>
      <c r="C11" s="39">
        <v>0.10403703703703707</v>
      </c>
      <c r="D11" s="39">
        <v>0.04</v>
      </c>
      <c r="E11" s="39">
        <v>6.6443977999999788</v>
      </c>
      <c r="F11" s="39">
        <v>52.577967855526367</v>
      </c>
    </row>
    <row r="12" spans="1:6">
      <c r="A12">
        <v>2030</v>
      </c>
      <c r="B12" s="39">
        <v>3.6286806202135429</v>
      </c>
      <c r="C12" s="39">
        <v>9.883518518518522E-2</v>
      </c>
      <c r="D12" s="39">
        <v>0.04</v>
      </c>
      <c r="E12" s="39">
        <v>6.4232333999999582</v>
      </c>
      <c r="F12" s="39">
        <v>52.908422385313315</v>
      </c>
    </row>
    <row r="13" spans="1:6">
      <c r="A13">
        <v>2031</v>
      </c>
      <c r="B13" s="39">
        <v>3.6028480747651082</v>
      </c>
      <c r="C13" s="39">
        <v>9.3633333333333374E-2</v>
      </c>
      <c r="D13" s="39">
        <v>0.04</v>
      </c>
      <c r="E13" s="39">
        <v>6.2020689999999945</v>
      </c>
      <c r="F13" s="39">
        <v>53.285076979344012</v>
      </c>
    </row>
    <row r="14" spans="1:6">
      <c r="A14">
        <v>2032</v>
      </c>
      <c r="B14" s="39">
        <v>3.5742569348478721</v>
      </c>
      <c r="C14" s="39">
        <v>8.8431481481481528E-2</v>
      </c>
      <c r="D14" s="39">
        <v>0.03</v>
      </c>
      <c r="E14" s="39">
        <v>5.9809045999999739</v>
      </c>
      <c r="F14" s="39">
        <v>53.707931637603906</v>
      </c>
    </row>
    <row r="15" spans="1:6">
      <c r="A15">
        <v>2033</v>
      </c>
      <c r="B15" s="39">
        <v>3.5430413947310018</v>
      </c>
      <c r="C15" s="39">
        <v>8.3229629629629681E-2</v>
      </c>
      <c r="D15" s="39">
        <v>0.03</v>
      </c>
      <c r="E15" s="39">
        <v>5.7597402000000102</v>
      </c>
      <c r="F15" s="39">
        <v>54.176986360078445</v>
      </c>
    </row>
    <row r="16" spans="1:6">
      <c r="A16">
        <v>2034</v>
      </c>
      <c r="B16" s="39">
        <v>3.509345001466416</v>
      </c>
      <c r="C16" s="39">
        <v>7.8027777777777835E-2</v>
      </c>
      <c r="D16" s="39">
        <v>0.03</v>
      </c>
      <c r="E16" s="39">
        <v>5.5385757999999896</v>
      </c>
      <c r="F16" s="39">
        <v>54.692241146825836</v>
      </c>
    </row>
    <row r="17" spans="1:6">
      <c r="A17">
        <v>2035</v>
      </c>
      <c r="B17" s="39">
        <v>2.0724861875419291</v>
      </c>
      <c r="C17" s="39">
        <v>7.2825925925925988E-2</v>
      </c>
      <c r="D17" s="39">
        <v>0.02</v>
      </c>
      <c r="E17" s="39">
        <v>5.317411399999969</v>
      </c>
      <c r="F17" s="39">
        <v>55.253695997787872</v>
      </c>
    </row>
    <row r="18" spans="1:6">
      <c r="A18">
        <v>2036</v>
      </c>
      <c r="B18" s="39">
        <v>2.0496939309193816</v>
      </c>
      <c r="C18" s="39">
        <v>6.7624074074074142E-2</v>
      </c>
      <c r="D18" s="39">
        <v>0.02</v>
      </c>
      <c r="E18" s="39">
        <v>5.0962470000000053</v>
      </c>
      <c r="F18" s="39">
        <v>55.861350912979105</v>
      </c>
    </row>
    <row r="19" spans="1:6">
      <c r="A19">
        <v>2037</v>
      </c>
      <c r="B19" s="39">
        <v>2.0257023417221078</v>
      </c>
      <c r="C19" s="39">
        <v>6.2422222222222289E-2</v>
      </c>
      <c r="D19" s="39">
        <v>0.02</v>
      </c>
      <c r="E19" s="39">
        <v>4.8750825999999847</v>
      </c>
      <c r="F19" s="39">
        <v>56.515205892443191</v>
      </c>
    </row>
    <row r="20" spans="1:6">
      <c r="A20">
        <v>2038</v>
      </c>
      <c r="B20" s="39">
        <v>2.0006099242232889</v>
      </c>
      <c r="C20" s="39">
        <v>5.7220370370370435E-2</v>
      </c>
      <c r="D20" s="39">
        <v>0.01</v>
      </c>
      <c r="E20" s="39">
        <v>4.6539181999999641</v>
      </c>
      <c r="F20" s="39">
        <v>57.21526093610737</v>
      </c>
    </row>
    <row r="21" spans="1:6">
      <c r="A21">
        <v>2039</v>
      </c>
      <c r="B21" s="39">
        <v>1.9745160927799437</v>
      </c>
      <c r="C21" s="39">
        <v>5.2018518518518582E-2</v>
      </c>
      <c r="D21" s="39">
        <v>0.01</v>
      </c>
      <c r="E21" s="39">
        <v>4.4327538000000004</v>
      </c>
      <c r="F21" s="39">
        <v>57.961516044000746</v>
      </c>
    </row>
    <row r="22" spans="1:6">
      <c r="A22">
        <v>2040</v>
      </c>
      <c r="B22" s="39">
        <v>1.4292619425998181</v>
      </c>
      <c r="C22" s="39">
        <v>4.6816666666666729E-2</v>
      </c>
      <c r="D22" s="39">
        <v>0.01</v>
      </c>
      <c r="E22" s="39">
        <v>4.2115893999999798</v>
      </c>
      <c r="F22" s="39">
        <v>58.75397121613787</v>
      </c>
    </row>
    <row r="23" spans="1:6">
      <c r="A23">
        <v>2041</v>
      </c>
      <c r="B23" s="39">
        <v>1.4088606320577044</v>
      </c>
      <c r="C23" s="39">
        <v>4.1614814814814875E-2</v>
      </c>
      <c r="D23" s="39">
        <v>0</v>
      </c>
      <c r="E23" s="39">
        <v>3.9904249999999593</v>
      </c>
      <c r="F23" s="39">
        <v>59.592626452547847</v>
      </c>
    </row>
    <row r="24" spans="1:6">
      <c r="A24">
        <v>2042</v>
      </c>
      <c r="B24" s="39">
        <v>1.3879413023971838</v>
      </c>
      <c r="C24" s="39">
        <v>3.6412962962963022E-2</v>
      </c>
      <c r="D24" s="39">
        <v>0</v>
      </c>
      <c r="E24" s="39">
        <v>3.7692605999999955</v>
      </c>
      <c r="F24" s="39">
        <v>60.477481753157917</v>
      </c>
    </row>
    <row r="25" spans="1:6">
      <c r="A25">
        <v>2043</v>
      </c>
      <c r="B25" s="39">
        <v>1.3665738420099725</v>
      </c>
      <c r="C25" s="39">
        <v>3.1211111111111172E-2</v>
      </c>
      <c r="D25" s="39">
        <v>0</v>
      </c>
      <c r="E25" s="39">
        <v>3.5480961999999749</v>
      </c>
      <c r="F25" s="39">
        <v>61.408537117997184</v>
      </c>
    </row>
    <row r="26" spans="1:6">
      <c r="A26">
        <v>2044</v>
      </c>
      <c r="B26" s="39">
        <v>1.3448261865688291</v>
      </c>
      <c r="C26" s="39">
        <v>2.6009259259259322E-2</v>
      </c>
      <c r="D26" s="39">
        <v>0</v>
      </c>
      <c r="E26" s="39">
        <v>3.3269318000000112</v>
      </c>
      <c r="F26" s="39">
        <v>62.385792547109304</v>
      </c>
    </row>
    <row r="27" spans="1:6">
      <c r="A27">
        <v>2045</v>
      </c>
      <c r="B27" s="39">
        <v>0.953614705208645</v>
      </c>
      <c r="C27" s="39">
        <v>2.0807407407407472E-2</v>
      </c>
      <c r="D27" s="39">
        <v>0</v>
      </c>
      <c r="E27" s="39">
        <v>3.1057673999999906</v>
      </c>
      <c r="F27" s="39">
        <v>63.409248040421517</v>
      </c>
    </row>
    <row r="28" spans="1:6">
      <c r="A28">
        <v>2046</v>
      </c>
      <c r="B28" s="39">
        <v>0.93752810426767064</v>
      </c>
      <c r="C28" s="39">
        <v>1.5605555555555622E-2</v>
      </c>
      <c r="D28" s="39">
        <v>0</v>
      </c>
      <c r="E28" s="39">
        <v>2.8846029999999701</v>
      </c>
      <c r="F28" s="39">
        <v>64.478903597977478</v>
      </c>
    </row>
    <row r="29" spans="1:6">
      <c r="A29">
        <v>2047</v>
      </c>
      <c r="B29" s="39">
        <v>0.92130347966365123</v>
      </c>
      <c r="C29" s="39">
        <v>1.0403703703703773E-2</v>
      </c>
      <c r="D29" s="39">
        <v>0</v>
      </c>
      <c r="E29" s="39">
        <v>2.6634386000000063</v>
      </c>
      <c r="F29" s="39">
        <v>65.59475921979174</v>
      </c>
    </row>
    <row r="30" spans="1:6">
      <c r="A30">
        <v>2048</v>
      </c>
      <c r="B30" s="39">
        <v>0.90498196313038626</v>
      </c>
      <c r="C30" s="39">
        <v>5.2018518518519219E-3</v>
      </c>
      <c r="D30" s="39">
        <v>0</v>
      </c>
      <c r="E30" s="39">
        <v>2.4422741999999857</v>
      </c>
      <c r="F30" s="39">
        <v>66.756814905820647</v>
      </c>
    </row>
    <row r="31" spans="1:6">
      <c r="A31">
        <v>2049</v>
      </c>
      <c r="B31" s="39">
        <v>0.88860236709401486</v>
      </c>
      <c r="C31" s="39">
        <v>7.1123662515049091E-17</v>
      </c>
      <c r="D31" s="39">
        <v>0</v>
      </c>
      <c r="E31" s="39">
        <v>2.2211097999999652</v>
      </c>
      <c r="F31" s="39">
        <v>67.965070656078751</v>
      </c>
    </row>
    <row r="32" spans="1:6">
      <c r="A32">
        <v>2050</v>
      </c>
      <c r="B32" s="39">
        <v>0.87220111281079926</v>
      </c>
      <c r="C32" s="39">
        <v>0</v>
      </c>
      <c r="D32" s="39">
        <v>0</v>
      </c>
      <c r="E32" s="39">
        <v>1.9999454000000014</v>
      </c>
      <c r="F32" s="39">
        <v>69.219526470609708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32"/>
  <sheetViews>
    <sheetView zoomScale="40" zoomScaleNormal="40" workbookViewId="0"/>
  </sheetViews>
  <sheetFormatPr baseColWidth="10" defaultColWidth="11" defaultRowHeight="15.5"/>
  <sheetData>
    <row r="1" spans="1:5">
      <c r="A1" s="49" t="s">
        <v>0</v>
      </c>
      <c r="B1" s="49" t="s">
        <v>12</v>
      </c>
      <c r="C1" s="49" t="s">
        <v>46</v>
      </c>
      <c r="D1" s="49" t="s">
        <v>35</v>
      </c>
      <c r="E1" s="49" t="s">
        <v>45</v>
      </c>
    </row>
    <row r="2" spans="1:5">
      <c r="A2">
        <v>2020</v>
      </c>
      <c r="B2">
        <v>3.9814400729869508</v>
      </c>
      <c r="C2">
        <v>57.801321819948498</v>
      </c>
      <c r="D2">
        <v>6.4424999999999996E-2</v>
      </c>
      <c r="E2">
        <v>43.09484536742093</v>
      </c>
    </row>
    <row r="3" spans="1:5">
      <c r="A3">
        <v>2021</v>
      </c>
      <c r="B3">
        <v>3.482241396385561</v>
      </c>
      <c r="C3">
        <v>54.753947099961806</v>
      </c>
      <c r="D3">
        <v>6.4424999999999996E-2</v>
      </c>
      <c r="E3">
        <v>48.498138995200861</v>
      </c>
    </row>
    <row r="4" spans="1:5">
      <c r="A4">
        <v>2022</v>
      </c>
      <c r="B4">
        <v>3.1056070364246908</v>
      </c>
      <c r="C4">
        <v>51.797865619970253</v>
      </c>
      <c r="D4">
        <v>0.06</v>
      </c>
      <c r="E4">
        <v>53.743629890435841</v>
      </c>
    </row>
    <row r="5" spans="1:5">
      <c r="A5">
        <v>2023</v>
      </c>
      <c r="B5">
        <v>2.8116120050247635</v>
      </c>
      <c r="C5">
        <v>48.933077380002942</v>
      </c>
      <c r="D5">
        <v>0.06</v>
      </c>
      <c r="E5">
        <v>58.831318053125869</v>
      </c>
    </row>
    <row r="6" spans="1:5">
      <c r="A6">
        <v>2024</v>
      </c>
      <c r="B6">
        <v>2.5760074746942987</v>
      </c>
      <c r="C6">
        <v>46.159582379943458</v>
      </c>
      <c r="D6">
        <v>0.06</v>
      </c>
      <c r="E6">
        <v>63.761203483212739</v>
      </c>
    </row>
    <row r="7" spans="1:5">
      <c r="A7">
        <v>2025</v>
      </c>
      <c r="B7">
        <v>2.5642687064551857</v>
      </c>
      <c r="C7">
        <v>43.477380619966425</v>
      </c>
      <c r="D7">
        <v>0.05</v>
      </c>
      <c r="E7">
        <v>68.533286180812865</v>
      </c>
    </row>
    <row r="8" spans="1:5">
      <c r="A8">
        <v>2026</v>
      </c>
      <c r="B8">
        <v>2.3916189711718543</v>
      </c>
      <c r="C8">
        <v>40.88647209998453</v>
      </c>
      <c r="D8">
        <v>0.05</v>
      </c>
      <c r="E8">
        <v>73.147566145868041</v>
      </c>
    </row>
    <row r="9" spans="1:5">
      <c r="A9">
        <v>2027</v>
      </c>
      <c r="B9">
        <v>2.2459108354751347</v>
      </c>
      <c r="C9">
        <v>38.386856819997774</v>
      </c>
      <c r="D9">
        <v>0.05</v>
      </c>
      <c r="E9">
        <v>77.604043378378265</v>
      </c>
    </row>
    <row r="10" spans="1:5">
      <c r="A10">
        <v>2028</v>
      </c>
      <c r="B10">
        <v>2.1215044357907784</v>
      </c>
      <c r="C10">
        <v>35.97853477994795</v>
      </c>
      <c r="D10">
        <v>0.04</v>
      </c>
      <c r="E10">
        <v>81.902717878343537</v>
      </c>
    </row>
    <row r="11" spans="1:5">
      <c r="A11">
        <v>2029</v>
      </c>
      <c r="B11">
        <v>2.0142445297682228</v>
      </c>
      <c r="C11">
        <v>33.661505979951471</v>
      </c>
      <c r="D11">
        <v>0.04</v>
      </c>
      <c r="E11">
        <v>86.043589645763859</v>
      </c>
    </row>
    <row r="12" spans="1:5">
      <c r="A12">
        <v>2030</v>
      </c>
      <c r="B12">
        <v>1.4763613262441551</v>
      </c>
      <c r="C12">
        <v>31.435770419979235</v>
      </c>
      <c r="D12">
        <v>0.04</v>
      </c>
      <c r="E12">
        <v>90.02665868063923</v>
      </c>
    </row>
    <row r="13" spans="1:5">
      <c r="A13">
        <v>2031</v>
      </c>
      <c r="B13">
        <v>1.4136301828924107</v>
      </c>
      <c r="C13">
        <v>29.301328099973034</v>
      </c>
      <c r="D13">
        <v>0.04</v>
      </c>
      <c r="E13">
        <v>93.851924982853234</v>
      </c>
    </row>
    <row r="14" spans="1:5">
      <c r="A14">
        <v>2032</v>
      </c>
      <c r="B14">
        <v>1.358389577034443</v>
      </c>
      <c r="C14">
        <v>27.258179019991076</v>
      </c>
      <c r="D14">
        <v>0.03</v>
      </c>
      <c r="E14">
        <v>97.51938855269691</v>
      </c>
    </row>
    <row r="15" spans="1:5">
      <c r="A15">
        <v>2033</v>
      </c>
      <c r="B15">
        <v>1.3095019991795298</v>
      </c>
      <c r="C15">
        <v>25.306323179946048</v>
      </c>
      <c r="D15">
        <v>0.03</v>
      </c>
      <c r="E15">
        <v>101.02904938993743</v>
      </c>
    </row>
    <row r="16" spans="1:5">
      <c r="A16">
        <v>2034</v>
      </c>
      <c r="B16">
        <v>1.2660564266875638</v>
      </c>
      <c r="C16">
        <v>23.445760579954367</v>
      </c>
      <c r="D16">
        <v>0.03</v>
      </c>
      <c r="E16">
        <v>104.38090749463299</v>
      </c>
    </row>
    <row r="17" spans="1:5">
      <c r="A17">
        <v>2035</v>
      </c>
      <c r="B17">
        <v>0.74768495427558423</v>
      </c>
      <c r="C17">
        <v>21.676491219986929</v>
      </c>
      <c r="D17">
        <v>0.02</v>
      </c>
      <c r="E17">
        <v>107.57496286678361</v>
      </c>
    </row>
    <row r="18" spans="1:5">
      <c r="A18">
        <v>2036</v>
      </c>
      <c r="B18">
        <v>0.72658189873590928</v>
      </c>
      <c r="C18">
        <v>19.998515099985525</v>
      </c>
      <c r="D18">
        <v>0.02</v>
      </c>
      <c r="E18">
        <v>110.61121550644748</v>
      </c>
    </row>
    <row r="19" spans="1:5">
      <c r="A19">
        <v>2037</v>
      </c>
      <c r="B19">
        <v>0.70767396440653318</v>
      </c>
      <c r="C19">
        <v>18.411832219950156</v>
      </c>
      <c r="D19">
        <v>0.02</v>
      </c>
      <c r="E19">
        <v>113.48966541350819</v>
      </c>
    </row>
    <row r="20" spans="1:5">
      <c r="A20">
        <v>2038</v>
      </c>
      <c r="B20">
        <v>0.69070914946374928</v>
      </c>
      <c r="C20">
        <v>16.916442579968134</v>
      </c>
      <c r="D20">
        <v>0.01</v>
      </c>
      <c r="E20">
        <v>116.21031258790754</v>
      </c>
    </row>
    <row r="21" spans="1:5">
      <c r="A21">
        <v>2039</v>
      </c>
      <c r="B21">
        <v>0.67547659337383681</v>
      </c>
      <c r="C21">
        <v>15.51234617998125</v>
      </c>
      <c r="D21">
        <v>0.01</v>
      </c>
      <c r="E21">
        <v>118.77315702987835</v>
      </c>
    </row>
    <row r="22" spans="1:5">
      <c r="A22">
        <v>2040</v>
      </c>
      <c r="B22">
        <v>0.48894662928117916</v>
      </c>
      <c r="C22">
        <v>14.199543019989505</v>
      </c>
      <c r="D22">
        <v>0.01</v>
      </c>
      <c r="E22">
        <v>121.17819873936241</v>
      </c>
    </row>
    <row r="23" spans="1:5">
      <c r="A23">
        <v>2041</v>
      </c>
      <c r="B23">
        <v>0.47987915729062308</v>
      </c>
      <c r="C23">
        <v>12.978033099992899</v>
      </c>
      <c r="D23">
        <v>0</v>
      </c>
      <c r="E23">
        <v>123.42543771624332</v>
      </c>
    </row>
    <row r="24" spans="1:5">
      <c r="A24">
        <v>2042</v>
      </c>
      <c r="B24">
        <v>0.47175541130498988</v>
      </c>
      <c r="C24">
        <v>11.847816419962328</v>
      </c>
      <c r="D24">
        <v>0</v>
      </c>
      <c r="E24">
        <v>125.51487396063749</v>
      </c>
    </row>
    <row r="25" spans="1:5">
      <c r="A25">
        <v>2043</v>
      </c>
      <c r="B25">
        <v>0.46449524736512687</v>
      </c>
      <c r="C25">
        <v>10.808892979955999</v>
      </c>
      <c r="D25">
        <v>0</v>
      </c>
      <c r="E25">
        <v>127.44650747242849</v>
      </c>
    </row>
    <row r="26" spans="1:5">
      <c r="A26">
        <v>2044</v>
      </c>
      <c r="B26">
        <v>0.45803029212288121</v>
      </c>
      <c r="C26">
        <v>9.861262779973913</v>
      </c>
      <c r="D26">
        <v>0</v>
      </c>
      <c r="E26">
        <v>129.22033825167455</v>
      </c>
    </row>
    <row r="27" spans="1:5">
      <c r="A27">
        <v>2045</v>
      </c>
      <c r="B27">
        <v>0.32622900103013741</v>
      </c>
      <c r="C27">
        <v>9.0049258199869655</v>
      </c>
      <c r="D27">
        <v>0</v>
      </c>
      <c r="E27">
        <v>130.83636629831744</v>
      </c>
    </row>
    <row r="28" spans="1:5">
      <c r="A28">
        <v>2046</v>
      </c>
      <c r="B28">
        <v>0.32259304414006795</v>
      </c>
      <c r="C28">
        <v>8.2398820999369491</v>
      </c>
      <c r="D28">
        <v>0</v>
      </c>
      <c r="E28">
        <v>132.2945916124736</v>
      </c>
    </row>
    <row r="29" spans="1:5">
      <c r="A29">
        <v>2047</v>
      </c>
      <c r="B29">
        <v>0.31942203560392107</v>
      </c>
      <c r="C29">
        <v>7.5661316199693829</v>
      </c>
      <c r="D29">
        <v>0</v>
      </c>
      <c r="E29">
        <v>133.595014194143</v>
      </c>
    </row>
    <row r="30" spans="1:5">
      <c r="A30">
        <v>2048</v>
      </c>
      <c r="B30">
        <v>0.31669006270574246</v>
      </c>
      <c r="C30">
        <v>6.9836743799678516</v>
      </c>
      <c r="D30">
        <v>0</v>
      </c>
      <c r="E30">
        <v>134.73763404320925</v>
      </c>
    </row>
    <row r="31" spans="1:5">
      <c r="A31">
        <v>2049</v>
      </c>
      <c r="B31">
        <v>0.31437532861827289</v>
      </c>
      <c r="C31">
        <v>6.4925103799905628</v>
      </c>
      <c r="D31">
        <v>0</v>
      </c>
      <c r="E31">
        <v>135.72245115973055</v>
      </c>
    </row>
    <row r="32" spans="1:5">
      <c r="A32">
        <v>2050</v>
      </c>
      <c r="B32">
        <v>0.31245970657835764</v>
      </c>
      <c r="C32">
        <v>6.0926396199793089</v>
      </c>
      <c r="D32">
        <v>0</v>
      </c>
      <c r="E32">
        <v>136.54946554376511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3:I46"/>
  <sheetViews>
    <sheetView zoomScale="70" zoomScaleNormal="70" workbookViewId="0"/>
  </sheetViews>
  <sheetFormatPr baseColWidth="10" defaultColWidth="8" defaultRowHeight="14.5"/>
  <cols>
    <col min="1" max="1" width="8" style="52"/>
    <col min="2" max="2" width="18.75" style="58" customWidth="1"/>
    <col min="3" max="3" width="17.83203125" style="52" customWidth="1"/>
    <col min="4" max="4" width="15.4140625" style="52" bestFit="1" customWidth="1"/>
    <col min="5" max="8" width="18.08203125" style="52" bestFit="1" customWidth="1"/>
    <col min="9" max="9" width="18.1640625" style="52" bestFit="1" customWidth="1"/>
    <col min="10" max="16384" width="8" style="52"/>
  </cols>
  <sheetData>
    <row r="3" spans="2:9">
      <c r="B3" s="275" t="s">
        <v>69</v>
      </c>
      <c r="C3" s="275"/>
      <c r="D3" s="275"/>
      <c r="E3" s="275"/>
      <c r="F3" s="275"/>
      <c r="G3" s="275"/>
      <c r="H3" s="275"/>
      <c r="I3" s="275"/>
    </row>
    <row r="4" spans="2:9">
      <c r="B4" s="89"/>
      <c r="C4" s="89" t="s">
        <v>12</v>
      </c>
      <c r="D4" s="89" t="s">
        <v>35</v>
      </c>
      <c r="E4" s="89" t="s">
        <v>30</v>
      </c>
      <c r="F4" s="89" t="s">
        <v>33</v>
      </c>
      <c r="G4" s="89" t="s">
        <v>70</v>
      </c>
      <c r="H4" s="90" t="s">
        <v>68</v>
      </c>
      <c r="I4" s="91" t="s">
        <v>36</v>
      </c>
    </row>
    <row r="5" spans="2:9">
      <c r="B5" s="92" t="s">
        <v>39</v>
      </c>
      <c r="C5" s="93">
        <v>0</v>
      </c>
      <c r="D5" s="93">
        <v>0</v>
      </c>
      <c r="E5" s="93">
        <v>541050209.23723996</v>
      </c>
      <c r="F5" s="93">
        <v>12431686447.900581</v>
      </c>
      <c r="G5" s="93">
        <v>18832794564.48</v>
      </c>
      <c r="H5" s="94">
        <v>29878445056.476948</v>
      </c>
      <c r="I5" s="95"/>
    </row>
    <row r="6" spans="2:9">
      <c r="B6" s="92" t="s">
        <v>40</v>
      </c>
      <c r="C6" s="93">
        <v>2708796762.0999999</v>
      </c>
      <c r="D6" s="93">
        <v>538245.92687500012</v>
      </c>
      <c r="E6" s="93">
        <v>14925885742.688</v>
      </c>
      <c r="F6" s="93">
        <v>4829267717.3941088</v>
      </c>
      <c r="G6" s="93">
        <v>0</v>
      </c>
      <c r="H6" s="94">
        <v>0</v>
      </c>
      <c r="I6" s="95"/>
    </row>
    <row r="7" spans="2:9">
      <c r="B7" s="92" t="s">
        <v>38</v>
      </c>
      <c r="C7" s="93">
        <v>198365014.89749998</v>
      </c>
      <c r="D7" s="93">
        <v>622715848.08333337</v>
      </c>
      <c r="E7" s="93">
        <v>4667065277.2339993</v>
      </c>
      <c r="F7" s="93">
        <v>16814982.760144386</v>
      </c>
      <c r="G7" s="93">
        <v>0</v>
      </c>
      <c r="H7" s="94">
        <v>0</v>
      </c>
      <c r="I7" s="95"/>
    </row>
    <row r="8" spans="2:9">
      <c r="B8" s="92" t="s">
        <v>71</v>
      </c>
      <c r="C8" s="93">
        <v>121691271.97039999</v>
      </c>
      <c r="D8" s="93">
        <v>1706070.8166666669</v>
      </c>
      <c r="E8" s="93">
        <v>4864873377.6428003</v>
      </c>
      <c r="F8" s="93">
        <v>6201354343.5752678</v>
      </c>
      <c r="G8" s="93">
        <v>0</v>
      </c>
      <c r="H8" s="94">
        <v>0</v>
      </c>
      <c r="I8" s="95"/>
    </row>
    <row r="9" spans="2:9">
      <c r="B9" s="92" t="s">
        <v>62</v>
      </c>
      <c r="C9" s="96">
        <v>3028853048.9678998</v>
      </c>
      <c r="D9" s="96">
        <v>624960164.82687509</v>
      </c>
      <c r="E9" s="96">
        <v>24998874606.80204</v>
      </c>
      <c r="F9" s="96">
        <v>23479123491.6301</v>
      </c>
      <c r="G9" s="96">
        <v>18832794564.48</v>
      </c>
      <c r="H9" s="97">
        <v>29878445056.476948</v>
      </c>
      <c r="I9" s="98">
        <f>SUM(C9:H9)</f>
        <v>100843050933.18385</v>
      </c>
    </row>
    <row r="10" spans="2:9">
      <c r="B10" s="272">
        <v>2030</v>
      </c>
      <c r="C10" s="273"/>
      <c r="D10" s="273"/>
      <c r="E10" s="273"/>
      <c r="F10" s="273"/>
      <c r="G10" s="273"/>
      <c r="H10" s="273"/>
      <c r="I10" s="274"/>
    </row>
    <row r="11" spans="2:9">
      <c r="B11" s="92"/>
      <c r="C11" s="92" t="s">
        <v>12</v>
      </c>
      <c r="D11" s="92" t="s">
        <v>35</v>
      </c>
      <c r="E11" s="92" t="s">
        <v>30</v>
      </c>
      <c r="F11" s="92" t="s">
        <v>33</v>
      </c>
      <c r="G11" s="92" t="s">
        <v>70</v>
      </c>
      <c r="H11" s="99" t="s">
        <v>68</v>
      </c>
      <c r="I11" s="100"/>
    </row>
    <row r="12" spans="2:9">
      <c r="B12" s="92" t="s">
        <v>39</v>
      </c>
      <c r="C12" s="101">
        <v>0</v>
      </c>
      <c r="D12" s="101">
        <v>0</v>
      </c>
      <c r="E12" s="101">
        <v>711692108.13256001</v>
      </c>
      <c r="F12" s="101">
        <v>10195094971.848995</v>
      </c>
      <c r="G12" s="101">
        <v>13283334056.452942</v>
      </c>
      <c r="H12" s="102">
        <v>32294551545.66423</v>
      </c>
      <c r="I12" s="100"/>
    </row>
    <row r="13" spans="2:9">
      <c r="B13" s="92" t="s">
        <v>40</v>
      </c>
      <c r="C13" s="101">
        <v>1820902976.2</v>
      </c>
      <c r="D13" s="101">
        <v>814995.56075000006</v>
      </c>
      <c r="E13" s="101">
        <v>16616739617.592001</v>
      </c>
      <c r="F13" s="101">
        <v>2946186271.8852859</v>
      </c>
      <c r="G13" s="101">
        <v>0</v>
      </c>
      <c r="H13" s="102">
        <v>0</v>
      </c>
      <c r="I13" s="100"/>
    </row>
    <row r="14" spans="2:9">
      <c r="B14" s="92" t="s">
        <v>38</v>
      </c>
      <c r="C14" s="101">
        <v>142187583.63370001</v>
      </c>
      <c r="D14" s="101">
        <v>415143898.62083334</v>
      </c>
      <c r="E14" s="101">
        <v>4789270394.7427998</v>
      </c>
      <c r="F14" s="101">
        <v>11832765.646107828</v>
      </c>
      <c r="G14" s="101">
        <v>0</v>
      </c>
      <c r="H14" s="102">
        <v>0</v>
      </c>
      <c r="I14" s="100"/>
    </row>
    <row r="15" spans="2:9">
      <c r="B15" s="92" t="s">
        <v>71</v>
      </c>
      <c r="C15" s="101">
        <v>57850296.420400001</v>
      </c>
      <c r="D15" s="101">
        <v>1137380.5441666667</v>
      </c>
      <c r="E15" s="101">
        <v>8149213143.7136002</v>
      </c>
      <c r="F15" s="101">
        <v>3763559541.2403684</v>
      </c>
      <c r="G15" s="101">
        <v>0</v>
      </c>
      <c r="H15" s="102">
        <v>0</v>
      </c>
      <c r="I15" s="100"/>
    </row>
    <row r="16" spans="2:9">
      <c r="B16" s="92" t="s">
        <v>62</v>
      </c>
      <c r="C16" s="101">
        <v>2020940856.2541001</v>
      </c>
      <c r="D16" s="101">
        <v>417096274.72575003</v>
      </c>
      <c r="E16" s="101">
        <v>30266915264.180962</v>
      </c>
      <c r="F16" s="101">
        <v>16916673550.620758</v>
      </c>
      <c r="G16" s="101">
        <v>13283334056.452942</v>
      </c>
      <c r="H16" s="102">
        <v>32294551545.66423</v>
      </c>
      <c r="I16" s="103">
        <f t="shared" ref="I16:I37" si="0">SUM(C16:H16)</f>
        <v>95199511547.898743</v>
      </c>
    </row>
    <row r="17" spans="2:9">
      <c r="B17" s="272">
        <v>2035</v>
      </c>
      <c r="C17" s="273"/>
      <c r="D17" s="273"/>
      <c r="E17" s="273"/>
      <c r="F17" s="273"/>
      <c r="G17" s="273"/>
      <c r="H17" s="273"/>
      <c r="I17" s="274"/>
    </row>
    <row r="18" spans="2:9">
      <c r="B18" s="92"/>
      <c r="C18" s="92" t="s">
        <v>12</v>
      </c>
      <c r="D18" s="92" t="s">
        <v>35</v>
      </c>
      <c r="E18" s="92" t="s">
        <v>30</v>
      </c>
      <c r="F18" s="92" t="s">
        <v>33</v>
      </c>
      <c r="G18" s="92" t="s">
        <v>70</v>
      </c>
      <c r="H18" s="99" t="s">
        <v>68</v>
      </c>
      <c r="I18" s="103"/>
    </row>
    <row r="19" spans="2:9">
      <c r="B19" s="92" t="s">
        <v>39</v>
      </c>
      <c r="C19" s="101">
        <v>0</v>
      </c>
      <c r="D19" s="101">
        <v>0</v>
      </c>
      <c r="E19" s="101">
        <v>859884698.6164</v>
      </c>
      <c r="F19" s="101">
        <v>8287342753.4764671</v>
      </c>
      <c r="G19" s="101">
        <v>9883279213.062355</v>
      </c>
      <c r="H19" s="102">
        <v>33804618091.635616</v>
      </c>
      <c r="I19" s="103"/>
    </row>
    <row r="20" spans="2:9">
      <c r="B20" s="92" t="s">
        <v>40</v>
      </c>
      <c r="C20" s="101">
        <v>1022655304</v>
      </c>
      <c r="D20" s="101">
        <v>950785.13895833329</v>
      </c>
      <c r="E20" s="101">
        <v>17673523296.195999</v>
      </c>
      <c r="F20" s="101">
        <v>2036303339.8713534</v>
      </c>
      <c r="G20" s="101">
        <v>0</v>
      </c>
      <c r="H20" s="102">
        <v>0</v>
      </c>
      <c r="I20" s="103"/>
    </row>
    <row r="21" spans="2:9">
      <c r="B21" s="92" t="s">
        <v>38</v>
      </c>
      <c r="C21" s="101">
        <v>81209076.779599994</v>
      </c>
      <c r="D21" s="101">
        <v>207571949.34083337</v>
      </c>
      <c r="E21" s="101">
        <v>5001564561.9200001</v>
      </c>
      <c r="F21" s="101">
        <v>8718879.9501059745</v>
      </c>
      <c r="G21" s="101">
        <v>0</v>
      </c>
      <c r="H21" s="102">
        <v>0</v>
      </c>
      <c r="I21" s="103"/>
    </row>
    <row r="22" spans="2:9">
      <c r="B22" s="92" t="s">
        <v>71</v>
      </c>
      <c r="C22" s="101">
        <v>29297567.927869998</v>
      </c>
      <c r="D22" s="101">
        <v>568690.27216666669</v>
      </c>
      <c r="E22" s="101">
        <v>9737685641.7080002</v>
      </c>
      <c r="F22" s="101">
        <v>2595157181.0593119</v>
      </c>
      <c r="G22" s="101">
        <v>0</v>
      </c>
      <c r="H22" s="102">
        <v>0</v>
      </c>
      <c r="I22" s="103"/>
    </row>
    <row r="23" spans="2:9">
      <c r="B23" s="92" t="s">
        <v>62</v>
      </c>
      <c r="C23" s="101">
        <v>1133161948.7074699</v>
      </c>
      <c r="D23" s="101">
        <v>209091424.75195837</v>
      </c>
      <c r="E23" s="101">
        <v>33272658198.440399</v>
      </c>
      <c r="F23" s="101">
        <v>12927522154.357239</v>
      </c>
      <c r="G23" s="101">
        <v>9883279213.062355</v>
      </c>
      <c r="H23" s="102">
        <v>33804618091.635616</v>
      </c>
      <c r="I23" s="103">
        <f t="shared" si="0"/>
        <v>91230331030.955032</v>
      </c>
    </row>
    <row r="24" spans="2:9">
      <c r="B24" s="272">
        <v>2040</v>
      </c>
      <c r="C24" s="273"/>
      <c r="D24" s="273"/>
      <c r="E24" s="273"/>
      <c r="F24" s="273"/>
      <c r="G24" s="273"/>
      <c r="H24" s="273"/>
      <c r="I24" s="274"/>
    </row>
    <row r="25" spans="2:9">
      <c r="B25" s="92"/>
      <c r="C25" s="92" t="s">
        <v>12</v>
      </c>
      <c r="D25" s="92" t="s">
        <v>35</v>
      </c>
      <c r="E25" s="92" t="s">
        <v>30</v>
      </c>
      <c r="F25" s="92" t="s">
        <v>33</v>
      </c>
      <c r="G25" s="92" t="s">
        <v>70</v>
      </c>
      <c r="H25" s="99" t="s">
        <v>68</v>
      </c>
      <c r="I25" s="103"/>
    </row>
    <row r="26" spans="2:9">
      <c r="B26" s="92" t="s">
        <v>39</v>
      </c>
      <c r="C26" s="104">
        <v>0</v>
      </c>
      <c r="D26" s="104">
        <v>0</v>
      </c>
      <c r="E26" s="104">
        <v>1383878817.4312</v>
      </c>
      <c r="F26" s="104">
        <v>5987373189.4816027</v>
      </c>
      <c r="G26" s="104">
        <v>6535807427.1317654</v>
      </c>
      <c r="H26" s="105">
        <v>35314684653.240067</v>
      </c>
      <c r="I26" s="103"/>
    </row>
    <row r="27" spans="2:9">
      <c r="B27" s="92" t="s">
        <v>40</v>
      </c>
      <c r="C27" s="104">
        <v>706069240.80000007</v>
      </c>
      <c r="D27" s="104">
        <v>969400.95108333346</v>
      </c>
      <c r="E27" s="104">
        <v>18730306965.748001</v>
      </c>
      <c r="F27" s="104">
        <v>1331838080.7890472</v>
      </c>
      <c r="G27" s="104">
        <v>0</v>
      </c>
      <c r="H27" s="105">
        <v>0</v>
      </c>
      <c r="I27" s="103"/>
    </row>
    <row r="28" spans="2:9">
      <c r="B28" s="92" t="s">
        <v>38</v>
      </c>
      <c r="C28" s="104">
        <v>56004736.4987</v>
      </c>
      <c r="D28" s="104">
        <v>103785974.67041668</v>
      </c>
      <c r="E28" s="104">
        <v>5318409474.8344002</v>
      </c>
      <c r="F28" s="104">
        <v>5604994.2541041197</v>
      </c>
      <c r="G28" s="104">
        <v>0</v>
      </c>
      <c r="H28" s="105">
        <v>0</v>
      </c>
      <c r="I28" s="103"/>
    </row>
    <row r="29" spans="2:9">
      <c r="B29" s="92" t="s">
        <v>71</v>
      </c>
      <c r="C29" s="104">
        <v>19159068.272849999</v>
      </c>
      <c r="D29" s="104">
        <v>284345.13608333335</v>
      </c>
      <c r="E29" s="104">
        <v>10969050546.323999</v>
      </c>
      <c r="F29" s="104">
        <v>1700000506.0349803</v>
      </c>
      <c r="G29" s="104">
        <v>0</v>
      </c>
      <c r="H29" s="105">
        <v>0</v>
      </c>
      <c r="I29" s="103"/>
    </row>
    <row r="30" spans="2:9" s="58" customFormat="1">
      <c r="B30" s="92" t="s">
        <v>62</v>
      </c>
      <c r="C30" s="106">
        <v>781233045.57155013</v>
      </c>
      <c r="D30" s="106">
        <v>105039720.75758335</v>
      </c>
      <c r="E30" s="106">
        <v>36401645804.337601</v>
      </c>
      <c r="F30" s="106">
        <v>9024816770.5597343</v>
      </c>
      <c r="G30" s="106">
        <v>6535807427.1317654</v>
      </c>
      <c r="H30" s="107">
        <v>35314684653.240067</v>
      </c>
      <c r="I30" s="103">
        <f t="shared" si="0"/>
        <v>88163227421.598297</v>
      </c>
    </row>
    <row r="31" spans="2:9">
      <c r="B31" s="272">
        <v>2045</v>
      </c>
      <c r="C31" s="273"/>
      <c r="D31" s="273"/>
      <c r="E31" s="273"/>
      <c r="F31" s="273"/>
      <c r="G31" s="273"/>
      <c r="H31" s="273"/>
      <c r="I31" s="274"/>
    </row>
    <row r="32" spans="2:9">
      <c r="B32" s="92"/>
      <c r="C32" s="92" t="s">
        <v>12</v>
      </c>
      <c r="D32" s="92" t="s">
        <v>35</v>
      </c>
      <c r="E32" s="92" t="s">
        <v>30</v>
      </c>
      <c r="F32" s="92" t="s">
        <v>33</v>
      </c>
      <c r="G32" s="92" t="s">
        <v>70</v>
      </c>
      <c r="H32" s="99" t="s">
        <v>68</v>
      </c>
      <c r="I32" s="103"/>
    </row>
    <row r="33" spans="2:9">
      <c r="B33" s="92" t="s">
        <v>39</v>
      </c>
      <c r="C33" s="104">
        <v>0</v>
      </c>
      <c r="D33" s="104">
        <v>0</v>
      </c>
      <c r="E33" s="104">
        <v>2570295997.0380001</v>
      </c>
      <c r="F33" s="104">
        <v>3295186279.8644023</v>
      </c>
      <c r="G33" s="104">
        <v>3240918698.6611767</v>
      </c>
      <c r="H33" s="105">
        <v>36824751199.211449</v>
      </c>
      <c r="I33" s="103"/>
    </row>
    <row r="34" spans="2:9">
      <c r="B34" s="92" t="s">
        <v>40</v>
      </c>
      <c r="C34" s="104">
        <v>450527432.30000001</v>
      </c>
      <c r="D34" s="104">
        <v>926546.55658333329</v>
      </c>
      <c r="E34" s="104">
        <v>19787090644.352001</v>
      </c>
      <c r="F34" s="104">
        <v>832790493.5543828</v>
      </c>
      <c r="G34" s="104">
        <v>0</v>
      </c>
      <c r="H34" s="105">
        <v>0</v>
      </c>
      <c r="I34" s="103"/>
    </row>
    <row r="35" spans="2:9">
      <c r="B35" s="92" t="s">
        <v>38</v>
      </c>
      <c r="C35" s="104">
        <v>37366796.594599999</v>
      </c>
      <c r="D35" s="104">
        <v>0</v>
      </c>
      <c r="E35" s="104">
        <v>5739805132.5808001</v>
      </c>
      <c r="F35" s="104">
        <v>2491108.558102265</v>
      </c>
      <c r="G35" s="104">
        <v>0</v>
      </c>
      <c r="H35" s="105">
        <v>0</v>
      </c>
      <c r="I35" s="103"/>
    </row>
    <row r="36" spans="2:9">
      <c r="B36" s="92" t="s">
        <v>71</v>
      </c>
      <c r="C36" s="104">
        <v>12783079.643619999</v>
      </c>
      <c r="D36" s="104">
        <v>0</v>
      </c>
      <c r="E36" s="104">
        <v>11843307877.476002</v>
      </c>
      <c r="F36" s="104">
        <v>1078089515.3001859</v>
      </c>
      <c r="G36" s="104">
        <v>0</v>
      </c>
      <c r="H36" s="105">
        <v>0</v>
      </c>
      <c r="I36" s="103"/>
    </row>
    <row r="37" spans="2:9" s="58" customFormat="1">
      <c r="B37" s="92" t="s">
        <v>62</v>
      </c>
      <c r="C37" s="106">
        <v>500677308.53822005</v>
      </c>
      <c r="D37" s="106">
        <v>926546.55658333329</v>
      </c>
      <c r="E37" s="106">
        <v>39940499651.4468</v>
      </c>
      <c r="F37" s="106">
        <v>5208557397.2770729</v>
      </c>
      <c r="G37" s="106">
        <v>3240918698.6611767</v>
      </c>
      <c r="H37" s="107">
        <v>36824751199.211449</v>
      </c>
      <c r="I37" s="103">
        <f t="shared" si="0"/>
        <v>85716330801.691315</v>
      </c>
    </row>
    <row r="38" spans="2:9">
      <c r="B38" s="272">
        <v>2050</v>
      </c>
      <c r="C38" s="273"/>
      <c r="D38" s="273"/>
      <c r="E38" s="273"/>
      <c r="F38" s="273"/>
      <c r="G38" s="273"/>
      <c r="H38" s="273"/>
      <c r="I38" s="274"/>
    </row>
    <row r="39" spans="2:9">
      <c r="B39" s="92"/>
      <c r="C39" s="106" t="s">
        <v>12</v>
      </c>
      <c r="D39" s="106" t="s">
        <v>35</v>
      </c>
      <c r="E39" s="106" t="s">
        <v>30</v>
      </c>
      <c r="F39" s="106" t="s">
        <v>33</v>
      </c>
      <c r="G39" s="106" t="s">
        <v>70</v>
      </c>
      <c r="H39" s="107" t="s">
        <v>68</v>
      </c>
      <c r="I39" s="103"/>
    </row>
    <row r="40" spans="2:9">
      <c r="B40" s="92" t="s">
        <v>39</v>
      </c>
      <c r="C40" s="104">
        <v>0</v>
      </c>
      <c r="D40" s="104">
        <v>0</v>
      </c>
      <c r="E40" s="104">
        <v>4705757765.1907997</v>
      </c>
      <c r="F40" s="104">
        <v>210782026.07740441</v>
      </c>
      <c r="G40" s="104">
        <v>0</v>
      </c>
      <c r="H40" s="105">
        <v>38334817760.815903</v>
      </c>
      <c r="I40" s="103"/>
    </row>
    <row r="41" spans="2:9">
      <c r="B41" s="92" t="s">
        <v>40</v>
      </c>
      <c r="C41" s="104">
        <v>427451706</v>
      </c>
      <c r="D41" s="104">
        <v>799520.07479166682</v>
      </c>
      <c r="E41" s="104">
        <v>20843874313.903999</v>
      </c>
      <c r="F41" s="104">
        <v>538119425.35221469</v>
      </c>
      <c r="G41" s="104">
        <v>0</v>
      </c>
      <c r="H41" s="105">
        <v>0</v>
      </c>
      <c r="I41" s="103"/>
    </row>
    <row r="42" spans="2:9">
      <c r="B42" s="92" t="s">
        <v>38</v>
      </c>
      <c r="C42" s="104">
        <v>34176655.819899999</v>
      </c>
      <c r="D42" s="104">
        <v>0</v>
      </c>
      <c r="E42" s="104">
        <v>6265751536.0644007</v>
      </c>
      <c r="F42" s="104">
        <v>0</v>
      </c>
      <c r="G42" s="104">
        <v>0</v>
      </c>
      <c r="H42" s="105">
        <v>0</v>
      </c>
      <c r="I42" s="103"/>
    </row>
    <row r="43" spans="2:9">
      <c r="B43" s="92" t="s">
        <v>71</v>
      </c>
      <c r="C43" s="104">
        <v>12243538.43856</v>
      </c>
      <c r="D43" s="104">
        <v>0</v>
      </c>
      <c r="E43" s="104">
        <v>12360457617.059999</v>
      </c>
      <c r="F43" s="104">
        <v>729424209.07172596</v>
      </c>
      <c r="G43" s="104">
        <v>0</v>
      </c>
      <c r="H43" s="105">
        <v>0</v>
      </c>
      <c r="I43" s="103"/>
    </row>
    <row r="44" spans="2:9" s="58" customFormat="1">
      <c r="B44" s="92" t="s">
        <v>62</v>
      </c>
      <c r="C44" s="106">
        <v>473871900.25845999</v>
      </c>
      <c r="D44" s="106">
        <v>799520.07479166682</v>
      </c>
      <c r="E44" s="106">
        <v>44175841232.2192</v>
      </c>
      <c r="F44" s="106">
        <v>1478325660.5013452</v>
      </c>
      <c r="G44" s="106">
        <v>0</v>
      </c>
      <c r="H44" s="107">
        <v>38334817760.815903</v>
      </c>
      <c r="I44" s="103">
        <f>SUM(C44:H44)</f>
        <v>84463656073.86969</v>
      </c>
    </row>
    <row r="45" spans="2:9">
      <c r="B45" s="108"/>
      <c r="C45" s="109"/>
      <c r="D45" s="109"/>
      <c r="E45" s="109"/>
      <c r="F45" s="109"/>
      <c r="G45" s="109"/>
      <c r="H45" s="109"/>
      <c r="I45" s="109"/>
    </row>
    <row r="46" spans="2:9">
      <c r="B46" s="108"/>
      <c r="C46" s="109"/>
      <c r="D46" s="109"/>
      <c r="E46" s="109"/>
      <c r="F46" s="109"/>
      <c r="G46" s="109"/>
      <c r="H46" s="110" t="s">
        <v>72</v>
      </c>
      <c r="I46" s="111">
        <f>I9-I44</f>
        <v>16379394859.314163</v>
      </c>
    </row>
  </sheetData>
  <mergeCells count="6">
    <mergeCell ref="B38:I38"/>
    <mergeCell ref="B3:I3"/>
    <mergeCell ref="B10:I10"/>
    <mergeCell ref="B17:I17"/>
    <mergeCell ref="B24:I24"/>
    <mergeCell ref="B31:I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4:V40"/>
  <sheetViews>
    <sheetView zoomScale="40" zoomScaleNormal="40" workbookViewId="0"/>
  </sheetViews>
  <sheetFormatPr baseColWidth="10" defaultColWidth="8" defaultRowHeight="14.5"/>
  <cols>
    <col min="1" max="1" width="8" style="52"/>
    <col min="2" max="2" width="12.08203125" style="52" bestFit="1" customWidth="1"/>
    <col min="3" max="3" width="16.6640625" style="52" customWidth="1"/>
    <col min="4" max="4" width="12.6640625" style="52" customWidth="1"/>
    <col min="5" max="5" width="11.1640625" style="52" customWidth="1"/>
    <col min="6" max="6" width="10.5" style="52" customWidth="1"/>
    <col min="7" max="7" width="8" style="52"/>
    <col min="8" max="8" width="9.6640625" style="52" customWidth="1"/>
    <col min="9" max="10" width="8" style="52"/>
    <col min="11" max="11" width="21.58203125" style="52" customWidth="1"/>
    <col min="12" max="13" width="12.4140625" style="52" customWidth="1"/>
    <col min="14" max="14" width="10.75" style="52" bestFit="1" customWidth="1"/>
    <col min="15" max="15" width="10.75" style="52" customWidth="1"/>
    <col min="16" max="16" width="10.75" style="52" bestFit="1" customWidth="1"/>
    <col min="17" max="17" width="11" style="52" customWidth="1"/>
    <col min="18" max="18" width="8" style="52"/>
    <col min="19" max="19" width="30.25" style="52" customWidth="1"/>
    <col min="20" max="20" width="24.6640625" style="52" customWidth="1"/>
    <col min="21" max="21" width="11.9140625" style="52" customWidth="1"/>
    <col min="22" max="22" width="17.1640625" style="52" customWidth="1"/>
    <col min="23" max="16384" width="8" style="52"/>
  </cols>
  <sheetData>
    <row r="4" spans="2:22" ht="14.5" customHeight="1">
      <c r="B4" s="112"/>
      <c r="C4" s="113" t="s">
        <v>73</v>
      </c>
      <c r="D4" s="113" t="s">
        <v>74</v>
      </c>
      <c r="E4" s="113" t="s">
        <v>75</v>
      </c>
      <c r="F4" s="113" t="s">
        <v>76</v>
      </c>
      <c r="G4" s="113" t="s">
        <v>77</v>
      </c>
      <c r="H4" s="113" t="s">
        <v>78</v>
      </c>
      <c r="K4" s="114"/>
      <c r="L4" s="115">
        <v>2030</v>
      </c>
      <c r="M4" s="115">
        <v>2035</v>
      </c>
      <c r="N4" s="115">
        <v>2040</v>
      </c>
      <c r="O4" s="115">
        <v>2045</v>
      </c>
      <c r="P4" s="115">
        <v>2050</v>
      </c>
      <c r="Q4" s="114"/>
      <c r="S4" s="116" t="s">
        <v>0</v>
      </c>
      <c r="T4" s="117" t="s">
        <v>79</v>
      </c>
      <c r="U4" s="117" t="s">
        <v>80</v>
      </c>
      <c r="V4" s="117" t="s">
        <v>81</v>
      </c>
    </row>
    <row r="5" spans="2:22" ht="15" customHeight="1">
      <c r="B5" s="118"/>
      <c r="C5" s="100">
        <v>2030</v>
      </c>
      <c r="D5" s="100">
        <v>5.2</v>
      </c>
      <c r="E5" s="100">
        <v>1.3</v>
      </c>
      <c r="F5" s="100">
        <v>12.5</v>
      </c>
      <c r="G5" s="100">
        <v>2.5</v>
      </c>
      <c r="H5" s="100">
        <v>3</v>
      </c>
      <c r="K5" s="119" t="s">
        <v>76</v>
      </c>
      <c r="L5" s="114" t="s">
        <v>82</v>
      </c>
      <c r="M5" s="114" t="s">
        <v>82</v>
      </c>
      <c r="N5" s="114" t="s">
        <v>82</v>
      </c>
      <c r="O5" s="114" t="s">
        <v>82</v>
      </c>
      <c r="P5" s="114" t="s">
        <v>82</v>
      </c>
      <c r="Q5" s="115" t="s">
        <v>83</v>
      </c>
      <c r="S5" s="120">
        <v>2010</v>
      </c>
      <c r="T5" s="121"/>
      <c r="U5" s="122"/>
      <c r="V5" s="122"/>
    </row>
    <row r="6" spans="2:22">
      <c r="B6" s="123"/>
      <c r="C6" s="100">
        <v>2035</v>
      </c>
      <c r="D6" s="100">
        <v>7.2</v>
      </c>
      <c r="E6" s="100">
        <v>1.8</v>
      </c>
      <c r="F6" s="100">
        <v>15</v>
      </c>
      <c r="G6" s="100">
        <v>3.9</v>
      </c>
      <c r="H6" s="100">
        <v>1.5</v>
      </c>
      <c r="K6" s="124" t="s">
        <v>84</v>
      </c>
      <c r="L6" s="124">
        <f>E15*F5*1000</f>
        <v>34250</v>
      </c>
      <c r="M6" s="124">
        <f>(E15*F6)*1000*0.9</f>
        <v>36990</v>
      </c>
      <c r="N6" s="124">
        <f>(E15*F7)*0.8*1000</f>
        <v>32880</v>
      </c>
      <c r="O6" s="124">
        <f>(E15*F8)*0.7*1000</f>
        <v>28770</v>
      </c>
      <c r="P6" s="124">
        <f>(E15*F9)*1000*0.6</f>
        <v>16440</v>
      </c>
      <c r="Q6" s="125">
        <f>SUM(L6:P6)/1000</f>
        <v>149.33000000000001</v>
      </c>
      <c r="S6" s="120">
        <v>2015</v>
      </c>
      <c r="T6" s="121"/>
      <c r="U6" s="122"/>
      <c r="V6" s="122"/>
    </row>
    <row r="7" spans="2:22">
      <c r="B7" s="123"/>
      <c r="C7" s="100">
        <v>2040</v>
      </c>
      <c r="D7" s="100">
        <v>9.6</v>
      </c>
      <c r="E7" s="100">
        <v>2.4</v>
      </c>
      <c r="F7" s="100">
        <v>15</v>
      </c>
      <c r="G7" s="100">
        <v>0</v>
      </c>
      <c r="H7" s="100">
        <v>3</v>
      </c>
      <c r="K7" s="126" t="s">
        <v>85</v>
      </c>
      <c r="L7" s="126">
        <v>27272</v>
      </c>
      <c r="M7" s="127"/>
      <c r="N7" s="127"/>
      <c r="O7" s="127"/>
      <c r="P7" s="127"/>
      <c r="Q7" s="128">
        <f>(L7*20)/100000</f>
        <v>5.4543999999999997</v>
      </c>
      <c r="S7" s="129">
        <v>2020</v>
      </c>
      <c r="T7" s="130">
        <v>0</v>
      </c>
      <c r="U7" s="130">
        <v>2</v>
      </c>
      <c r="V7" s="130"/>
    </row>
    <row r="8" spans="2:22">
      <c r="B8" s="123"/>
      <c r="C8" s="100">
        <v>2045</v>
      </c>
      <c r="D8" s="100">
        <v>5.6</v>
      </c>
      <c r="E8" s="100">
        <v>1.4</v>
      </c>
      <c r="F8" s="100">
        <v>15</v>
      </c>
      <c r="G8" s="100">
        <v>3.9</v>
      </c>
      <c r="H8" s="100">
        <v>4</v>
      </c>
      <c r="K8" s="126" t="s">
        <v>86</v>
      </c>
      <c r="L8" s="126"/>
      <c r="M8" s="126"/>
      <c r="N8" s="126"/>
      <c r="O8" s="126"/>
      <c r="P8" s="126"/>
      <c r="Q8" s="131"/>
      <c r="S8" s="120">
        <v>2025</v>
      </c>
      <c r="T8" s="121">
        <f t="shared" ref="T8:T13" si="0">SUM(T7:V7)</f>
        <v>2</v>
      </c>
      <c r="U8" s="122">
        <v>3</v>
      </c>
      <c r="V8" s="122"/>
    </row>
    <row r="9" spans="2:22">
      <c r="B9" s="123"/>
      <c r="C9" s="100">
        <v>2050</v>
      </c>
      <c r="D9" s="100">
        <v>2.8</v>
      </c>
      <c r="E9" s="100">
        <v>0.7</v>
      </c>
      <c r="F9" s="100">
        <v>10</v>
      </c>
      <c r="G9" s="100">
        <v>0</v>
      </c>
      <c r="H9" s="100">
        <v>5</v>
      </c>
      <c r="K9" s="126" t="s">
        <v>87</v>
      </c>
      <c r="L9" s="126"/>
      <c r="M9" s="126"/>
      <c r="N9" s="126"/>
      <c r="O9" s="126"/>
      <c r="P9" s="126"/>
      <c r="Q9" s="131"/>
      <c r="S9" s="132">
        <v>2030</v>
      </c>
      <c r="T9" s="121">
        <f t="shared" si="0"/>
        <v>5</v>
      </c>
      <c r="U9" s="122">
        <v>1.5</v>
      </c>
      <c r="V9" s="133">
        <f>-U7</f>
        <v>-2</v>
      </c>
    </row>
    <row r="10" spans="2:22">
      <c r="B10" s="123"/>
      <c r="C10" s="118"/>
      <c r="D10" s="118"/>
      <c r="E10" s="118"/>
      <c r="F10" s="118"/>
      <c r="G10" s="118"/>
      <c r="H10" s="118"/>
      <c r="K10" s="134" t="s">
        <v>88</v>
      </c>
      <c r="L10" s="126">
        <v>105.9</v>
      </c>
      <c r="M10" s="127">
        <f>0.975*L10</f>
        <v>103.2525</v>
      </c>
      <c r="N10" s="127">
        <f>0.975*M10</f>
        <v>100.6711875</v>
      </c>
      <c r="O10" s="127">
        <f t="shared" ref="O10:Q10" si="1">0.975*N10</f>
        <v>98.154407812499997</v>
      </c>
      <c r="P10" s="127">
        <f t="shared" si="1"/>
        <v>95.700547617187496</v>
      </c>
      <c r="Q10" s="127">
        <f t="shared" si="1"/>
        <v>93.308033926757801</v>
      </c>
      <c r="S10" s="120">
        <v>2035</v>
      </c>
      <c r="T10" s="121">
        <f>SUM(T9:V9)</f>
        <v>4.5</v>
      </c>
      <c r="U10" s="122">
        <v>3</v>
      </c>
      <c r="V10" s="133">
        <f>-U8</f>
        <v>-3</v>
      </c>
    </row>
    <row r="11" spans="2:22" ht="15" thickBot="1">
      <c r="B11" s="58" t="s">
        <v>89</v>
      </c>
      <c r="K11" s="135" t="s">
        <v>74</v>
      </c>
      <c r="L11" s="126" t="s">
        <v>82</v>
      </c>
      <c r="M11" s="126" t="s">
        <v>82</v>
      </c>
      <c r="N11" s="126" t="s">
        <v>82</v>
      </c>
      <c r="O11" s="126" t="s">
        <v>82</v>
      </c>
      <c r="P11" s="126" t="s">
        <v>82</v>
      </c>
      <c r="Q11" s="131"/>
      <c r="S11" s="132">
        <v>2040</v>
      </c>
      <c r="T11" s="121">
        <f t="shared" si="0"/>
        <v>4.5</v>
      </c>
      <c r="U11" s="122">
        <v>4</v>
      </c>
      <c r="V11" s="133">
        <f>-U9</f>
        <v>-1.5</v>
      </c>
    </row>
    <row r="12" spans="2:22">
      <c r="B12" s="136" t="s">
        <v>90</v>
      </c>
      <c r="C12" s="137" t="s">
        <v>91</v>
      </c>
      <c r="D12" s="138" t="s">
        <v>92</v>
      </c>
      <c r="E12" s="138">
        <v>0.1</v>
      </c>
      <c r="F12" s="138">
        <v>375</v>
      </c>
      <c r="G12" s="276" t="s">
        <v>93</v>
      </c>
      <c r="H12" s="276"/>
      <c r="I12" s="277"/>
      <c r="K12" s="126" t="s">
        <v>84</v>
      </c>
      <c r="L12" s="126">
        <f>D5*E19*1000</f>
        <v>6116.5</v>
      </c>
      <c r="M12" s="126">
        <f>(E19*D6*1000)*0.9</f>
        <v>7622.1000000000022</v>
      </c>
      <c r="N12" s="126">
        <f>(E19*D7)*0.8*1000</f>
        <v>9033.6</v>
      </c>
      <c r="O12" s="126">
        <f>(E19*D8)*0.7*1000</f>
        <v>4610.8999999999987</v>
      </c>
      <c r="P12" s="126">
        <f>(E19*D9)*0.6*1000</f>
        <v>1976.0999999999997</v>
      </c>
      <c r="Q12" s="131">
        <f>SUM(L12:P12)/1000</f>
        <v>29.359200000000001</v>
      </c>
      <c r="S12" s="120">
        <v>2045</v>
      </c>
      <c r="T12" s="121">
        <f t="shared" si="0"/>
        <v>7</v>
      </c>
      <c r="U12" s="122">
        <v>5</v>
      </c>
      <c r="V12" s="133">
        <f>-U10</f>
        <v>-3</v>
      </c>
    </row>
    <row r="13" spans="2:22">
      <c r="B13" s="139"/>
      <c r="C13" s="109"/>
      <c r="D13" s="109" t="s">
        <v>94</v>
      </c>
      <c r="E13" s="109">
        <v>10</v>
      </c>
      <c r="F13" s="109">
        <f>(F12*E13)/E12</f>
        <v>37500</v>
      </c>
      <c r="G13" s="109">
        <v>1.73</v>
      </c>
      <c r="H13" s="109"/>
      <c r="I13" s="140"/>
      <c r="K13" s="126" t="s">
        <v>85</v>
      </c>
      <c r="L13" s="127">
        <f>E25</f>
        <v>15753.833333333334</v>
      </c>
      <c r="M13" s="127"/>
      <c r="N13" s="127"/>
      <c r="O13" s="127"/>
      <c r="P13" s="127"/>
      <c r="Q13" s="128">
        <f>(L13*20)/100000</f>
        <v>3.1507666666666667</v>
      </c>
      <c r="S13" s="132">
        <v>2050</v>
      </c>
      <c r="T13" s="121">
        <f t="shared" si="0"/>
        <v>9</v>
      </c>
      <c r="U13" s="122"/>
      <c r="V13" s="122"/>
    </row>
    <row r="14" spans="2:22">
      <c r="B14" s="139"/>
      <c r="C14" s="109"/>
      <c r="D14" s="108" t="s">
        <v>95</v>
      </c>
      <c r="E14" s="108">
        <v>3.75</v>
      </c>
      <c r="F14" s="109"/>
      <c r="G14" s="109"/>
      <c r="H14" s="109"/>
      <c r="I14" s="140"/>
      <c r="K14" s="126" t="s">
        <v>86</v>
      </c>
      <c r="L14" s="126"/>
      <c r="M14" s="126"/>
      <c r="N14" s="126"/>
      <c r="O14" s="126"/>
      <c r="P14" s="126"/>
      <c r="Q14" s="131"/>
    </row>
    <row r="15" spans="2:22" ht="15" thickBot="1">
      <c r="B15" s="141"/>
      <c r="C15" s="142" t="s">
        <v>96</v>
      </c>
      <c r="D15" s="142" t="s">
        <v>95</v>
      </c>
      <c r="E15" s="142">
        <f>(E14+G13)/2</f>
        <v>2.74</v>
      </c>
      <c r="F15" s="143"/>
      <c r="G15" s="143"/>
      <c r="H15" s="143"/>
      <c r="I15" s="144"/>
      <c r="K15" s="126" t="s">
        <v>87</v>
      </c>
      <c r="L15" s="126"/>
      <c r="M15" s="126"/>
      <c r="N15" s="126"/>
      <c r="O15" s="126"/>
      <c r="P15" s="126"/>
      <c r="Q15" s="131"/>
    </row>
    <row r="16" spans="2:22" ht="15.5">
      <c r="B16" s="136" t="s">
        <v>90</v>
      </c>
      <c r="C16" s="137" t="s">
        <v>97</v>
      </c>
      <c r="D16" s="138" t="s">
        <v>98</v>
      </c>
      <c r="E16" s="138">
        <f>96/1000</f>
        <v>9.6000000000000002E-2</v>
      </c>
      <c r="F16" s="138">
        <v>150</v>
      </c>
      <c r="G16" s="276" t="s">
        <v>93</v>
      </c>
      <c r="H16" s="276"/>
      <c r="I16" s="277"/>
      <c r="K16" s="134" t="s">
        <v>88</v>
      </c>
      <c r="L16" s="126">
        <v>62.7</v>
      </c>
      <c r="M16" s="127">
        <f>0.975*L16</f>
        <v>61.1325</v>
      </c>
      <c r="N16" s="127">
        <f>0.975*M16</f>
        <v>59.604187500000002</v>
      </c>
      <c r="O16" s="127">
        <f t="shared" ref="O16:Q16" si="2">0.975*N16</f>
        <v>58.114082812500001</v>
      </c>
      <c r="P16" s="127">
        <f t="shared" si="2"/>
        <v>56.661230742187499</v>
      </c>
      <c r="Q16" s="127">
        <f t="shared" si="2"/>
        <v>55.244699973632812</v>
      </c>
      <c r="S16" s="58" t="s">
        <v>99</v>
      </c>
      <c r="T16" s="145">
        <f>Q6+Q12+Q18+Q24+Q30</f>
        <v>235.27872000000005</v>
      </c>
    </row>
    <row r="17" spans="1:22" ht="15.5">
      <c r="B17" s="139"/>
      <c r="C17" s="109"/>
      <c r="D17" s="109" t="s">
        <v>100</v>
      </c>
      <c r="E17" s="109">
        <v>2.8</v>
      </c>
      <c r="F17" s="109">
        <f>(E17*F16)/E16</f>
        <v>4375</v>
      </c>
      <c r="G17" s="109">
        <v>0.79</v>
      </c>
      <c r="H17" s="109"/>
      <c r="I17" s="140"/>
      <c r="K17" s="135" t="s">
        <v>101</v>
      </c>
      <c r="L17" s="126" t="s">
        <v>82</v>
      </c>
      <c r="M17" s="126" t="s">
        <v>82</v>
      </c>
      <c r="N17" s="126" t="s">
        <v>82</v>
      </c>
      <c r="O17" s="126" t="s">
        <v>82</v>
      </c>
      <c r="P17" s="126" t="s">
        <v>82</v>
      </c>
      <c r="Q17" s="131"/>
      <c r="S17" s="58" t="s">
        <v>102</v>
      </c>
      <c r="T17" s="145">
        <f>Q7+Q13+Q19+Q25+Q30</f>
        <v>33.807858333333336</v>
      </c>
    </row>
    <row r="18" spans="1:22" ht="15.5">
      <c r="B18" s="139"/>
      <c r="C18" s="109"/>
      <c r="D18" s="108" t="s">
        <v>95</v>
      </c>
      <c r="E18" s="146">
        <f>150/96</f>
        <v>1.5625</v>
      </c>
      <c r="F18" s="109"/>
      <c r="G18" s="109"/>
      <c r="H18" s="109"/>
      <c r="I18" s="140"/>
      <c r="K18" s="126" t="s">
        <v>103</v>
      </c>
      <c r="L18" s="127">
        <f>E31*E5*1000</f>
        <v>4899.375</v>
      </c>
      <c r="M18" s="127">
        <f>(E31*E6)*0.9*1000</f>
        <v>6105.375</v>
      </c>
      <c r="N18" s="127">
        <f>(E31*E7)*0.9*1000</f>
        <v>8140.4999999999991</v>
      </c>
      <c r="O18" s="127">
        <f>E31*E8*1000*0.7</f>
        <v>3693.3749999999991</v>
      </c>
      <c r="P18" s="127">
        <f>E31*E9*1000*0.6</f>
        <v>1582.8749999999998</v>
      </c>
      <c r="Q18" s="131">
        <f>SUM(L18:P18)/1000</f>
        <v>24.421500000000002</v>
      </c>
      <c r="T18" s="145"/>
    </row>
    <row r="19" spans="1:22" ht="16" thickBot="1">
      <c r="B19" s="141"/>
      <c r="C19" s="142" t="s">
        <v>96</v>
      </c>
      <c r="D19" s="142" t="s">
        <v>95</v>
      </c>
      <c r="E19" s="147">
        <f>(E18+G17)/2</f>
        <v>1.17625</v>
      </c>
      <c r="F19" s="143"/>
      <c r="G19" s="143"/>
      <c r="H19" s="143"/>
      <c r="I19" s="144"/>
      <c r="K19" s="126" t="s">
        <v>85</v>
      </c>
      <c r="L19" s="148">
        <f>(L13*2.5)/1000000</f>
        <v>3.9384583333333334E-2</v>
      </c>
      <c r="M19" s="126"/>
      <c r="N19" s="126"/>
      <c r="O19" s="126"/>
      <c r="P19" s="126"/>
      <c r="Q19" s="128">
        <f>(L19*20)</f>
        <v>0.78769166666666668</v>
      </c>
      <c r="T19" s="145"/>
    </row>
    <row r="20" spans="1:22" ht="15" thickBot="1">
      <c r="E20" s="149"/>
      <c r="H20" s="149"/>
      <c r="I20" s="149"/>
      <c r="K20" s="126" t="s">
        <v>86</v>
      </c>
      <c r="L20" s="126"/>
      <c r="M20" s="126"/>
      <c r="N20" s="126"/>
      <c r="O20" s="126"/>
      <c r="P20" s="126"/>
      <c r="Q20" s="131"/>
      <c r="S20" s="52" t="s">
        <v>104</v>
      </c>
      <c r="T20" s="150">
        <v>0.159</v>
      </c>
      <c r="V20" s="151"/>
    </row>
    <row r="21" spans="1:22" ht="15.5">
      <c r="B21" s="136" t="s">
        <v>105</v>
      </c>
      <c r="C21" s="137" t="s">
        <v>106</v>
      </c>
      <c r="D21" s="138" t="s">
        <v>107</v>
      </c>
      <c r="E21" s="152" t="s">
        <v>108</v>
      </c>
      <c r="F21" s="138">
        <f>0.8*F20</f>
        <v>0</v>
      </c>
      <c r="G21" s="276" t="s">
        <v>109</v>
      </c>
      <c r="H21" s="276"/>
      <c r="I21" s="277"/>
      <c r="K21" s="126" t="s">
        <v>87</v>
      </c>
      <c r="L21" s="126"/>
      <c r="M21" s="126"/>
      <c r="N21" s="126"/>
      <c r="O21" s="126"/>
      <c r="P21" s="126"/>
      <c r="Q21" s="131"/>
      <c r="T21" s="145"/>
    </row>
    <row r="22" spans="1:22" ht="15.5">
      <c r="B22" s="153" t="s">
        <v>110</v>
      </c>
      <c r="C22" s="152"/>
      <c r="D22" s="154" t="s">
        <v>111</v>
      </c>
      <c r="E22" s="154">
        <f>190/20</f>
        <v>9.5</v>
      </c>
      <c r="F22" s="152"/>
      <c r="G22" s="155">
        <v>18841</v>
      </c>
      <c r="H22" s="152"/>
      <c r="I22" s="140"/>
      <c r="K22" s="134" t="s">
        <v>88</v>
      </c>
      <c r="L22" s="126">
        <v>221</v>
      </c>
      <c r="M22" s="127">
        <f>0.975*L22</f>
        <v>215.47499999999999</v>
      </c>
      <c r="N22" s="127">
        <f>0.975*M22</f>
        <v>210.08812499999999</v>
      </c>
      <c r="O22" s="127">
        <f t="shared" ref="O22:Q22" si="3">0.975*N22</f>
        <v>204.835921875</v>
      </c>
      <c r="P22" s="127">
        <f t="shared" si="3"/>
        <v>199.715023828125</v>
      </c>
      <c r="Q22" s="127">
        <f t="shared" si="3"/>
        <v>194.72214823242186</v>
      </c>
      <c r="S22" s="52" t="s">
        <v>112</v>
      </c>
      <c r="T22" s="145">
        <f>132*20*365*1000000</f>
        <v>963600000000</v>
      </c>
    </row>
    <row r="23" spans="1:22" ht="15.5">
      <c r="A23" s="156"/>
      <c r="B23" s="118"/>
      <c r="C23" s="152"/>
      <c r="D23" s="154" t="s">
        <v>113</v>
      </c>
      <c r="E23" s="157">
        <f>E22/75</f>
        <v>0.12666666666666668</v>
      </c>
      <c r="F23" s="152"/>
      <c r="G23" s="152"/>
      <c r="H23" s="152"/>
      <c r="I23" s="140"/>
      <c r="K23" s="135" t="s">
        <v>77</v>
      </c>
      <c r="L23" s="126" t="s">
        <v>114</v>
      </c>
      <c r="M23" s="126" t="s">
        <v>114</v>
      </c>
      <c r="N23" s="126" t="s">
        <v>114</v>
      </c>
      <c r="O23" s="126" t="s">
        <v>114</v>
      </c>
      <c r="P23" s="126" t="s">
        <v>114</v>
      </c>
      <c r="Q23" s="131"/>
      <c r="S23" s="52" t="s">
        <v>115</v>
      </c>
      <c r="T23" s="145">
        <f>(T22*T20)/1000000000</f>
        <v>153.2124</v>
      </c>
    </row>
    <row r="24" spans="1:22" ht="15.5">
      <c r="A24" s="156"/>
      <c r="B24" s="118"/>
      <c r="C24" s="152"/>
      <c r="D24" s="152"/>
      <c r="E24" s="152">
        <f>D24*E22</f>
        <v>0</v>
      </c>
      <c r="F24" s="152"/>
      <c r="G24" s="152"/>
      <c r="H24" s="152"/>
      <c r="I24" s="140"/>
      <c r="K24" s="126" t="s">
        <v>90</v>
      </c>
      <c r="L24" s="127">
        <v>5100.24</v>
      </c>
      <c r="M24" s="126">
        <v>7956.39</v>
      </c>
      <c r="N24" s="127">
        <v>0</v>
      </c>
      <c r="O24" s="126">
        <v>7956.39</v>
      </c>
      <c r="P24" s="127">
        <f>G9*E38*1.1</f>
        <v>0</v>
      </c>
      <c r="Q24" s="131">
        <f>SUM(L24:P24)/1000</f>
        <v>21.013020000000001</v>
      </c>
      <c r="S24" s="52" t="s">
        <v>116</v>
      </c>
      <c r="T24" s="145">
        <f>(T22*0.25)/1000000000</f>
        <v>240.9</v>
      </c>
    </row>
    <row r="25" spans="1:22" ht="15" thickBot="1">
      <c r="A25" s="156"/>
      <c r="B25" s="141"/>
      <c r="C25" s="142" t="s">
        <v>96</v>
      </c>
      <c r="D25" s="142" t="s">
        <v>117</v>
      </c>
      <c r="E25" s="147">
        <f>((E23*100000)+G22)/2</f>
        <v>15753.833333333334</v>
      </c>
      <c r="F25" s="143"/>
      <c r="G25" s="143"/>
      <c r="H25" s="143"/>
      <c r="I25" s="144"/>
      <c r="K25" s="126" t="s">
        <v>85</v>
      </c>
      <c r="L25" s="126"/>
      <c r="M25" s="126">
        <v>3.3149999999999999</v>
      </c>
      <c r="N25" s="126">
        <v>3.3149999999999999</v>
      </c>
      <c r="O25" s="126">
        <v>3.3149999999999999</v>
      </c>
      <c r="P25" s="126">
        <v>3.3149999999999999</v>
      </c>
      <c r="Q25" s="131">
        <f>SUM(M25:P25)</f>
        <v>13.26</v>
      </c>
    </row>
    <row r="26" spans="1:22" ht="15" thickBot="1">
      <c r="A26" s="118"/>
      <c r="B26" s="118"/>
      <c r="K26" s="126" t="s">
        <v>86</v>
      </c>
      <c r="L26" s="126"/>
      <c r="M26" s="126"/>
      <c r="N26" s="126"/>
      <c r="O26" s="126"/>
      <c r="P26" s="126"/>
      <c r="Q26" s="131"/>
    </row>
    <row r="27" spans="1:22">
      <c r="A27" s="156"/>
      <c r="B27" s="136" t="s">
        <v>90</v>
      </c>
      <c r="C27" s="137" t="s">
        <v>118</v>
      </c>
      <c r="D27" s="138"/>
      <c r="E27" s="138"/>
      <c r="F27" s="138"/>
      <c r="G27" s="158" t="s">
        <v>119</v>
      </c>
      <c r="H27" s="158"/>
      <c r="I27" s="159"/>
      <c r="K27" s="126" t="s">
        <v>87</v>
      </c>
      <c r="L27" s="126"/>
      <c r="M27" s="126"/>
      <c r="N27" s="126"/>
      <c r="O27" s="126"/>
      <c r="P27" s="126"/>
      <c r="Q27" s="131"/>
    </row>
    <row r="28" spans="1:22">
      <c r="B28" s="160"/>
      <c r="C28" s="109">
        <v>96</v>
      </c>
      <c r="D28" s="109">
        <v>150</v>
      </c>
      <c r="E28" s="109"/>
      <c r="F28" s="109"/>
      <c r="G28" s="109">
        <v>2.85</v>
      </c>
      <c r="H28" s="109"/>
      <c r="I28" s="140"/>
      <c r="K28" s="161" t="s">
        <v>88</v>
      </c>
      <c r="L28" s="162">
        <v>167</v>
      </c>
      <c r="M28" s="163">
        <f>1.025*L28</f>
        <v>171.17499999999998</v>
      </c>
      <c r="N28" s="163">
        <f>1.025*M28</f>
        <v>175.45437499999997</v>
      </c>
      <c r="O28" s="163">
        <f>1.025*N28</f>
        <v>179.84073437499995</v>
      </c>
      <c r="P28" s="163">
        <f>1.025*O28</f>
        <v>184.33675273437493</v>
      </c>
      <c r="Q28" s="163">
        <f>1.025*P28</f>
        <v>188.94517155273428</v>
      </c>
    </row>
    <row r="29" spans="1:22">
      <c r="B29" s="160"/>
      <c r="C29" s="109">
        <v>0.7</v>
      </c>
      <c r="D29" s="109">
        <f>D28/C28</f>
        <v>1.5625</v>
      </c>
      <c r="E29" s="109"/>
      <c r="F29" s="109"/>
      <c r="G29" s="109"/>
      <c r="H29" s="109"/>
      <c r="I29" s="140"/>
      <c r="K29" s="119" t="s">
        <v>120</v>
      </c>
      <c r="L29" s="114"/>
      <c r="M29" s="114"/>
      <c r="N29" s="114"/>
      <c r="O29" s="114"/>
      <c r="P29" s="114"/>
      <c r="Q29" s="164"/>
    </row>
    <row r="30" spans="1:22">
      <c r="B30" s="160"/>
      <c r="C30" s="108" t="s">
        <v>95</v>
      </c>
      <c r="D30" s="146">
        <f>(D29*D32)</f>
        <v>4.6875</v>
      </c>
      <c r="E30" s="109"/>
      <c r="F30" s="109"/>
      <c r="G30" s="109"/>
      <c r="H30" s="109"/>
      <c r="I30" s="140"/>
      <c r="K30" s="165" t="s">
        <v>84</v>
      </c>
      <c r="L30" s="165">
        <f>(H5*O35)/1000</f>
        <v>2400</v>
      </c>
      <c r="M30" s="165">
        <f>(O36*H6)/1000</f>
        <v>1125</v>
      </c>
      <c r="N30" s="165">
        <f>(O37*H7)/1000</f>
        <v>2160</v>
      </c>
      <c r="O30" s="165">
        <f>(O38*H8)/1000</f>
        <v>2720</v>
      </c>
      <c r="P30" s="165">
        <f>(H9*O39)/1000</f>
        <v>2750</v>
      </c>
      <c r="Q30" s="166">
        <f>SUM(L30:P30)/1000</f>
        <v>11.154999999999999</v>
      </c>
    </row>
    <row r="31" spans="1:22">
      <c r="B31" s="160"/>
      <c r="C31" s="167" t="s">
        <v>96</v>
      </c>
      <c r="D31" s="167" t="s">
        <v>95</v>
      </c>
      <c r="E31" s="168">
        <f>(D30+G28)/2</f>
        <v>3.7687499999999998</v>
      </c>
      <c r="F31" s="109"/>
      <c r="G31" s="109"/>
      <c r="H31" s="109"/>
      <c r="I31" s="140"/>
      <c r="K31" s="169" t="s">
        <v>85</v>
      </c>
      <c r="L31" s="170">
        <v>61.875</v>
      </c>
      <c r="M31" s="170">
        <v>61.875</v>
      </c>
      <c r="N31" s="171">
        <v>61.875</v>
      </c>
      <c r="O31" s="169">
        <v>61.875</v>
      </c>
      <c r="P31" s="170">
        <v>61.875</v>
      </c>
      <c r="Q31" s="171"/>
    </row>
    <row r="32" spans="1:22">
      <c r="B32" s="160"/>
      <c r="C32" s="108" t="s">
        <v>121</v>
      </c>
      <c r="D32" s="109">
        <v>3</v>
      </c>
      <c r="E32" s="109" t="s">
        <v>122</v>
      </c>
      <c r="F32" s="109"/>
      <c r="G32" s="109"/>
      <c r="H32" s="109"/>
      <c r="I32" s="140"/>
    </row>
    <row r="33" spans="2:17" ht="15" thickBot="1">
      <c r="B33" s="172" t="s">
        <v>123</v>
      </c>
      <c r="C33" s="173"/>
      <c r="D33" s="143"/>
      <c r="E33" s="143"/>
      <c r="F33" s="143"/>
      <c r="G33" s="143"/>
      <c r="H33" s="143"/>
      <c r="I33" s="144"/>
      <c r="K33" s="174"/>
      <c r="L33" s="174"/>
      <c r="M33" s="174"/>
      <c r="N33" s="174"/>
      <c r="O33" s="174"/>
      <c r="P33" s="174"/>
      <c r="Q33" s="174"/>
    </row>
    <row r="34" spans="2:17">
      <c r="B34" s="175" t="s">
        <v>90</v>
      </c>
      <c r="C34" s="176" t="s">
        <v>77</v>
      </c>
      <c r="D34" s="177"/>
      <c r="E34" s="176" t="s">
        <v>119</v>
      </c>
      <c r="F34" s="176"/>
      <c r="G34" s="176"/>
      <c r="H34" s="177"/>
      <c r="I34" s="178"/>
      <c r="K34" s="58" t="s">
        <v>124</v>
      </c>
      <c r="N34" s="278" t="s">
        <v>125</v>
      </c>
      <c r="O34" s="278"/>
      <c r="P34" s="174"/>
      <c r="Q34" s="174"/>
    </row>
    <row r="35" spans="2:17" ht="15.5">
      <c r="B35" s="179"/>
      <c r="C35" s="174">
        <f>9600/1000</f>
        <v>9.6</v>
      </c>
      <c r="D35" s="174">
        <v>62.5</v>
      </c>
      <c r="E35" s="174"/>
      <c r="F35" s="174">
        <v>10300</v>
      </c>
      <c r="G35" s="174"/>
      <c r="H35" s="174"/>
      <c r="I35" s="180"/>
      <c r="K35" s="58" t="s">
        <v>126</v>
      </c>
      <c r="L35" s="151">
        <v>21.3</v>
      </c>
      <c r="N35" s="109">
        <v>2030</v>
      </c>
      <c r="O35" s="181">
        <f>800*1000</f>
        <v>800000</v>
      </c>
    </row>
    <row r="36" spans="2:17" ht="15.5">
      <c r="B36" s="179"/>
      <c r="C36" s="174">
        <v>2.04</v>
      </c>
      <c r="D36" s="174">
        <f>(C36*D35)/9.6</f>
        <v>13.28125</v>
      </c>
      <c r="E36" s="174"/>
      <c r="F36" s="174"/>
      <c r="G36" s="174"/>
      <c r="H36" s="174"/>
      <c r="I36" s="180"/>
      <c r="N36" s="109">
        <v>2035</v>
      </c>
      <c r="O36" s="181">
        <f>750*1000</f>
        <v>750000</v>
      </c>
    </row>
    <row r="37" spans="2:17" ht="15.5">
      <c r="B37" s="179"/>
      <c r="C37" s="182" t="s">
        <v>95</v>
      </c>
      <c r="D37" s="183">
        <f>(D35/C35)*1000</f>
        <v>6510.416666666667</v>
      </c>
      <c r="E37" s="174"/>
      <c r="F37" s="174"/>
      <c r="G37" s="174"/>
      <c r="H37" s="174"/>
      <c r="I37" s="180"/>
      <c r="N37" s="109">
        <v>2040</v>
      </c>
      <c r="O37" s="181">
        <f>720*1000</f>
        <v>720000</v>
      </c>
      <c r="Q37" s="52">
        <f>15*1000*1000*16.5</f>
        <v>247500000</v>
      </c>
    </row>
    <row r="38" spans="2:17" ht="16" thickBot="1">
      <c r="B38" s="184"/>
      <c r="C38" s="185" t="s">
        <v>96</v>
      </c>
      <c r="D38" s="185" t="s">
        <v>95</v>
      </c>
      <c r="E38" s="186">
        <f>(D37+F35)/2</f>
        <v>8405.2083333333339</v>
      </c>
      <c r="F38" s="187"/>
      <c r="G38" s="187"/>
      <c r="H38" s="187"/>
      <c r="I38" s="188"/>
      <c r="N38" s="109">
        <v>2045</v>
      </c>
      <c r="O38" s="181">
        <f>680*1000</f>
        <v>680000</v>
      </c>
      <c r="Q38" s="52">
        <f>Q37/20</f>
        <v>12375000</v>
      </c>
    </row>
    <row r="39" spans="2:17" ht="15.5">
      <c r="N39" s="109">
        <v>2050</v>
      </c>
      <c r="O39" s="181">
        <f>550*1000</f>
        <v>550000</v>
      </c>
      <c r="Q39" s="52">
        <f>Q38*5</f>
        <v>61875000</v>
      </c>
    </row>
    <row r="40" spans="2:17">
      <c r="Q40" s="52">
        <f>Q39/1000000</f>
        <v>61.875</v>
      </c>
    </row>
  </sheetData>
  <mergeCells count="4">
    <mergeCell ref="G12:I12"/>
    <mergeCell ref="G16:I16"/>
    <mergeCell ref="G21:I21"/>
    <mergeCell ref="N34:O34"/>
  </mergeCells>
  <conditionalFormatting sqref="K10">
    <cfRule type="expression" dxfId="7" priority="7" stopIfTrue="1">
      <formula>MOD(ROW(),2)=1</formula>
    </cfRule>
    <cfRule type="expression" dxfId="6" priority="8" stopIfTrue="1">
      <formula>MOD(ROW(),2)=0</formula>
    </cfRule>
  </conditionalFormatting>
  <conditionalFormatting sqref="K16">
    <cfRule type="expression" dxfId="5" priority="5" stopIfTrue="1">
      <formula>MOD(ROW(),2)=1</formula>
    </cfRule>
    <cfRule type="expression" dxfId="4" priority="6" stopIfTrue="1">
      <formula>MOD(ROW(),2)=0</formula>
    </cfRule>
  </conditionalFormatting>
  <conditionalFormatting sqref="K22">
    <cfRule type="expression" dxfId="3" priority="3" stopIfTrue="1">
      <formula>MOD(ROW(),2)=1</formula>
    </cfRule>
    <cfRule type="expression" dxfId="2" priority="4" stopIfTrue="1">
      <formula>MOD(ROW(),2)=0</formula>
    </cfRule>
  </conditionalFormatting>
  <conditionalFormatting sqref="K28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Z57"/>
  <sheetViews>
    <sheetView zoomScale="55" zoomScaleNormal="55" workbookViewId="0"/>
  </sheetViews>
  <sheetFormatPr baseColWidth="10" defaultColWidth="12.08203125" defaultRowHeight="14.5"/>
  <cols>
    <col min="1" max="2" width="12.08203125" style="52"/>
    <col min="3" max="3" width="13.6640625" style="52" customWidth="1"/>
    <col min="4" max="4" width="13.58203125" style="52" customWidth="1"/>
    <col min="5" max="5" width="12.08203125" style="52"/>
    <col min="6" max="6" width="15.58203125" style="52" customWidth="1"/>
    <col min="7" max="7" width="16.08203125" style="52" customWidth="1"/>
    <col min="8" max="8" width="12.08203125" style="52"/>
    <col min="9" max="9" width="13.5" style="52" customWidth="1"/>
    <col min="10" max="10" width="14.08203125" style="52" customWidth="1"/>
    <col min="11" max="11" width="12.4140625" style="52" bestFit="1" customWidth="1"/>
    <col min="12" max="12" width="14.9140625" style="52" customWidth="1"/>
    <col min="13" max="13" width="13.33203125" style="52" bestFit="1" customWidth="1"/>
    <col min="14" max="14" width="17.83203125" style="52" customWidth="1"/>
    <col min="15" max="15" width="12.4140625" style="52" bestFit="1" customWidth="1"/>
    <col min="16" max="16" width="16.1640625" style="52" customWidth="1"/>
    <col min="17" max="17" width="12.4140625" style="52" bestFit="1" customWidth="1"/>
    <col min="18" max="18" width="14.08203125" style="52" customWidth="1"/>
    <col min="19" max="19" width="12.08203125" style="52"/>
    <col min="20" max="20" width="13.9140625" style="52" customWidth="1"/>
    <col min="21" max="24" width="12.08203125" style="52"/>
    <col min="25" max="25" width="13.83203125" style="52" customWidth="1"/>
    <col min="26" max="26" width="14.33203125" style="52" customWidth="1"/>
    <col min="27" max="27" width="12.1640625" style="52" bestFit="1" customWidth="1"/>
    <col min="28" max="28" width="14.75" style="52" bestFit="1" customWidth="1"/>
    <col min="29" max="29" width="12.4140625" style="52" bestFit="1" customWidth="1"/>
    <col min="30" max="30" width="14.75" style="52" bestFit="1" customWidth="1"/>
    <col min="31" max="31" width="13.5" style="52" customWidth="1"/>
    <col min="32" max="32" width="16.58203125" style="52" bestFit="1" customWidth="1"/>
    <col min="33" max="36" width="12.08203125" style="52"/>
    <col min="37" max="37" width="13.4140625" style="52" customWidth="1"/>
    <col min="38" max="38" width="14.75" style="52" customWidth="1"/>
    <col min="39" max="39" width="12.08203125" style="52"/>
    <col min="40" max="40" width="12.1640625" style="52" bestFit="1" customWidth="1"/>
    <col min="41" max="41" width="13.58203125" style="52" bestFit="1" customWidth="1"/>
    <col min="42" max="42" width="12.1640625" style="52" bestFit="1" customWidth="1"/>
    <col min="43" max="43" width="12.6640625" style="52" bestFit="1" customWidth="1"/>
    <col min="44" max="45" width="12.08203125" style="52"/>
    <col min="46" max="46" width="11.9140625" style="52" customWidth="1"/>
    <col min="47" max="47" width="12.08203125" style="52"/>
    <col min="48" max="48" width="14.1640625" style="52" customWidth="1"/>
    <col min="49" max="49" width="14.25" style="52" customWidth="1"/>
    <col min="50" max="53" width="12.08203125" style="52"/>
    <col min="54" max="54" width="14.08203125" style="52" customWidth="1"/>
    <col min="55" max="55" width="12.08203125" style="52"/>
    <col min="56" max="56" width="12.1640625" style="52" bestFit="1" customWidth="1"/>
    <col min="57" max="57" width="13.58203125" style="52" bestFit="1" customWidth="1"/>
    <col min="58" max="58" width="12.6640625" style="52" bestFit="1" customWidth="1"/>
    <col min="59" max="59" width="15.4140625" style="52" customWidth="1"/>
    <col min="60" max="60" width="12.75" style="52" customWidth="1"/>
    <col min="61" max="61" width="12.08203125" style="52" customWidth="1"/>
    <col min="62" max="62" width="13.6640625" style="52" customWidth="1"/>
    <col min="63" max="63" width="18.4140625" style="52" customWidth="1"/>
    <col min="64" max="16384" width="12.08203125" style="52"/>
  </cols>
  <sheetData>
    <row r="1" spans="1:104" ht="15" thickBot="1"/>
    <row r="2" spans="1:104">
      <c r="B2" s="189" t="s">
        <v>127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89" t="s">
        <v>128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1"/>
      <c r="AG2" s="189" t="s">
        <v>129</v>
      </c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1"/>
      <c r="AX2" s="189" t="s">
        <v>130</v>
      </c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1"/>
      <c r="BL2" s="118"/>
    </row>
    <row r="3" spans="1:104">
      <c r="B3" s="139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39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56"/>
      <c r="AG3" s="139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56"/>
      <c r="AX3" s="139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56"/>
      <c r="BL3" s="118"/>
    </row>
    <row r="4" spans="1:104">
      <c r="B4" s="192" t="s">
        <v>131</v>
      </c>
      <c r="C4" s="182" t="s">
        <v>132</v>
      </c>
      <c r="D4" s="182" t="s">
        <v>133</v>
      </c>
      <c r="E4" s="182" t="s">
        <v>134</v>
      </c>
      <c r="F4" s="182" t="s">
        <v>135</v>
      </c>
      <c r="G4" s="182" t="s">
        <v>136</v>
      </c>
      <c r="H4" s="118"/>
      <c r="I4" s="182" t="s">
        <v>132</v>
      </c>
      <c r="J4" s="182" t="s">
        <v>137</v>
      </c>
      <c r="K4" s="182" t="s">
        <v>138</v>
      </c>
      <c r="L4" s="182" t="s">
        <v>137</v>
      </c>
      <c r="M4" s="182" t="s">
        <v>139</v>
      </c>
      <c r="N4" s="182" t="s">
        <v>137</v>
      </c>
      <c r="O4" s="182" t="s">
        <v>140</v>
      </c>
      <c r="P4" s="182" t="s">
        <v>137</v>
      </c>
      <c r="Q4" s="182" t="s">
        <v>141</v>
      </c>
      <c r="R4" s="182" t="s">
        <v>137</v>
      </c>
      <c r="S4" s="192" t="s">
        <v>131</v>
      </c>
      <c r="T4" s="154" t="s">
        <v>132</v>
      </c>
      <c r="U4" s="154" t="s">
        <v>142</v>
      </c>
      <c r="V4" s="154" t="s">
        <v>135</v>
      </c>
      <c r="W4" s="154" t="s">
        <v>143</v>
      </c>
      <c r="X4" s="118"/>
      <c r="Y4" s="154" t="s">
        <v>132</v>
      </c>
      <c r="Z4" s="154" t="s">
        <v>137</v>
      </c>
      <c r="AA4" s="154" t="s">
        <v>144</v>
      </c>
      <c r="AB4" s="154" t="s">
        <v>137</v>
      </c>
      <c r="AC4" s="154" t="s">
        <v>140</v>
      </c>
      <c r="AD4" s="154" t="s">
        <v>137</v>
      </c>
      <c r="AE4" s="154" t="s">
        <v>145</v>
      </c>
      <c r="AF4" s="193" t="s">
        <v>137</v>
      </c>
      <c r="AG4" s="192" t="s">
        <v>131</v>
      </c>
      <c r="AH4" s="154" t="s">
        <v>142</v>
      </c>
      <c r="AI4" s="154" t="s">
        <v>135</v>
      </c>
      <c r="AJ4" s="154" t="s">
        <v>143</v>
      </c>
      <c r="AK4" s="154" t="s">
        <v>146</v>
      </c>
      <c r="AL4" s="154" t="s">
        <v>132</v>
      </c>
      <c r="AM4" s="118"/>
      <c r="AN4" s="154" t="s">
        <v>144</v>
      </c>
      <c r="AO4" s="154" t="s">
        <v>137</v>
      </c>
      <c r="AP4" s="154" t="s">
        <v>140</v>
      </c>
      <c r="AQ4" s="154" t="s">
        <v>137</v>
      </c>
      <c r="AR4" s="154" t="s">
        <v>145</v>
      </c>
      <c r="AS4" s="154" t="s">
        <v>137</v>
      </c>
      <c r="AT4" s="154" t="s">
        <v>147</v>
      </c>
      <c r="AU4" s="154" t="s">
        <v>137</v>
      </c>
      <c r="AV4" s="154" t="s">
        <v>132</v>
      </c>
      <c r="AW4" s="193" t="s">
        <v>137</v>
      </c>
      <c r="AX4" s="153"/>
      <c r="AY4" s="154" t="s">
        <v>142</v>
      </c>
      <c r="AZ4" s="154" t="s">
        <v>135</v>
      </c>
      <c r="BA4" s="154" t="s">
        <v>143</v>
      </c>
      <c r="BB4" s="154" t="s">
        <v>132</v>
      </c>
      <c r="BC4" s="118"/>
      <c r="BD4" s="154" t="s">
        <v>144</v>
      </c>
      <c r="BE4" s="154" t="s">
        <v>137</v>
      </c>
      <c r="BF4" s="154" t="s">
        <v>140</v>
      </c>
      <c r="BG4" s="154" t="s">
        <v>137</v>
      </c>
      <c r="BH4" s="154" t="s">
        <v>145</v>
      </c>
      <c r="BI4" s="154" t="s">
        <v>137</v>
      </c>
      <c r="BJ4" s="154" t="s">
        <v>132</v>
      </c>
      <c r="BK4" s="193" t="s">
        <v>137</v>
      </c>
      <c r="BL4" s="194"/>
    </row>
    <row r="5" spans="1:104" s="208" customFormat="1" ht="15.5">
      <c r="A5" s="52"/>
      <c r="B5" s="195">
        <v>2020</v>
      </c>
      <c r="C5" s="196">
        <v>5.9548544428189087</v>
      </c>
      <c r="D5" s="196">
        <v>0</v>
      </c>
      <c r="E5" s="196">
        <v>21</v>
      </c>
      <c r="F5" s="196">
        <v>66</v>
      </c>
      <c r="G5" s="196">
        <v>101</v>
      </c>
      <c r="H5" s="194"/>
      <c r="I5" s="197">
        <v>5.9548544430000003</v>
      </c>
      <c r="J5" s="198">
        <f>I5*N52</f>
        <v>539033424.18036008</v>
      </c>
      <c r="K5" s="198">
        <f t="shared" ref="K5:K35" si="0">D5*$F$45/$G$42/$F$47</f>
        <v>0</v>
      </c>
      <c r="L5" s="198"/>
      <c r="M5" s="199">
        <v>187259573.69999999</v>
      </c>
      <c r="N5" s="198">
        <f>M5*K52</f>
        <v>29274417171.809856</v>
      </c>
      <c r="O5" s="199">
        <v>59192294.509999998</v>
      </c>
      <c r="P5" s="198">
        <f>E52*O5</f>
        <v>12832708767.40638</v>
      </c>
      <c r="Q5" s="199">
        <v>97374978.310000002</v>
      </c>
      <c r="R5" s="198">
        <f>Q5*H52</f>
        <v>20242539608.678825</v>
      </c>
      <c r="S5" s="195">
        <f>B5</f>
        <v>2020</v>
      </c>
      <c r="T5" s="200">
        <v>160.22063930160039</v>
      </c>
      <c r="U5" s="200">
        <v>71.174177215189872</v>
      </c>
      <c r="V5" s="200">
        <v>44.947339152971423</v>
      </c>
      <c r="W5" s="200">
        <v>44.947339152971423</v>
      </c>
      <c r="X5" s="194"/>
      <c r="Y5" s="201">
        <v>160.22063929999999</v>
      </c>
      <c r="Z5" s="198">
        <f>Y5*N52</f>
        <v>14503172269.435999</v>
      </c>
      <c r="AA5" s="199">
        <v>8742682.4000000004</v>
      </c>
      <c r="AB5" s="198">
        <f>AA5*319</f>
        <v>2788915685.5999999</v>
      </c>
      <c r="AC5" s="199">
        <v>24821356.18</v>
      </c>
      <c r="AD5" s="198">
        <f>AC5*E52</f>
        <v>5381194253.5221472</v>
      </c>
      <c r="AE5" s="201">
        <v>0.16</v>
      </c>
      <c r="AF5" s="202">
        <f>AE5*H56*365</f>
        <v>486666.66666666674</v>
      </c>
      <c r="AG5" s="195">
        <f t="shared" ref="AG5:AG35" si="1">S5</f>
        <v>2020</v>
      </c>
      <c r="AH5" s="203">
        <v>5.0501724539273027</v>
      </c>
      <c r="AI5" s="203">
        <v>0.15085370370370368</v>
      </c>
      <c r="AJ5" s="203">
        <v>6.4424999999999996E-2</v>
      </c>
      <c r="AK5" s="203">
        <v>8.6348773999999935</v>
      </c>
      <c r="AL5" s="203">
        <v>51.682879978063283</v>
      </c>
      <c r="AM5" s="194"/>
      <c r="AN5" s="199">
        <v>620338.098</v>
      </c>
      <c r="AO5" s="198">
        <f>AN5*E55</f>
        <v>197887853.26199999</v>
      </c>
      <c r="AP5" s="199">
        <v>83306.233059999999</v>
      </c>
      <c r="AQ5" s="198">
        <f>AP5*E52</f>
        <v>18060537.038111538</v>
      </c>
      <c r="AR5" s="201">
        <v>219.82722469999999</v>
      </c>
      <c r="AS5" s="204">
        <f>H56*365*AR5</f>
        <v>668641141.79583335</v>
      </c>
      <c r="AT5" s="198">
        <f t="shared" ref="AT5:AT35" si="2">AK5*1000000*$L$47/$L$44</f>
        <v>2474738.0589690702</v>
      </c>
      <c r="AU5" s="205"/>
      <c r="AV5" s="201">
        <v>51.682879980000003</v>
      </c>
      <c r="AW5" s="202">
        <f>N52*AV5</f>
        <v>4678334295.7896004</v>
      </c>
      <c r="AX5" s="206">
        <f>AG5</f>
        <v>2020</v>
      </c>
      <c r="AY5" s="203">
        <v>3.9814400729869508</v>
      </c>
      <c r="AZ5" s="203">
        <v>59.943339359999754</v>
      </c>
      <c r="BA5" s="203">
        <v>6.4424999999999996E-2</v>
      </c>
      <c r="BB5" s="203">
        <v>43.09484536742093</v>
      </c>
      <c r="BC5" s="194"/>
      <c r="BD5" s="199">
        <v>489060.32120000001</v>
      </c>
      <c r="BE5" s="198"/>
      <c r="BF5" s="199">
        <v>31919735.93</v>
      </c>
      <c r="BG5" s="198"/>
      <c r="BH5" s="201">
        <v>219.82722469999999</v>
      </c>
      <c r="BI5" s="203"/>
      <c r="BJ5" s="201">
        <v>43.094845370000002</v>
      </c>
      <c r="BK5" s="207"/>
      <c r="BL5" s="194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</row>
    <row r="6" spans="1:104" s="208" customFormat="1" ht="15.5">
      <c r="A6" s="52"/>
      <c r="B6" s="195">
        <f>B5+1</f>
        <v>2021</v>
      </c>
      <c r="C6" s="196">
        <v>5.9648544428189094</v>
      </c>
      <c r="D6" s="196">
        <v>1.4567149300000892</v>
      </c>
      <c r="E6" s="196">
        <v>20.162982159999956</v>
      </c>
      <c r="F6" s="196">
        <v>64.866811629999575</v>
      </c>
      <c r="G6" s="196">
        <v>100.70468399999663</v>
      </c>
      <c r="H6" s="194"/>
      <c r="I6" s="197">
        <v>5.9648544430000001</v>
      </c>
      <c r="J6" s="198">
        <f>I6*N52</f>
        <v>539938624.18035996</v>
      </c>
      <c r="K6" s="198">
        <f t="shared" si="0"/>
        <v>1118041.5196674813</v>
      </c>
      <c r="L6" s="198"/>
      <c r="M6" s="199">
        <v>189191469.40000001</v>
      </c>
      <c r="N6" s="198">
        <f>M6*K52</f>
        <v>29576431747.282673</v>
      </c>
      <c r="O6" s="199">
        <v>58306454.049999997</v>
      </c>
      <c r="P6" s="198">
        <f>E52*O6</f>
        <v>12640661259.674696</v>
      </c>
      <c r="Q6" s="199">
        <v>93975952.269999996</v>
      </c>
      <c r="R6" s="198">
        <f>Q6*H52</f>
        <v>19535942077.775295</v>
      </c>
      <c r="S6" s="195">
        <f t="shared" ref="S6:S35" si="3">B6</f>
        <v>2021</v>
      </c>
      <c r="T6" s="200">
        <v>162.55555683300008</v>
      </c>
      <c r="U6" s="200">
        <v>70.136946088868712</v>
      </c>
      <c r="V6" s="200">
        <v>48.514567286089189</v>
      </c>
      <c r="W6" s="200">
        <v>48.514567286089189</v>
      </c>
      <c r="X6" s="194"/>
      <c r="Y6" s="201">
        <v>162.55555680000001</v>
      </c>
      <c r="Z6" s="198">
        <f>Y6*N52</f>
        <v>14714529001.536001</v>
      </c>
      <c r="AA6" s="199">
        <v>8615274.0999999996</v>
      </c>
      <c r="AB6" s="198">
        <f t="shared" ref="AB6:AB35" si="4">AA6*319</f>
        <v>2748272437.9000001</v>
      </c>
      <c r="AC6" s="199">
        <v>23531826.149999999</v>
      </c>
      <c r="AD6" s="198">
        <f>AC6*E52</f>
        <v>5101628079.262435</v>
      </c>
      <c r="AE6" s="201">
        <v>0.16553857499999999</v>
      </c>
      <c r="AF6" s="202">
        <f>AE6*H56*365</f>
        <v>503513.16562500002</v>
      </c>
      <c r="AG6" s="195">
        <f t="shared" si="1"/>
        <v>2021</v>
      </c>
      <c r="AH6" s="203">
        <v>5.0585120097412215</v>
      </c>
      <c r="AI6" s="203">
        <v>0.14565185185185184</v>
      </c>
      <c r="AJ6" s="203">
        <v>6.4424999999999996E-2</v>
      </c>
      <c r="AK6" s="203">
        <v>8.5137129999999956</v>
      </c>
      <c r="AL6" s="203">
        <v>51.597533929758356</v>
      </c>
      <c r="AM6" s="194"/>
      <c r="AN6" s="199">
        <v>621362.48759999999</v>
      </c>
      <c r="AO6" s="198">
        <f>AN6*E55</f>
        <v>198214633.54440001</v>
      </c>
      <c r="AP6" s="199">
        <v>80433.604340000005</v>
      </c>
      <c r="AQ6" s="198">
        <f>AP6*E52</f>
        <v>17437759.900211949</v>
      </c>
      <c r="AR6" s="201">
        <v>219.82722469999999</v>
      </c>
      <c r="AS6" s="204">
        <f>H56*365*AR6</f>
        <v>668641141.79583335</v>
      </c>
      <c r="AT6" s="198">
        <f t="shared" si="2"/>
        <v>2440012.5917525762</v>
      </c>
      <c r="AU6" s="205"/>
      <c r="AV6" s="201">
        <v>51.597533929999997</v>
      </c>
      <c r="AW6" s="202"/>
      <c r="AX6" s="206">
        <f t="shared" ref="AX6:AX35" si="5">AG6</f>
        <v>2021</v>
      </c>
      <c r="AY6" s="203">
        <v>3.482241396385561</v>
      </c>
      <c r="AZ6" s="203">
        <v>58.945228069999757</v>
      </c>
      <c r="BA6" s="203">
        <v>6.4424999999999996E-2</v>
      </c>
      <c r="BB6" s="203">
        <v>48.498138995200861</v>
      </c>
      <c r="BC6" s="194"/>
      <c r="BD6" s="199">
        <v>427741.23540000001</v>
      </c>
      <c r="BE6" s="198"/>
      <c r="BF6" s="199">
        <v>30236878.289999999</v>
      </c>
      <c r="BG6" s="198"/>
      <c r="BH6" s="201">
        <v>219.82722469999999</v>
      </c>
      <c r="BI6" s="198"/>
      <c r="BJ6" s="201">
        <v>48.498139000000002</v>
      </c>
      <c r="BK6" s="207"/>
      <c r="BL6" s="194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</row>
    <row r="7" spans="1:104" s="208" customFormat="1" ht="15.5">
      <c r="A7" s="52"/>
      <c r="B7" s="195">
        <f t="shared" ref="B7:B35" si="6">B6+1</f>
        <v>2022</v>
      </c>
      <c r="C7" s="196">
        <v>5.9771344372517969</v>
      </c>
      <c r="D7" s="196">
        <v>2.9134236499999133</v>
      </c>
      <c r="E7" s="196">
        <v>20.759369879999895</v>
      </c>
      <c r="F7" s="196">
        <v>62.934933429999546</v>
      </c>
      <c r="G7" s="196">
        <v>99.484576129994821</v>
      </c>
      <c r="H7" s="194"/>
      <c r="I7" s="197">
        <v>5.9771344370000001</v>
      </c>
      <c r="J7" s="198">
        <f>I7*N52</f>
        <v>541050209.23723996</v>
      </c>
      <c r="K7" s="198">
        <f t="shared" si="0"/>
        <v>2236078.2731051459</v>
      </c>
      <c r="L7" s="198"/>
      <c r="M7" s="199">
        <v>191123357</v>
      </c>
      <c r="N7" s="198">
        <f>M7*K52</f>
        <v>29878445056.476948</v>
      </c>
      <c r="O7" s="199">
        <v>57342534.520000003</v>
      </c>
      <c r="P7" s="198">
        <f>E52*O7</f>
        <v>12431686447.900581</v>
      </c>
      <c r="Q7" s="199">
        <v>90593522.239999995</v>
      </c>
      <c r="R7" s="198">
        <f>Q7*H52</f>
        <v>18832794564.48</v>
      </c>
      <c r="S7" s="195">
        <f t="shared" si="3"/>
        <v>2022</v>
      </c>
      <c r="T7" s="200">
        <v>164.89047436439978</v>
      </c>
      <c r="U7" s="200">
        <v>69.129512149283514</v>
      </c>
      <c r="V7" s="200">
        <v>51.861142857508867</v>
      </c>
      <c r="W7" s="200">
        <v>51.861142857508867</v>
      </c>
      <c r="X7" s="194"/>
      <c r="Y7" s="201">
        <v>164.89047439999999</v>
      </c>
      <c r="Z7" s="198">
        <f>Y7*N52</f>
        <v>14925885742.688</v>
      </c>
      <c r="AA7" s="199">
        <v>8491525.9000000004</v>
      </c>
      <c r="AB7" s="198">
        <f t="shared" si="4"/>
        <v>2708796762.0999999</v>
      </c>
      <c r="AC7" s="199">
        <v>22275533.73</v>
      </c>
      <c r="AD7" s="198">
        <f>AC7*E52</f>
        <v>4829267717.3941088</v>
      </c>
      <c r="AE7" s="201">
        <v>0.17695756500000001</v>
      </c>
      <c r="AF7" s="202">
        <f>AE7*H56*365</f>
        <v>538245.92687500012</v>
      </c>
      <c r="AG7" s="195">
        <f t="shared" si="1"/>
        <v>2022</v>
      </c>
      <c r="AH7" s="203">
        <v>5.0623497984051262</v>
      </c>
      <c r="AI7" s="203">
        <v>0.14044999999999999</v>
      </c>
      <c r="AJ7" s="203">
        <v>0.06</v>
      </c>
      <c r="AK7" s="203">
        <v>8.3925485999999978</v>
      </c>
      <c r="AL7" s="203">
        <v>51.55838794563897</v>
      </c>
      <c r="AM7" s="194"/>
      <c r="AN7" s="199">
        <v>621833.90249999997</v>
      </c>
      <c r="AO7" s="198">
        <f>AN7*E55</f>
        <v>198365014.89749998</v>
      </c>
      <c r="AP7" s="199">
        <v>77560.975609999994</v>
      </c>
      <c r="AQ7" s="198">
        <f>AP7*E52</f>
        <v>16814982.760144386</v>
      </c>
      <c r="AR7" s="201">
        <v>204.728498</v>
      </c>
      <c r="AS7" s="204">
        <f>H56*365*AR7</f>
        <v>622715848.08333337</v>
      </c>
      <c r="AT7" s="198">
        <f t="shared" si="2"/>
        <v>2405287.1245360817</v>
      </c>
      <c r="AU7" s="205"/>
      <c r="AV7" s="201">
        <v>51.558387949999997</v>
      </c>
      <c r="AW7" s="202">
        <f>N52*AV7</f>
        <v>4667065277.2339993</v>
      </c>
      <c r="AX7" s="206">
        <f t="shared" si="5"/>
        <v>2022</v>
      </c>
      <c r="AY7" s="203">
        <v>3.1056070364246908</v>
      </c>
      <c r="AZ7" s="203">
        <v>57.94711677999976</v>
      </c>
      <c r="BA7" s="203">
        <v>0.06</v>
      </c>
      <c r="BB7" s="203">
        <v>53.743629890435841</v>
      </c>
      <c r="BC7" s="194"/>
      <c r="BD7" s="199">
        <v>381477.34159999999</v>
      </c>
      <c r="BE7" s="198">
        <f>BD7*E55</f>
        <v>121691271.97039999</v>
      </c>
      <c r="BF7" s="199">
        <v>28604435.690000001</v>
      </c>
      <c r="BG7" s="198">
        <f>BF7*E52</f>
        <v>6201354343.5752678</v>
      </c>
      <c r="BH7" s="201">
        <v>204.728498</v>
      </c>
      <c r="BI7" s="198">
        <f>BH7*H56</f>
        <v>1706070.8166666669</v>
      </c>
      <c r="BJ7" s="201">
        <v>53.743629890000001</v>
      </c>
      <c r="BK7" s="202">
        <f>BJ7*N52</f>
        <v>4864873377.6428003</v>
      </c>
      <c r="BL7" s="194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</row>
    <row r="8" spans="1:104" ht="15.5">
      <c r="B8" s="139">
        <f t="shared" si="6"/>
        <v>2023</v>
      </c>
      <c r="C8" s="209">
        <v>6.5161474308947414</v>
      </c>
      <c r="D8" s="209">
        <v>4.3701323699997374</v>
      </c>
      <c r="E8" s="209">
        <v>21.355757599999833</v>
      </c>
      <c r="F8" s="209">
        <v>61.003055229999518</v>
      </c>
      <c r="G8" s="209">
        <v>98.103622540074866</v>
      </c>
      <c r="H8" s="194"/>
      <c r="I8" s="210">
        <v>6.5161474310000003</v>
      </c>
      <c r="J8" s="211">
        <f>I8*N52</f>
        <v>589841665.45412004</v>
      </c>
      <c r="K8" s="211">
        <f t="shared" si="0"/>
        <v>3354115.0265428107</v>
      </c>
      <c r="L8" s="211"/>
      <c r="M8" s="212">
        <v>193055244.59999999</v>
      </c>
      <c r="N8" s="211">
        <f>M8*K52</f>
        <v>30180458365.671227</v>
      </c>
      <c r="O8" s="212">
        <v>56306249.140000001</v>
      </c>
      <c r="P8" s="211">
        <f>E52*O8</f>
        <v>12207022940.740635</v>
      </c>
      <c r="Q8" s="212">
        <v>87221210.060000002</v>
      </c>
      <c r="R8" s="211">
        <f>Q8*H52</f>
        <v>18131750373.649414</v>
      </c>
      <c r="S8" s="139">
        <f t="shared" si="3"/>
        <v>2023</v>
      </c>
      <c r="T8" s="209">
        <v>167.22539189580039</v>
      </c>
      <c r="U8" s="209">
        <v>68.150609574852069</v>
      </c>
      <c r="V8" s="209">
        <v>54.987698777962919</v>
      </c>
      <c r="W8" s="209">
        <v>54.987698777962919</v>
      </c>
      <c r="X8" s="194"/>
      <c r="Y8" s="213">
        <v>167.22539190000001</v>
      </c>
      <c r="Z8" s="211">
        <f>Y8*N52</f>
        <v>15137242474.788</v>
      </c>
      <c r="AA8" s="212">
        <v>8371282.2999999998</v>
      </c>
      <c r="AB8" s="211">
        <f t="shared" si="4"/>
        <v>2670439053.6999998</v>
      </c>
      <c r="AC8" s="212">
        <v>21057141.789999999</v>
      </c>
      <c r="AD8" s="211">
        <f>AC8*E52</f>
        <v>4565124063.8999224</v>
      </c>
      <c r="AE8" s="213">
        <v>0.187625816</v>
      </c>
      <c r="AF8" s="214">
        <f>AE8*H56*365</f>
        <v>570695.19033333345</v>
      </c>
      <c r="AG8" s="139">
        <f t="shared" si="1"/>
        <v>2023</v>
      </c>
      <c r="AH8" s="215">
        <v>5.0616571813059812</v>
      </c>
      <c r="AI8" s="215">
        <v>0.13524814814814815</v>
      </c>
      <c r="AJ8" s="215">
        <v>0.06</v>
      </c>
      <c r="AK8" s="215">
        <v>8.2713842</v>
      </c>
      <c r="AL8" s="215">
        <v>51.565442025763332</v>
      </c>
      <c r="AM8" s="194"/>
      <c r="AN8" s="212">
        <v>621748.82490000001</v>
      </c>
      <c r="AO8" s="211">
        <f>AN8*E55</f>
        <v>198337875.14309999</v>
      </c>
      <c r="AP8" s="212">
        <v>74688.346879999997</v>
      </c>
      <c r="AQ8" s="211">
        <f>AP8*E52</f>
        <v>16192205.62007683</v>
      </c>
      <c r="AR8" s="213">
        <v>204.728498</v>
      </c>
      <c r="AS8" s="216">
        <f>H56*365*AR8</f>
        <v>622715848.08333337</v>
      </c>
      <c r="AT8" s="211">
        <f t="shared" si="2"/>
        <v>2370561.6573195877</v>
      </c>
      <c r="AU8" s="118"/>
      <c r="AV8" s="213">
        <v>51.56544203</v>
      </c>
      <c r="AW8" s="214">
        <f>N52*AV8</f>
        <v>4667703812.5556002</v>
      </c>
      <c r="AX8" s="217">
        <f t="shared" si="5"/>
        <v>2023</v>
      </c>
      <c r="AY8" s="215">
        <v>2.8116120050247635</v>
      </c>
      <c r="AZ8" s="215">
        <v>56.949005489999763</v>
      </c>
      <c r="BA8" s="215">
        <v>0.06</v>
      </c>
      <c r="BB8" s="215">
        <v>58.831318053125869</v>
      </c>
      <c r="BC8" s="194"/>
      <c r="BD8" s="212">
        <v>345364.4523</v>
      </c>
      <c r="BE8" s="211">
        <f>BD8*E55</f>
        <v>110171260.2837</v>
      </c>
      <c r="BF8" s="212">
        <v>27022408.129999999</v>
      </c>
      <c r="BG8" s="211">
        <f>BF8*E52</f>
        <v>5858375597.6498032</v>
      </c>
      <c r="BH8" s="213">
        <v>204.728498</v>
      </c>
      <c r="BI8" s="211">
        <f>BH8*H56</f>
        <v>1706070.8166666669</v>
      </c>
      <c r="BJ8" s="213">
        <v>58.83131805</v>
      </c>
      <c r="BK8" s="218">
        <f>BJ8*N52</f>
        <v>5325410909.8859997</v>
      </c>
      <c r="BL8" s="194"/>
    </row>
    <row r="9" spans="1:104" ht="15.5">
      <c r="B9" s="139">
        <f t="shared" si="6"/>
        <v>2024</v>
      </c>
      <c r="C9" s="209">
        <v>6.9195305973295635</v>
      </c>
      <c r="D9" s="209">
        <v>5.8268410900000163</v>
      </c>
      <c r="E9" s="209">
        <v>21.95214532</v>
      </c>
      <c r="F9" s="209">
        <v>59.071177029999944</v>
      </c>
      <c r="G9" s="209">
        <v>96.561823230062146</v>
      </c>
      <c r="H9" s="194"/>
      <c r="I9" s="210">
        <v>6.9195305969999996</v>
      </c>
      <c r="J9" s="211">
        <f>I9*N52</f>
        <v>626355909.64043999</v>
      </c>
      <c r="K9" s="211">
        <f t="shared" si="0"/>
        <v>4472151.7799808243</v>
      </c>
      <c r="L9" s="211"/>
      <c r="M9" s="212">
        <v>194987132.19999999</v>
      </c>
      <c r="N9" s="211">
        <f>M9*K52</f>
        <v>30482471674.865501</v>
      </c>
      <c r="O9" s="212">
        <v>55197597.920000002</v>
      </c>
      <c r="P9" s="211">
        <f>E52*O9</f>
        <v>11966670740.362827</v>
      </c>
      <c r="Q9" s="212">
        <v>83859015.719999999</v>
      </c>
      <c r="R9" s="211">
        <f>Q9*H52</f>
        <v>17432809503.204708</v>
      </c>
      <c r="S9" s="139">
        <f t="shared" si="3"/>
        <v>2024</v>
      </c>
      <c r="T9" s="209">
        <v>169.56030942720008</v>
      </c>
      <c r="U9" s="209">
        <v>67.199043241127754</v>
      </c>
      <c r="V9" s="209">
        <v>57.894832609908377</v>
      </c>
      <c r="W9" s="209">
        <v>57.894832609908377</v>
      </c>
      <c r="X9" s="194"/>
      <c r="Y9" s="213">
        <v>169.56030939999999</v>
      </c>
      <c r="Z9" s="211">
        <f>Y9*N52</f>
        <v>15348599206.887999</v>
      </c>
      <c r="AA9" s="212">
        <v>8254396.7000000002</v>
      </c>
      <c r="AB9" s="211">
        <f t="shared" si="4"/>
        <v>2633152547.3000002</v>
      </c>
      <c r="AC9" s="212">
        <v>19876650.309999999</v>
      </c>
      <c r="AD9" s="211">
        <f>AC9*E52</f>
        <v>4309197114.4439373</v>
      </c>
      <c r="AE9" s="213">
        <v>0.197545369</v>
      </c>
      <c r="AF9" s="214">
        <f>AE9*H56*365</f>
        <v>600867.16404166666</v>
      </c>
      <c r="AG9" s="139">
        <f t="shared" si="1"/>
        <v>2024</v>
      </c>
      <c r="AH9" s="215">
        <v>5.0564297613191522</v>
      </c>
      <c r="AI9" s="215">
        <v>0.1300462962962963</v>
      </c>
      <c r="AJ9" s="215">
        <v>0.06</v>
      </c>
      <c r="AK9" s="215">
        <v>8.1502198000000021</v>
      </c>
      <c r="AL9" s="215">
        <v>51.618696170131443</v>
      </c>
      <c r="AM9" s="194"/>
      <c r="AN9" s="212">
        <v>621106.71459999995</v>
      </c>
      <c r="AO9" s="211">
        <f>AN9*E55</f>
        <v>198133041.95739999</v>
      </c>
      <c r="AP9" s="212">
        <v>71815.718160000004</v>
      </c>
      <c r="AQ9" s="211">
        <f>AP9*E52</f>
        <v>15569428.482177243</v>
      </c>
      <c r="AR9" s="213">
        <v>204.728498</v>
      </c>
      <c r="AS9" s="216">
        <f>H56*365*AR9</f>
        <v>622715848.08333337</v>
      </c>
      <c r="AT9" s="211">
        <f t="shared" si="2"/>
        <v>2335836.1901030932</v>
      </c>
      <c r="AU9" s="118"/>
      <c r="AV9" s="213">
        <v>51.61869617</v>
      </c>
      <c r="AW9" s="214">
        <f>N52*AV9</f>
        <v>4672524377.3084002</v>
      </c>
      <c r="AX9" s="217">
        <f t="shared" si="5"/>
        <v>2024</v>
      </c>
      <c r="AY9" s="215">
        <v>2.5760074746942987</v>
      </c>
      <c r="AZ9" s="215">
        <v>55.950894199999766</v>
      </c>
      <c r="BA9" s="215">
        <v>0.06</v>
      </c>
      <c r="BB9" s="215">
        <v>63.761203483212739</v>
      </c>
      <c r="BC9" s="194"/>
      <c r="BD9" s="212">
        <v>316423.9621</v>
      </c>
      <c r="BE9" s="211">
        <f>BD9*E55</f>
        <v>100939243.90989999</v>
      </c>
      <c r="BF9" s="212">
        <v>25490795.609999999</v>
      </c>
      <c r="BG9" s="211">
        <f>BF9*E52</f>
        <v>5526326678.5062332</v>
      </c>
      <c r="BH9" s="213">
        <v>204.728498</v>
      </c>
      <c r="BI9" s="211">
        <f>BH9*H56</f>
        <v>1706070.8166666669</v>
      </c>
      <c r="BJ9" s="213">
        <v>63.761203479999999</v>
      </c>
      <c r="BK9" s="218">
        <f>BJ9*N52</f>
        <v>5771664139.0095997</v>
      </c>
      <c r="BL9" s="194"/>
    </row>
    <row r="10" spans="1:104" ht="15.5">
      <c r="B10" s="139">
        <f t="shared" si="6"/>
        <v>2025</v>
      </c>
      <c r="C10" s="209">
        <v>7.2103349840718174</v>
      </c>
      <c r="D10" s="209">
        <v>7.2835498099998404</v>
      </c>
      <c r="E10" s="209">
        <v>22.548533039999938</v>
      </c>
      <c r="F10" s="209">
        <v>57.139298829999916</v>
      </c>
      <c r="G10" s="209">
        <v>94.859178200073075</v>
      </c>
      <c r="H10" s="194"/>
      <c r="I10" s="210">
        <v>7.2103349840000002</v>
      </c>
      <c r="J10" s="211">
        <f>I10*N52</f>
        <v>652679522.75168002</v>
      </c>
      <c r="K10" s="211">
        <f t="shared" si="0"/>
        <v>5590188.5334184887</v>
      </c>
      <c r="L10" s="211"/>
      <c r="M10" s="212">
        <v>196919019.80000001</v>
      </c>
      <c r="N10" s="211">
        <f>M10*K52</f>
        <v>30784484984.05978</v>
      </c>
      <c r="O10" s="212">
        <v>54016580.859999999</v>
      </c>
      <c r="P10" s="211">
        <f>E52*O10</f>
        <v>11710629846.767155</v>
      </c>
      <c r="Q10" s="212">
        <v>80506939.239999995</v>
      </c>
      <c r="R10" s="211">
        <f>Q10*H52</f>
        <v>16735971957.30353</v>
      </c>
      <c r="S10" s="139">
        <f t="shared" si="3"/>
        <v>2025</v>
      </c>
      <c r="T10" s="209">
        <v>171.89522695859978</v>
      </c>
      <c r="U10" s="209">
        <v>66.892819752940341</v>
      </c>
      <c r="V10" s="209">
        <v>60.273541050580661</v>
      </c>
      <c r="W10" s="209">
        <v>60.273541050580661</v>
      </c>
      <c r="X10" s="194"/>
      <c r="Y10" s="213">
        <v>171.89522700000001</v>
      </c>
      <c r="Z10" s="211">
        <f>Y10*N52</f>
        <v>15559955948.040001</v>
      </c>
      <c r="AA10" s="212">
        <v>8216781.7000000002</v>
      </c>
      <c r="AB10" s="211">
        <f t="shared" si="4"/>
        <v>2621153362.3000002</v>
      </c>
      <c r="AC10" s="212">
        <v>18734059.309999999</v>
      </c>
      <c r="AD10" s="211">
        <f>AC10*E52</f>
        <v>4061486873.3620934</v>
      </c>
      <c r="AE10" s="213">
        <v>0.205661859</v>
      </c>
      <c r="AF10" s="214">
        <f>AE10*H56*365</f>
        <v>625554.82112500002</v>
      </c>
      <c r="AG10" s="139">
        <f t="shared" si="1"/>
        <v>2025</v>
      </c>
      <c r="AH10" s="215">
        <v>5.0333878029131407</v>
      </c>
      <c r="AI10" s="215">
        <v>0.12484444444444445</v>
      </c>
      <c r="AJ10" s="215">
        <v>0.05</v>
      </c>
      <c r="AK10" s="215">
        <v>8.0290554000000043</v>
      </c>
      <c r="AL10" s="215">
        <v>51.718150378757855</v>
      </c>
      <c r="AM10" s="194"/>
      <c r="AN10" s="212">
        <v>618276.35490000003</v>
      </c>
      <c r="AO10" s="211">
        <f>AN10*E55</f>
        <v>197230157.21310002</v>
      </c>
      <c r="AP10" s="212">
        <v>68943.089430000007</v>
      </c>
      <c r="AQ10" s="211">
        <f>AP10*E52</f>
        <v>14946651.342109684</v>
      </c>
      <c r="AR10" s="213">
        <v>170.60708170000001</v>
      </c>
      <c r="AS10" s="216">
        <f>H56*365*AR10</f>
        <v>518929873.50416672</v>
      </c>
      <c r="AT10" s="211">
        <f t="shared" si="2"/>
        <v>2301110.7228865991</v>
      </c>
      <c r="AU10" s="118"/>
      <c r="AV10" s="213">
        <v>51.718150379999997</v>
      </c>
      <c r="AW10" s="214">
        <f>N52*AV10</f>
        <v>4681526972.3976002</v>
      </c>
      <c r="AX10" s="217">
        <f t="shared" si="5"/>
        <v>2025</v>
      </c>
      <c r="AY10" s="215">
        <v>2.5642687064551857</v>
      </c>
      <c r="AZ10" s="215">
        <v>54.952782909999769</v>
      </c>
      <c r="BA10" s="215">
        <v>0.05</v>
      </c>
      <c r="BB10" s="215">
        <v>68.533286180812865</v>
      </c>
      <c r="BC10" s="194"/>
      <c r="BD10" s="212">
        <v>314982.03019999998</v>
      </c>
      <c r="BE10" s="211">
        <f>BD10*E55</f>
        <v>100479267.6338</v>
      </c>
      <c r="BF10" s="212">
        <v>24009598.129999999</v>
      </c>
      <c r="BG10" s="211">
        <f>BF10*E52</f>
        <v>5205207586.144557</v>
      </c>
      <c r="BH10" s="213">
        <v>170.60708170000001</v>
      </c>
      <c r="BI10" s="211">
        <f>BH10*H56</f>
        <v>1421725.6808333334</v>
      </c>
      <c r="BJ10" s="213">
        <v>68.533286180000005</v>
      </c>
      <c r="BK10" s="218">
        <f>BJ10*N52</f>
        <v>6203633065.0136003</v>
      </c>
      <c r="BL10" s="194"/>
    </row>
    <row r="11" spans="1:104" ht="15.5">
      <c r="B11" s="139">
        <f t="shared" si="6"/>
        <v>2026</v>
      </c>
      <c r="C11" s="209">
        <v>7.4138916562327655</v>
      </c>
      <c r="D11" s="209">
        <v>8.7402585299996645</v>
      </c>
      <c r="E11" s="209">
        <v>23.144920759999877</v>
      </c>
      <c r="F11" s="209">
        <v>55.207420629999888</v>
      </c>
      <c r="G11" s="209">
        <v>92.995687450049445</v>
      </c>
      <c r="H11" s="194"/>
      <c r="I11" s="210">
        <v>7.4138916559999997</v>
      </c>
      <c r="J11" s="211">
        <f>I11*N52</f>
        <v>671105472.70112002</v>
      </c>
      <c r="K11" s="211">
        <f t="shared" si="0"/>
        <v>6708225.286856154</v>
      </c>
      <c r="L11" s="211"/>
      <c r="M11" s="212">
        <v>198850907.40000001</v>
      </c>
      <c r="N11" s="211">
        <f>M11*K52</f>
        <v>31086498293.254055</v>
      </c>
      <c r="O11" s="212">
        <v>52763197.960000001</v>
      </c>
      <c r="P11" s="211">
        <f>E52*O11</f>
        <v>11438900259.953623</v>
      </c>
      <c r="Q11" s="212">
        <v>77164980.599999994</v>
      </c>
      <c r="R11" s="211">
        <f>Q11*H52</f>
        <v>16041237731.788237</v>
      </c>
      <c r="S11" s="139">
        <f t="shared" si="3"/>
        <v>2026</v>
      </c>
      <c r="T11" s="209">
        <v>174.23014449000038</v>
      </c>
      <c r="U11" s="209">
        <v>65.984189418465846</v>
      </c>
      <c r="V11" s="209">
        <v>62.747698946298755</v>
      </c>
      <c r="W11" s="209">
        <v>62.747698946298755</v>
      </c>
      <c r="X11" s="194"/>
      <c r="Y11" s="213">
        <v>174.23014449999999</v>
      </c>
      <c r="Z11" s="211">
        <f>Y11*N52</f>
        <v>15771312680.139999</v>
      </c>
      <c r="AA11" s="212">
        <v>8105170.0999999996</v>
      </c>
      <c r="AB11" s="211">
        <f t="shared" si="4"/>
        <v>2585549261.9000001</v>
      </c>
      <c r="AC11" s="212">
        <v>17629368.780000001</v>
      </c>
      <c r="AD11" s="211">
        <f>AC11*E52</f>
        <v>3821993338.4864206</v>
      </c>
      <c r="AE11" s="213">
        <v>0.214104036</v>
      </c>
      <c r="AF11" s="214">
        <f>AE11*H56*365</f>
        <v>651233.10950000002</v>
      </c>
      <c r="AG11" s="139">
        <f t="shared" si="1"/>
        <v>2026</v>
      </c>
      <c r="AH11" s="215">
        <v>5.0192122294458379</v>
      </c>
      <c r="AI11" s="215">
        <v>0.11964259259259261</v>
      </c>
      <c r="AJ11" s="215">
        <v>0.05</v>
      </c>
      <c r="AK11" s="215">
        <v>7.9078910000000064</v>
      </c>
      <c r="AL11" s="215">
        <v>51.86380465158436</v>
      </c>
      <c r="AM11" s="194"/>
      <c r="AN11" s="212">
        <v>616535.09779999999</v>
      </c>
      <c r="AO11" s="211">
        <f>AN11*E55</f>
        <v>196674696.19819999</v>
      </c>
      <c r="AP11" s="212">
        <v>66070.460699999996</v>
      </c>
      <c r="AQ11" s="211">
        <f>AP11*E52</f>
        <v>14323874.202042123</v>
      </c>
      <c r="AR11" s="213">
        <v>170.60708170000001</v>
      </c>
      <c r="AS11" s="216">
        <f>H56*365*AR11</f>
        <v>518929873.50416672</v>
      </c>
      <c r="AT11" s="211">
        <f t="shared" si="2"/>
        <v>2266385.2556701046</v>
      </c>
      <c r="AU11" s="118"/>
      <c r="AV11" s="213">
        <v>51.863804649999999</v>
      </c>
      <c r="AW11" s="214">
        <f>N52*AV11</f>
        <v>4694711596.9180002</v>
      </c>
      <c r="AX11" s="217">
        <f t="shared" si="5"/>
        <v>2026</v>
      </c>
      <c r="AY11" s="215">
        <v>2.3916189711718543</v>
      </c>
      <c r="AZ11" s="215">
        <v>53.954671619999772</v>
      </c>
      <c r="BA11" s="215">
        <v>0.05</v>
      </c>
      <c r="BB11" s="215">
        <v>73.147566145868041</v>
      </c>
      <c r="BC11" s="194"/>
      <c r="BD11" s="212">
        <v>293774.5943</v>
      </c>
      <c r="BE11" s="211">
        <f>BD11*E55</f>
        <v>93714095.581699997</v>
      </c>
      <c r="BF11" s="212">
        <v>22578815.699999999</v>
      </c>
      <c r="BG11" s="211">
        <f>BF11*E52</f>
        <v>4895018322.7327442</v>
      </c>
      <c r="BH11" s="213">
        <v>170.60708170000001</v>
      </c>
      <c r="BI11" s="211">
        <f>BH11*H56</f>
        <v>1421725.6808333334</v>
      </c>
      <c r="BJ11" s="213">
        <v>73.147566150000003</v>
      </c>
      <c r="BK11" s="218">
        <f>BJ11*N52</f>
        <v>6621317687.8980007</v>
      </c>
      <c r="BL11" s="194"/>
    </row>
    <row r="12" spans="1:104" ht="15.5">
      <c r="B12" s="139">
        <f t="shared" si="6"/>
        <v>2027</v>
      </c>
      <c r="C12" s="209">
        <v>7.5555317534294755</v>
      </c>
      <c r="D12" s="209">
        <v>10.196967249999943</v>
      </c>
      <c r="E12" s="209">
        <v>23.741308479999816</v>
      </c>
      <c r="F12" s="209">
        <v>53.275542429999859</v>
      </c>
      <c r="G12" s="209">
        <v>90.971350979991257</v>
      </c>
      <c r="H12" s="194"/>
      <c r="I12" s="210">
        <v>7.5555317530000004</v>
      </c>
      <c r="J12" s="211">
        <f>I12*N52</f>
        <v>683926734.28156006</v>
      </c>
      <c r="K12" s="211">
        <f t="shared" si="0"/>
        <v>7826262.0402941676</v>
      </c>
      <c r="L12" s="211"/>
      <c r="M12" s="212">
        <v>200782795</v>
      </c>
      <c r="N12" s="211">
        <f>M12*K52</f>
        <v>31388511602.448334</v>
      </c>
      <c r="O12" s="212">
        <v>51437449.210000001</v>
      </c>
      <c r="P12" s="211">
        <f>E52*O12</f>
        <v>11151481977.754259</v>
      </c>
      <c r="Q12" s="212">
        <v>73833139.819999993</v>
      </c>
      <c r="R12" s="211">
        <f>Q12*H52</f>
        <v>15348606830.816471</v>
      </c>
      <c r="S12" s="139">
        <f t="shared" si="3"/>
        <v>2027</v>
      </c>
      <c r="T12" s="209">
        <v>176.56506202140008</v>
      </c>
      <c r="U12" s="209">
        <v>65.099912813407897</v>
      </c>
      <c r="V12" s="209">
        <v>65.003926008978937</v>
      </c>
      <c r="W12" s="209">
        <v>65.003926008978937</v>
      </c>
      <c r="X12" s="194"/>
      <c r="Y12" s="213">
        <v>176.56506200000001</v>
      </c>
      <c r="Z12" s="211">
        <f>Y12*N52</f>
        <v>15982669412.240002</v>
      </c>
      <c r="AA12" s="212">
        <v>7996549.9000000004</v>
      </c>
      <c r="AB12" s="211">
        <f t="shared" si="4"/>
        <v>2550899418.0999999</v>
      </c>
      <c r="AC12" s="212">
        <v>16562578.73</v>
      </c>
      <c r="AD12" s="211">
        <f>AC12*E52</f>
        <v>3590716511.9848881</v>
      </c>
      <c r="AE12" s="213">
        <v>0.22180260199999999</v>
      </c>
      <c r="AF12" s="214">
        <f>AE12*H56*365</f>
        <v>674649.58108333335</v>
      </c>
      <c r="AG12" s="139">
        <f t="shared" si="1"/>
        <v>2027</v>
      </c>
      <c r="AH12" s="215">
        <v>5.000645183673468</v>
      </c>
      <c r="AI12" s="215">
        <v>0.11444074074074076</v>
      </c>
      <c r="AJ12" s="215">
        <v>0.05</v>
      </c>
      <c r="AK12" s="215">
        <v>7.7867266000000086</v>
      </c>
      <c r="AL12" s="215">
        <v>52.055658988654613</v>
      </c>
      <c r="AM12" s="194"/>
      <c r="AN12" s="212">
        <v>614254.4142</v>
      </c>
      <c r="AO12" s="211">
        <f>AN12*E55</f>
        <v>195947158.12979999</v>
      </c>
      <c r="AP12" s="212">
        <v>63197.831980000003</v>
      </c>
      <c r="AQ12" s="211">
        <f>AP12*E52</f>
        <v>13701097.064142536</v>
      </c>
      <c r="AR12" s="213">
        <v>170.60708170000001</v>
      </c>
      <c r="AS12" s="216">
        <f>H56*365*AR12</f>
        <v>518929873.50416672</v>
      </c>
      <c r="AT12" s="211">
        <f t="shared" si="2"/>
        <v>2231659.7884536111</v>
      </c>
      <c r="AU12" s="118"/>
      <c r="AV12" s="213">
        <v>52.055658989999998</v>
      </c>
      <c r="AW12" s="214">
        <f>N52*AV12</f>
        <v>4712078251.7747993</v>
      </c>
      <c r="AX12" s="217">
        <f t="shared" si="5"/>
        <v>2027</v>
      </c>
      <c r="AY12" s="215">
        <v>2.2459108354751347</v>
      </c>
      <c r="AZ12" s="215">
        <v>52.956560329999775</v>
      </c>
      <c r="BA12" s="215">
        <v>0.05</v>
      </c>
      <c r="BB12" s="215">
        <v>77.604043378378265</v>
      </c>
      <c r="BC12" s="194"/>
      <c r="BD12" s="212">
        <v>275876.5307</v>
      </c>
      <c r="BE12" s="211">
        <f>BD12*E55</f>
        <v>88004613.293300003</v>
      </c>
      <c r="BF12" s="212">
        <v>21198448.309999999</v>
      </c>
      <c r="BG12" s="211">
        <f>BF12*E52</f>
        <v>4595758886.1028242</v>
      </c>
      <c r="BH12" s="213">
        <v>170.60708170000001</v>
      </c>
      <c r="BI12" s="211">
        <f>BH12*H56</f>
        <v>1421725.6808333334</v>
      </c>
      <c r="BJ12" s="213">
        <v>77.604043379999993</v>
      </c>
      <c r="BK12" s="218">
        <f>BJ12*N52</f>
        <v>7024718006.7575998</v>
      </c>
      <c r="BL12" s="194"/>
    </row>
    <row r="13" spans="1:104" ht="15.5">
      <c r="B13" s="139">
        <f t="shared" si="6"/>
        <v>2028</v>
      </c>
      <c r="C13" s="209">
        <v>7.6605863854766962</v>
      </c>
      <c r="D13" s="209">
        <v>11.653675969999767</v>
      </c>
      <c r="E13" s="209">
        <v>24.337696199999982</v>
      </c>
      <c r="F13" s="209">
        <v>51.343664229999831</v>
      </c>
      <c r="G13" s="209">
        <v>88.786168789956719</v>
      </c>
      <c r="H13" s="194"/>
      <c r="I13" s="210">
        <v>7.6605863850000002</v>
      </c>
      <c r="J13" s="211">
        <f>I13*N52</f>
        <v>693436279.57019997</v>
      </c>
      <c r="K13" s="211">
        <f t="shared" si="0"/>
        <v>8944298.793731831</v>
      </c>
      <c r="L13" s="211"/>
      <c r="M13" s="212">
        <v>202714682.59999999</v>
      </c>
      <c r="N13" s="211">
        <f>M13*K52</f>
        <v>31690524911.642609</v>
      </c>
      <c r="O13" s="212">
        <v>50039334.630000003</v>
      </c>
      <c r="P13" s="211">
        <f>E52*O13</f>
        <v>10848375004.505003</v>
      </c>
      <c r="Q13" s="212">
        <v>70511416.879999995</v>
      </c>
      <c r="R13" s="211">
        <f>Q13*H52</f>
        <v>14658079250.230589</v>
      </c>
      <c r="S13" s="139">
        <f t="shared" si="3"/>
        <v>2028</v>
      </c>
      <c r="T13" s="209">
        <v>178.89997955279978</v>
      </c>
      <c r="U13" s="209">
        <v>64.239023767860516</v>
      </c>
      <c r="V13" s="209">
        <v>67.042705323457326</v>
      </c>
      <c r="W13" s="209">
        <v>67.042705323457326</v>
      </c>
      <c r="X13" s="194"/>
      <c r="Y13" s="213">
        <v>178.89997959999999</v>
      </c>
      <c r="Z13" s="211">
        <f>Y13*N52</f>
        <v>16194026153.392</v>
      </c>
      <c r="AA13" s="212">
        <v>7890802.5999999996</v>
      </c>
      <c r="AB13" s="211">
        <f t="shared" si="4"/>
        <v>2517166029.4000001</v>
      </c>
      <c r="AC13" s="212">
        <v>15533689.15</v>
      </c>
      <c r="AD13" s="211">
        <f>AC13*E52</f>
        <v>3367656391.6895266</v>
      </c>
      <c r="AE13" s="213">
        <v>0.22875920599999999</v>
      </c>
      <c r="AF13" s="214">
        <f>AE13*H56*365</f>
        <v>695809.25158333336</v>
      </c>
      <c r="AG13" s="139">
        <f t="shared" si="1"/>
        <v>2028</v>
      </c>
      <c r="AH13" s="215">
        <v>4.9777768612166264</v>
      </c>
      <c r="AI13" s="215">
        <v>0.10923888888888891</v>
      </c>
      <c r="AJ13" s="215">
        <v>0.04</v>
      </c>
      <c r="AK13" s="215">
        <v>7.6655622000000108</v>
      </c>
      <c r="AL13" s="215">
        <v>52.293713389983168</v>
      </c>
      <c r="AM13" s="194"/>
      <c r="AN13" s="212">
        <v>611445.38300000003</v>
      </c>
      <c r="AO13" s="211">
        <f>AN13*E55</f>
        <v>195051077.17700002</v>
      </c>
      <c r="AP13" s="212">
        <v>60325.203249999999</v>
      </c>
      <c r="AQ13" s="211">
        <f>AP13*E52</f>
        <v>13078319.924074976</v>
      </c>
      <c r="AR13" s="213">
        <v>136.48566529999999</v>
      </c>
      <c r="AS13" s="216">
        <f>H56*365*AR13</f>
        <v>415143898.62083334</v>
      </c>
      <c r="AT13" s="211">
        <f t="shared" si="2"/>
        <v>2196934.3212371166</v>
      </c>
      <c r="AU13" s="118"/>
      <c r="AV13" s="213">
        <v>52.293713390000001</v>
      </c>
      <c r="AW13" s="214">
        <f>N52*AV13</f>
        <v>4733626936.0628004</v>
      </c>
      <c r="AX13" s="217">
        <f t="shared" si="5"/>
        <v>2028</v>
      </c>
      <c r="AY13" s="215">
        <v>2.1215044357907784</v>
      </c>
      <c r="AZ13" s="215">
        <v>51.958449039999778</v>
      </c>
      <c r="BA13" s="215">
        <v>0.04</v>
      </c>
      <c r="BB13" s="215">
        <v>81.902717878343537</v>
      </c>
      <c r="BC13" s="194"/>
      <c r="BD13" s="212">
        <v>260595.06649999999</v>
      </c>
      <c r="BE13" s="211">
        <f>BD13*E55</f>
        <v>83129826.213499993</v>
      </c>
      <c r="BF13" s="212">
        <v>19868495.969999999</v>
      </c>
      <c r="BG13" s="211">
        <f>BF13*E52</f>
        <v>4307429278.4227686</v>
      </c>
      <c r="BH13" s="213">
        <v>136.48566529999999</v>
      </c>
      <c r="BI13" s="211">
        <f>BH13*H56</f>
        <v>1137380.5441666667</v>
      </c>
      <c r="BJ13" s="213">
        <v>81.902717879999997</v>
      </c>
      <c r="BK13" s="218">
        <f>BJ13*N52</f>
        <v>7413834022.4975996</v>
      </c>
      <c r="BL13" s="194"/>
    </row>
    <row r="14" spans="1:104" ht="15.5">
      <c r="B14" s="139">
        <f t="shared" si="6"/>
        <v>2029</v>
      </c>
      <c r="C14" s="209">
        <v>7.7543866621891731</v>
      </c>
      <c r="D14" s="209">
        <v>13.110384690000046</v>
      </c>
      <c r="E14" s="209">
        <v>24.934083919999921</v>
      </c>
      <c r="F14" s="209">
        <v>49.411786029999803</v>
      </c>
      <c r="G14" s="209">
        <v>86.440140880062245</v>
      </c>
      <c r="H14" s="194"/>
      <c r="I14" s="210">
        <v>7.7543866619999999</v>
      </c>
      <c r="J14" s="211">
        <f>I14*N52</f>
        <v>701927080.64424002</v>
      </c>
      <c r="K14" s="211">
        <f t="shared" si="0"/>
        <v>10062335.547169847</v>
      </c>
      <c r="L14" s="211"/>
      <c r="M14" s="212">
        <v>204646570.30000001</v>
      </c>
      <c r="N14" s="211">
        <f>M14*K52</f>
        <v>31992538236.469955</v>
      </c>
      <c r="O14" s="212">
        <v>48568854.200000003</v>
      </c>
      <c r="P14" s="211">
        <f>E52*O14</f>
        <v>10529579335.869915</v>
      </c>
      <c r="Q14" s="212">
        <v>67199811.790000007</v>
      </c>
      <c r="R14" s="211">
        <f>Q14*H52</f>
        <v>13969654992.109415</v>
      </c>
      <c r="S14" s="139">
        <f t="shared" si="3"/>
        <v>2029</v>
      </c>
      <c r="T14" s="209">
        <v>181.23489708420038</v>
      </c>
      <c r="U14" s="209">
        <v>63.400606551879946</v>
      </c>
      <c r="V14" s="209">
        <v>68.864494754996372</v>
      </c>
      <c r="W14" s="209">
        <v>68.864494754996372</v>
      </c>
      <c r="X14" s="194"/>
      <c r="Y14" s="213">
        <v>181.23489710000001</v>
      </c>
      <c r="Z14" s="211">
        <f>Y14*N52</f>
        <v>16405382885.492001</v>
      </c>
      <c r="AA14" s="212">
        <v>7787815.5999999996</v>
      </c>
      <c r="AB14" s="211">
        <f t="shared" si="4"/>
        <v>2484313176.4000001</v>
      </c>
      <c r="AC14" s="212">
        <v>14542700.039999999</v>
      </c>
      <c r="AD14" s="211">
        <f>AC14*E52</f>
        <v>3152812977.6003356</v>
      </c>
      <c r="AE14" s="213">
        <v>0.23497541</v>
      </c>
      <c r="AF14" s="214">
        <f>AE14*H56*365</f>
        <v>714716.87208333332</v>
      </c>
      <c r="AG14" s="139">
        <f t="shared" si="1"/>
        <v>2029</v>
      </c>
      <c r="AH14" s="215">
        <v>4.9507190141150765</v>
      </c>
      <c r="AI14" s="215">
        <v>0.10403703703703707</v>
      </c>
      <c r="AJ14" s="215">
        <v>0.04</v>
      </c>
      <c r="AK14" s="215">
        <v>7.5443977999999845</v>
      </c>
      <c r="AL14" s="215">
        <v>52.577967855526367</v>
      </c>
      <c r="AM14" s="194"/>
      <c r="AN14" s="212">
        <v>608121.73149999999</v>
      </c>
      <c r="AO14" s="211">
        <f>AN14*E55</f>
        <v>193990832.34849998</v>
      </c>
      <c r="AP14" s="212">
        <v>57452.574529999998</v>
      </c>
      <c r="AQ14" s="211">
        <f>AP14*E52</f>
        <v>12455542.786175387</v>
      </c>
      <c r="AR14" s="213">
        <v>136.48566529999999</v>
      </c>
      <c r="AS14" s="216">
        <f>H56*365*AR14</f>
        <v>415143898.62083334</v>
      </c>
      <c r="AT14" s="211">
        <f t="shared" si="2"/>
        <v>2162208.8540206142</v>
      </c>
      <c r="AU14" s="118"/>
      <c r="AV14" s="213">
        <v>52.577967860000001</v>
      </c>
      <c r="AW14" s="214">
        <f>N52*AV14</f>
        <v>4759357650.6872005</v>
      </c>
      <c r="AX14" s="217">
        <f t="shared" si="5"/>
        <v>2029</v>
      </c>
      <c r="AY14" s="215">
        <v>2.0142445297682228</v>
      </c>
      <c r="AZ14" s="215">
        <v>50.96033774999978</v>
      </c>
      <c r="BA14" s="215">
        <v>0.04</v>
      </c>
      <c r="BB14" s="215">
        <v>86.043589645763859</v>
      </c>
      <c r="BC14" s="194"/>
      <c r="BD14" s="212">
        <v>247419.79250000001</v>
      </c>
      <c r="BE14" s="211">
        <f>BD14*E55</f>
        <v>78926913.807500005</v>
      </c>
      <c r="BF14" s="212">
        <v>18588958.66</v>
      </c>
      <c r="BG14" s="211">
        <f>BF14*E52</f>
        <v>4030029495.3566375</v>
      </c>
      <c r="BH14" s="213">
        <v>136.48566529999999</v>
      </c>
      <c r="BI14" s="211">
        <f>BH14*H56</f>
        <v>1137380.5441666667</v>
      </c>
      <c r="BJ14" s="213">
        <v>86.043589650000001</v>
      </c>
      <c r="BK14" s="218">
        <f>BJ14*N52</f>
        <v>7788665735.118</v>
      </c>
      <c r="BL14" s="194"/>
    </row>
    <row r="15" spans="1:104" s="228" customFormat="1" ht="15.5">
      <c r="A15" s="52"/>
      <c r="B15" s="219">
        <f t="shared" si="6"/>
        <v>2030</v>
      </c>
      <c r="C15" s="220">
        <v>7.8622636784804918</v>
      </c>
      <c r="D15" s="220">
        <v>14.56709340999987</v>
      </c>
      <c r="E15" s="220">
        <v>25.53047163999986</v>
      </c>
      <c r="F15" s="220">
        <v>47.479907829999775</v>
      </c>
      <c r="G15" s="220">
        <v>83.933267250075005</v>
      </c>
      <c r="H15" s="194"/>
      <c r="I15" s="210">
        <v>7.8622636779999997</v>
      </c>
      <c r="J15" s="221">
        <f>I15*N52</f>
        <v>711692108.13256001</v>
      </c>
      <c r="K15" s="222">
        <f t="shared" si="0"/>
        <v>11180372.300607512</v>
      </c>
      <c r="L15" s="221"/>
      <c r="M15" s="212">
        <v>206578457.90000001</v>
      </c>
      <c r="N15" s="221">
        <f>M15*K52</f>
        <v>32294551545.66423</v>
      </c>
      <c r="O15" s="212">
        <v>47026007.920000002</v>
      </c>
      <c r="P15" s="221">
        <f>E52*O15</f>
        <v>10195094971.848995</v>
      </c>
      <c r="Q15" s="212">
        <v>63898324.549999997</v>
      </c>
      <c r="R15" s="221">
        <f>Q15*H52</f>
        <v>13283334056.452942</v>
      </c>
      <c r="S15" s="219">
        <f t="shared" si="3"/>
        <v>2030</v>
      </c>
      <c r="T15" s="220">
        <v>183.56981461560008</v>
      </c>
      <c r="U15" s="220">
        <v>46.470129217324008</v>
      </c>
      <c r="V15" s="220">
        <v>78.526560277435252</v>
      </c>
      <c r="W15" s="220">
        <v>78.526560277435252</v>
      </c>
      <c r="X15" s="194"/>
      <c r="Y15" s="213">
        <v>183.5698146</v>
      </c>
      <c r="Z15" s="221">
        <f>Y15*N52</f>
        <v>16616739617.592001</v>
      </c>
      <c r="AA15" s="212">
        <v>5708159.7999999998</v>
      </c>
      <c r="AB15" s="221">
        <f t="shared" si="4"/>
        <v>1820902976.2</v>
      </c>
      <c r="AC15" s="212">
        <v>13589611.41</v>
      </c>
      <c r="AD15" s="221">
        <f>AC15*E52</f>
        <v>2946186271.8852859</v>
      </c>
      <c r="AE15" s="213">
        <v>0.26794374599999998</v>
      </c>
      <c r="AF15" s="223">
        <f>AE15*H56*365</f>
        <v>814995.56075000006</v>
      </c>
      <c r="AG15" s="219">
        <f t="shared" si="1"/>
        <v>2030</v>
      </c>
      <c r="AH15" s="224">
        <v>3.6286806202135429</v>
      </c>
      <c r="AI15" s="224">
        <v>9.883518518518522E-2</v>
      </c>
      <c r="AJ15" s="224">
        <v>0.04</v>
      </c>
      <c r="AK15" s="224">
        <v>7.4232333999999867</v>
      </c>
      <c r="AL15" s="224">
        <v>52.908422385313315</v>
      </c>
      <c r="AM15" s="194"/>
      <c r="AN15" s="212">
        <v>445729.10230000003</v>
      </c>
      <c r="AO15" s="221">
        <f>AN15*E55</f>
        <v>142187583.63370001</v>
      </c>
      <c r="AP15" s="212">
        <v>54579.945800000001</v>
      </c>
      <c r="AQ15" s="221">
        <f>AP15*E52</f>
        <v>11832765.646107828</v>
      </c>
      <c r="AR15" s="213">
        <v>136.48566529999999</v>
      </c>
      <c r="AS15" s="225">
        <f>H56*365*AR15</f>
        <v>415143898.62083334</v>
      </c>
      <c r="AT15" s="222">
        <f t="shared" si="2"/>
        <v>2127483.3868041197</v>
      </c>
      <c r="AU15" s="226"/>
      <c r="AV15" s="213">
        <v>52.908422389999998</v>
      </c>
      <c r="AW15" s="223">
        <f>N52*AV15</f>
        <v>4789270394.7427998</v>
      </c>
      <c r="AX15" s="227">
        <f t="shared" si="5"/>
        <v>2030</v>
      </c>
      <c r="AY15" s="224">
        <v>1.4763613262441551</v>
      </c>
      <c r="AZ15" s="224">
        <v>49.962226459999783</v>
      </c>
      <c r="BA15" s="224">
        <v>0.04</v>
      </c>
      <c r="BB15" s="224">
        <v>90.02665868063923</v>
      </c>
      <c r="BC15" s="194"/>
      <c r="BD15" s="212">
        <v>181348.8916</v>
      </c>
      <c r="BE15" s="221">
        <f>BD15*E55</f>
        <v>57850296.420400001</v>
      </c>
      <c r="BF15" s="212">
        <v>17359836.399999999</v>
      </c>
      <c r="BG15" s="221">
        <f>BF15*E52</f>
        <v>3763559541.2403684</v>
      </c>
      <c r="BH15" s="213">
        <v>136.48566529999999</v>
      </c>
      <c r="BI15" s="221">
        <f>BH15*H56</f>
        <v>1137380.5441666667</v>
      </c>
      <c r="BJ15" s="213">
        <v>90.026658679999997</v>
      </c>
      <c r="BK15" s="223">
        <f>BJ15*N52</f>
        <v>8149213143.7136002</v>
      </c>
      <c r="BL15" s="194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</row>
    <row r="16" spans="1:104" ht="15.5">
      <c r="B16" s="139">
        <f t="shared" si="6"/>
        <v>2031</v>
      </c>
      <c r="C16" s="209">
        <v>8.0095485888688849</v>
      </c>
      <c r="D16" s="209">
        <v>16.023802129999694</v>
      </c>
      <c r="E16" s="209">
        <v>26.126859359999798</v>
      </c>
      <c r="F16" s="209">
        <v>45.548029629999746</v>
      </c>
      <c r="G16" s="209">
        <v>81.265547900053207</v>
      </c>
      <c r="H16" s="194"/>
      <c r="I16" s="210">
        <v>8.0095485889999996</v>
      </c>
      <c r="J16" s="211">
        <f>I16*N52</f>
        <v>725024338.27627993</v>
      </c>
      <c r="K16" s="211">
        <f t="shared" si="0"/>
        <v>12298409.054045176</v>
      </c>
      <c r="L16" s="211"/>
      <c r="M16" s="212">
        <v>208510345.5</v>
      </c>
      <c r="N16" s="211">
        <f>M16*K52</f>
        <v>32596564854.858509</v>
      </c>
      <c r="O16" s="212">
        <v>45410795.810000002</v>
      </c>
      <c r="P16" s="211">
        <f>E52*O16</f>
        <v>9844921916.778183</v>
      </c>
      <c r="Q16" s="212">
        <v>60606955.159999996</v>
      </c>
      <c r="R16" s="211">
        <f>Q16*H52</f>
        <v>12599116443.261177</v>
      </c>
      <c r="S16" s="139">
        <f t="shared" si="3"/>
        <v>2031</v>
      </c>
      <c r="T16" s="209">
        <v>185.90473214699978</v>
      </c>
      <c r="U16" s="209">
        <v>45.879052086134713</v>
      </c>
      <c r="V16" s="209">
        <v>79.813171729977114</v>
      </c>
      <c r="W16" s="209">
        <v>79.813171729977114</v>
      </c>
      <c r="X16" s="194"/>
      <c r="Y16" s="213">
        <v>185.90473209999999</v>
      </c>
      <c r="Z16" s="211">
        <f>Y16*N52</f>
        <v>16828096349.691999</v>
      </c>
      <c r="AA16" s="212">
        <v>5635554.9000000004</v>
      </c>
      <c r="AB16" s="211">
        <f t="shared" si="4"/>
        <v>1797742013.1000001</v>
      </c>
      <c r="AC16" s="212">
        <v>12674423.24</v>
      </c>
      <c r="AD16" s="211">
        <f>AC16*E52</f>
        <v>2747776270.2084374</v>
      </c>
      <c r="AE16" s="213">
        <v>0.27233384599999999</v>
      </c>
      <c r="AF16" s="214">
        <f>AE16*H56*365</f>
        <v>828348.78158333339</v>
      </c>
      <c r="AG16" s="139">
        <f t="shared" si="1"/>
        <v>2031</v>
      </c>
      <c r="AH16" s="215">
        <v>3.6028480747651082</v>
      </c>
      <c r="AI16" s="215">
        <v>9.3633333333333374E-2</v>
      </c>
      <c r="AJ16" s="215">
        <v>0.04</v>
      </c>
      <c r="AK16" s="215">
        <v>7.3020689999999888</v>
      </c>
      <c r="AL16" s="215">
        <v>53.285076979344012</v>
      </c>
      <c r="AM16" s="194"/>
      <c r="AN16" s="212">
        <v>442555.9607</v>
      </c>
      <c r="AO16" s="211">
        <f>AN16*E55</f>
        <v>141175351.46329999</v>
      </c>
      <c r="AP16" s="212">
        <v>51707.317069999997</v>
      </c>
      <c r="AQ16" s="211">
        <f>AP16*E52</f>
        <v>11209988.50604027</v>
      </c>
      <c r="AR16" s="213">
        <v>136.48566529999999</v>
      </c>
      <c r="AS16" s="216">
        <f>H56*365*AR16</f>
        <v>415143898.62083334</v>
      </c>
      <c r="AT16" s="211">
        <f t="shared" si="2"/>
        <v>2092757.9195876257</v>
      </c>
      <c r="AU16" s="118"/>
      <c r="AV16" s="213">
        <v>53.285076979999999</v>
      </c>
      <c r="AW16" s="214">
        <f>N52*AV16</f>
        <v>4823365168.2296</v>
      </c>
      <c r="AX16" s="217">
        <f t="shared" si="5"/>
        <v>2031</v>
      </c>
      <c r="AY16" s="215">
        <v>1.4136301828924107</v>
      </c>
      <c r="AZ16" s="215">
        <v>48.964115169999786</v>
      </c>
      <c r="BA16" s="215">
        <v>0.04</v>
      </c>
      <c r="BB16" s="215">
        <v>93.851924982853234</v>
      </c>
      <c r="BC16" s="194"/>
      <c r="BD16" s="212">
        <v>173643.30960000001</v>
      </c>
      <c r="BE16" s="211">
        <f>BD16*E55</f>
        <v>55392215.762400001</v>
      </c>
      <c r="BF16" s="212">
        <v>16181129.189999999</v>
      </c>
      <c r="BG16" s="211">
        <f>BF16*E52</f>
        <v>3508019416.0739636</v>
      </c>
      <c r="BH16" s="213">
        <v>136.48566529999999</v>
      </c>
      <c r="BI16" s="211">
        <f>BH16*H56</f>
        <v>1137380.5441666667</v>
      </c>
      <c r="BJ16" s="213">
        <v>93.851924980000007</v>
      </c>
      <c r="BK16" s="218">
        <f>BJ16*N52</f>
        <v>8495476249.1896009</v>
      </c>
      <c r="BL16" s="194"/>
    </row>
    <row r="17" spans="1:104" ht="15.5">
      <c r="B17" s="139">
        <f t="shared" si="6"/>
        <v>2032</v>
      </c>
      <c r="C17" s="209">
        <v>8.2215724733667734</v>
      </c>
      <c r="D17" s="209">
        <v>17.480510849999973</v>
      </c>
      <c r="E17" s="209">
        <v>26.723247079999965</v>
      </c>
      <c r="F17" s="209">
        <v>43.616151429999718</v>
      </c>
      <c r="G17" s="209">
        <v>78.43698282999685</v>
      </c>
      <c r="H17" s="194"/>
      <c r="I17" s="210">
        <v>8.2215724730000002</v>
      </c>
      <c r="J17" s="211">
        <f>I17*N52</f>
        <v>744216740.25595999</v>
      </c>
      <c r="K17" s="211">
        <f t="shared" si="0"/>
        <v>13416445.807483191</v>
      </c>
      <c r="L17" s="211"/>
      <c r="M17" s="212">
        <v>210442233.09999999</v>
      </c>
      <c r="N17" s="211">
        <f>M17*K52</f>
        <v>32898578164.052784</v>
      </c>
      <c r="O17" s="212">
        <v>43723217.850000001</v>
      </c>
      <c r="P17" s="211">
        <f>E52*O17</f>
        <v>9479060166.3215389</v>
      </c>
      <c r="Q17" s="212">
        <v>57325703.619999997</v>
      </c>
      <c r="R17" s="211">
        <f>Q17*H52</f>
        <v>11917002152.534119</v>
      </c>
      <c r="S17" s="139">
        <f t="shared" si="3"/>
        <v>2032</v>
      </c>
      <c r="T17" s="209">
        <v>188.23964967840038</v>
      </c>
      <c r="U17" s="209">
        <v>45.302822520578239</v>
      </c>
      <c r="V17" s="209">
        <v>80.886605431372018</v>
      </c>
      <c r="W17" s="209">
        <v>80.886605431372018</v>
      </c>
      <c r="X17" s="194"/>
      <c r="Y17" s="213">
        <v>188.2396497</v>
      </c>
      <c r="Z17" s="211">
        <f>Y17*N52</f>
        <v>17039453090.844</v>
      </c>
      <c r="AA17" s="212">
        <v>5564773.7000000002</v>
      </c>
      <c r="AB17" s="211">
        <f t="shared" si="4"/>
        <v>1775162810.3</v>
      </c>
      <c r="AC17" s="212">
        <v>11797135.550000001</v>
      </c>
      <c r="AD17" s="211">
        <f>AC17*E52</f>
        <v>2557582976.9057298</v>
      </c>
      <c r="AE17" s="213">
        <v>0.27599655400000001</v>
      </c>
      <c r="AF17" s="214">
        <f>AE17*H56*365</f>
        <v>839489.51841666678</v>
      </c>
      <c r="AG17" s="139">
        <f t="shared" si="1"/>
        <v>2032</v>
      </c>
      <c r="AH17" s="215">
        <v>3.5742569348478721</v>
      </c>
      <c r="AI17" s="215">
        <v>8.8431481481481528E-2</v>
      </c>
      <c r="AJ17" s="215">
        <v>0.03</v>
      </c>
      <c r="AK17" s="215">
        <v>7.180904599999991</v>
      </c>
      <c r="AL17" s="215">
        <v>53.707931637603906</v>
      </c>
      <c r="AM17" s="194"/>
      <c r="AN17" s="212">
        <v>439043.96710000001</v>
      </c>
      <c r="AO17" s="211">
        <f>AN17*E55</f>
        <v>140055025.50490001</v>
      </c>
      <c r="AP17" s="212">
        <v>48834.688349999997</v>
      </c>
      <c r="AQ17" s="211">
        <f>AP17*E52</f>
        <v>10587211.368140681</v>
      </c>
      <c r="AR17" s="213">
        <v>102.364249</v>
      </c>
      <c r="AS17" s="216">
        <f>H56*365*AR17</f>
        <v>311357924.04166669</v>
      </c>
      <c r="AT17" s="211">
        <f t="shared" si="2"/>
        <v>2058032.4523711314</v>
      </c>
      <c r="AU17" s="118"/>
      <c r="AV17" s="213">
        <v>53.707931639999998</v>
      </c>
      <c r="AW17" s="214">
        <f>N52*AV17</f>
        <v>4861641972.0528002</v>
      </c>
      <c r="AX17" s="217">
        <f t="shared" si="5"/>
        <v>2032</v>
      </c>
      <c r="AY17" s="215">
        <v>1.358389577034443</v>
      </c>
      <c r="AZ17" s="215">
        <v>47.966003879999789</v>
      </c>
      <c r="BA17" s="215">
        <v>0.03</v>
      </c>
      <c r="BB17" s="215">
        <v>97.51938855269691</v>
      </c>
      <c r="BC17" s="194"/>
      <c r="BD17" s="212">
        <v>166857.82800000001</v>
      </c>
      <c r="BE17" s="211">
        <f>BD17*E55</f>
        <v>53227647.131999999</v>
      </c>
      <c r="BF17" s="212">
        <v>15052837.01</v>
      </c>
      <c r="BG17" s="211">
        <f>BF17*E52</f>
        <v>3263409115.5214829</v>
      </c>
      <c r="BH17" s="213">
        <v>102.364249</v>
      </c>
      <c r="BI17" s="211">
        <f>BH17*H56</f>
        <v>853035.40833333344</v>
      </c>
      <c r="BJ17" s="213">
        <v>97.519388550000002</v>
      </c>
      <c r="BK17" s="218">
        <f>BJ17*N52</f>
        <v>8827455051.5459995</v>
      </c>
      <c r="BL17" s="194"/>
    </row>
    <row r="18" spans="1:104" ht="15.5">
      <c r="B18" s="139">
        <f t="shared" si="6"/>
        <v>2033</v>
      </c>
      <c r="C18" s="209">
        <v>8.5236664119865821</v>
      </c>
      <c r="D18" s="209">
        <v>18.937219569999797</v>
      </c>
      <c r="E18" s="209">
        <v>27.319634799999903</v>
      </c>
      <c r="F18" s="209">
        <v>41.68427322999969</v>
      </c>
      <c r="G18" s="209">
        <v>75.447572040022351</v>
      </c>
      <c r="H18" s="194"/>
      <c r="I18" s="210">
        <v>8.5236664120000007</v>
      </c>
      <c r="J18" s="211">
        <f>I18*N52</f>
        <v>771562283.61424005</v>
      </c>
      <c r="K18" s="211">
        <f t="shared" si="0"/>
        <v>14534482.560920853</v>
      </c>
      <c r="L18" s="211"/>
      <c r="M18" s="212">
        <v>212374120.69999999</v>
      </c>
      <c r="N18" s="211">
        <f>M18*K52</f>
        <v>33200591473.247059</v>
      </c>
      <c r="O18" s="212">
        <v>41963274.049999997</v>
      </c>
      <c r="P18" s="211">
        <f>E52*O18</f>
        <v>9097509722.6470337</v>
      </c>
      <c r="Q18" s="212">
        <v>54054569.93</v>
      </c>
      <c r="R18" s="211">
        <f>Q18*H52</f>
        <v>11236991184.271767</v>
      </c>
      <c r="S18" s="139">
        <f t="shared" si="3"/>
        <v>2033</v>
      </c>
      <c r="T18" s="209">
        <v>190.57456720980008</v>
      </c>
      <c r="U18" s="209">
        <v>44.740888014718792</v>
      </c>
      <c r="V18" s="209">
        <v>81.74713763453056</v>
      </c>
      <c r="W18" s="209">
        <v>81.74713763453056</v>
      </c>
      <c r="X18" s="194"/>
      <c r="Y18" s="213">
        <v>190.57456719999999</v>
      </c>
      <c r="Z18" s="211">
        <f>Y18*N52</f>
        <v>17250809822.944</v>
      </c>
      <c r="AA18" s="212">
        <v>5495748.4000000004</v>
      </c>
      <c r="AB18" s="211">
        <f t="shared" si="4"/>
        <v>1753143739.6000001</v>
      </c>
      <c r="AC18" s="212">
        <v>10957748.34</v>
      </c>
      <c r="AD18" s="211">
        <f>AC18*E52</f>
        <v>2375606391.9771624</v>
      </c>
      <c r="AE18" s="213">
        <v>0.27893281199999997</v>
      </c>
      <c r="AF18" s="214">
        <f>AE18*H56*365</f>
        <v>848420.63649999991</v>
      </c>
      <c r="AG18" s="139">
        <f t="shared" si="1"/>
        <v>2033</v>
      </c>
      <c r="AH18" s="215">
        <v>3.5430413947310018</v>
      </c>
      <c r="AI18" s="215">
        <v>8.3229629629629681E-2</v>
      </c>
      <c r="AJ18" s="215">
        <v>0.03</v>
      </c>
      <c r="AK18" s="215">
        <v>7.0597401999999931</v>
      </c>
      <c r="AL18" s="215">
        <v>54.176986360078445</v>
      </c>
      <c r="AM18" s="194"/>
      <c r="AN18" s="212">
        <v>435209.60519999999</v>
      </c>
      <c r="AO18" s="211">
        <f>AN18*E55</f>
        <v>138831864.05880001</v>
      </c>
      <c r="AP18" s="212">
        <v>45962.05962</v>
      </c>
      <c r="AQ18" s="211">
        <f>AP18*E52</f>
        <v>9964434.228073122</v>
      </c>
      <c r="AR18" s="213">
        <v>102.364249</v>
      </c>
      <c r="AS18" s="216">
        <f>H56*365*AR18</f>
        <v>311357924.04166669</v>
      </c>
      <c r="AT18" s="211">
        <f t="shared" si="2"/>
        <v>2023306.9851546371</v>
      </c>
      <c r="AU18" s="118"/>
      <c r="AV18" s="213">
        <v>54.176986360000001</v>
      </c>
      <c r="AW18" s="214">
        <f>N52*AV18</f>
        <v>4904100805.3072004</v>
      </c>
      <c r="AX18" s="217">
        <f t="shared" si="5"/>
        <v>2033</v>
      </c>
      <c r="AY18" s="215">
        <v>1.3095019991795298</v>
      </c>
      <c r="AZ18" s="215">
        <v>46.967892589999792</v>
      </c>
      <c r="BA18" s="215">
        <v>0.03</v>
      </c>
      <c r="BB18" s="215">
        <v>101.02904938993743</v>
      </c>
      <c r="BC18" s="194"/>
      <c r="BD18" s="212">
        <v>160852.72080000001</v>
      </c>
      <c r="BE18" s="211">
        <f>BD18*E55</f>
        <v>51312017.935200006</v>
      </c>
      <c r="BF18" s="212">
        <v>13974959.880000001</v>
      </c>
      <c r="BG18" s="211">
        <f>BF18*E52</f>
        <v>3029728643.9188657</v>
      </c>
      <c r="BH18" s="213">
        <v>102.364249</v>
      </c>
      <c r="BI18" s="211">
        <f>BH18*H56</f>
        <v>853035.40833333344</v>
      </c>
      <c r="BJ18" s="213">
        <v>101.02904940000001</v>
      </c>
      <c r="BK18" s="218">
        <f>BJ18*N52</f>
        <v>9145149551.6879997</v>
      </c>
      <c r="BL18" s="194"/>
    </row>
    <row r="19" spans="1:104" ht="15.5">
      <c r="B19" s="139">
        <f t="shared" si="6"/>
        <v>2034</v>
      </c>
      <c r="C19" s="209">
        <v>8.9411616039500288</v>
      </c>
      <c r="D19" s="209">
        <v>20.393928290000076</v>
      </c>
      <c r="E19" s="209">
        <v>27.916022519999842</v>
      </c>
      <c r="F19" s="209">
        <v>39.752395029999661</v>
      </c>
      <c r="G19" s="209">
        <v>72.297315530071501</v>
      </c>
      <c r="H19" s="194"/>
      <c r="I19" s="210">
        <v>8.9411616039999995</v>
      </c>
      <c r="J19" s="211">
        <f>I19*N52</f>
        <v>809353948.39407992</v>
      </c>
      <c r="K19" s="211">
        <f t="shared" si="0"/>
        <v>15652519.31435887</v>
      </c>
      <c r="L19" s="211"/>
      <c r="M19" s="212">
        <v>214306008.30000001</v>
      </c>
      <c r="N19" s="211">
        <f>M19*K52</f>
        <v>33502604782.441338</v>
      </c>
      <c r="O19" s="212">
        <v>40130964.399999999</v>
      </c>
      <c r="P19" s="211">
        <f>E52*O19</f>
        <v>8700270583.5866966</v>
      </c>
      <c r="Q19" s="212">
        <v>50793554.090000004</v>
      </c>
      <c r="R19" s="211">
        <f>Q19*H52</f>
        <v>10559083538.474119</v>
      </c>
      <c r="S19" s="139">
        <f t="shared" si="3"/>
        <v>2034</v>
      </c>
      <c r="T19" s="209">
        <v>192.90948474119978</v>
      </c>
      <c r="U19" s="209">
        <v>44.192723139806851</v>
      </c>
      <c r="V19" s="209">
        <v>82.395031054059871</v>
      </c>
      <c r="W19" s="209">
        <v>82.395031054059871</v>
      </c>
      <c r="X19" s="194"/>
      <c r="Y19" s="213">
        <v>192.90948470000001</v>
      </c>
      <c r="Z19" s="211">
        <f>Y19*N52</f>
        <v>17462166555.044003</v>
      </c>
      <c r="AA19" s="212">
        <v>5428414.5999999996</v>
      </c>
      <c r="AB19" s="211">
        <f t="shared" si="4"/>
        <v>1731664257.3999999</v>
      </c>
      <c r="AC19" s="212">
        <v>10156261.6</v>
      </c>
      <c r="AD19" s="211">
        <f>AC19*E52</f>
        <v>2201846513.2547665</v>
      </c>
      <c r="AE19" s="213">
        <v>0.28114351599999998</v>
      </c>
      <c r="AF19" s="214">
        <f>AE19*H56*365</f>
        <v>855144.86116666661</v>
      </c>
      <c r="AG19" s="139">
        <f t="shared" si="1"/>
        <v>2034</v>
      </c>
      <c r="AH19" s="215">
        <v>3.509345001466416</v>
      </c>
      <c r="AI19" s="215">
        <v>7.8027777777777835E-2</v>
      </c>
      <c r="AJ19" s="215">
        <v>0.03</v>
      </c>
      <c r="AK19" s="215">
        <v>6.9385757999999953</v>
      </c>
      <c r="AL19" s="215">
        <v>54.692241146825836</v>
      </c>
      <c r="AM19" s="194"/>
      <c r="AN19" s="212">
        <v>431070.50770000002</v>
      </c>
      <c r="AO19" s="211">
        <f>AN19*E55</f>
        <v>137511491.95629999</v>
      </c>
      <c r="AP19" s="212">
        <v>43089.430890000003</v>
      </c>
      <c r="AQ19" s="211">
        <f>AP19*E52</f>
        <v>9341657.0880055632</v>
      </c>
      <c r="AR19" s="213">
        <v>102.364249</v>
      </c>
      <c r="AS19" s="216">
        <f>H56*365*AR19</f>
        <v>311357924.04166669</v>
      </c>
      <c r="AT19" s="211">
        <f t="shared" si="2"/>
        <v>1988581.5179381429</v>
      </c>
      <c r="AU19" s="118"/>
      <c r="AV19" s="213">
        <v>54.692241150000001</v>
      </c>
      <c r="AW19" s="214">
        <f>N52*AV19</f>
        <v>4950741668.8979998</v>
      </c>
      <c r="AX19" s="217">
        <f t="shared" si="5"/>
        <v>2034</v>
      </c>
      <c r="AY19" s="215">
        <v>1.2660564266875638</v>
      </c>
      <c r="AZ19" s="215">
        <v>45.969781299999795</v>
      </c>
      <c r="BA19" s="215">
        <v>0.03</v>
      </c>
      <c r="BB19" s="215">
        <v>104.38090749463299</v>
      </c>
      <c r="BC19" s="194"/>
      <c r="BD19" s="212">
        <v>155516.08240000001</v>
      </c>
      <c r="BE19" s="211">
        <f>BD19*E55</f>
        <v>49609630.285600007</v>
      </c>
      <c r="BF19" s="212">
        <v>12947497.789999999</v>
      </c>
      <c r="BG19" s="211">
        <f>BF19*E52</f>
        <v>2806977999.0981417</v>
      </c>
      <c r="BH19" s="213">
        <v>102.364249</v>
      </c>
      <c r="BI19" s="211">
        <f>BH19*H56</f>
        <v>853035.40833333344</v>
      </c>
      <c r="BJ19" s="213">
        <v>104.38090750000001</v>
      </c>
      <c r="BK19" s="218">
        <f>BJ19*N52</f>
        <v>9448559746.9000015</v>
      </c>
      <c r="BL19" s="194"/>
    </row>
    <row r="20" spans="1:104" s="228" customFormat="1" ht="15.5">
      <c r="A20" s="52"/>
      <c r="B20" s="219">
        <f t="shared" si="6"/>
        <v>2035</v>
      </c>
      <c r="C20" s="220">
        <v>9.4993890696648862</v>
      </c>
      <c r="D20" s="220">
        <v>21.8506370099999</v>
      </c>
      <c r="E20" s="220">
        <v>28.512410240000008</v>
      </c>
      <c r="F20" s="220">
        <v>37.820516829999633</v>
      </c>
      <c r="G20" s="220">
        <v>68.986213300086092</v>
      </c>
      <c r="H20" s="194"/>
      <c r="I20" s="210">
        <v>9.4993890699999994</v>
      </c>
      <c r="J20" s="221">
        <f>I20*N52</f>
        <v>859884698.6164</v>
      </c>
      <c r="K20" s="222">
        <f t="shared" si="0"/>
        <v>16770556.067796534</v>
      </c>
      <c r="L20" s="221"/>
      <c r="M20" s="212">
        <v>216237895.90000001</v>
      </c>
      <c r="N20" s="221">
        <f>M20*K52</f>
        <v>33804618091.635616</v>
      </c>
      <c r="O20" s="212">
        <v>38226288.920000002</v>
      </c>
      <c r="P20" s="221">
        <f>E52*O20</f>
        <v>8287342753.4764671</v>
      </c>
      <c r="Q20" s="212">
        <v>47542656.090000004</v>
      </c>
      <c r="R20" s="221">
        <f>Q20*H52</f>
        <v>9883279213.062355</v>
      </c>
      <c r="S20" s="219">
        <f t="shared" si="3"/>
        <v>2035</v>
      </c>
      <c r="T20" s="220">
        <v>195.24440227260038</v>
      </c>
      <c r="U20" s="220">
        <v>26.098547808449432</v>
      </c>
      <c r="V20" s="220">
        <v>91.61017573336494</v>
      </c>
      <c r="W20" s="220">
        <v>91.61017573336494</v>
      </c>
      <c r="X20" s="194"/>
      <c r="Y20" s="213">
        <v>195.24440229999999</v>
      </c>
      <c r="Z20" s="221">
        <f>Y20*N52</f>
        <v>17673523296.195999</v>
      </c>
      <c r="AA20" s="212">
        <v>3205816</v>
      </c>
      <c r="AB20" s="221">
        <f t="shared" si="4"/>
        <v>1022655304</v>
      </c>
      <c r="AC20" s="212">
        <v>9392675.3259999994</v>
      </c>
      <c r="AD20" s="221">
        <f>AC20*E52</f>
        <v>2036303339.8713534</v>
      </c>
      <c r="AE20" s="213">
        <v>0.31258689499999998</v>
      </c>
      <c r="AF20" s="223">
        <f>AE20*H56*365</f>
        <v>950785.13895833329</v>
      </c>
      <c r="AG20" s="219">
        <f t="shared" si="1"/>
        <v>2035</v>
      </c>
      <c r="AH20" s="224">
        <v>2.0724861875419291</v>
      </c>
      <c r="AI20" s="224">
        <v>7.2825925925925988E-2</v>
      </c>
      <c r="AJ20" s="224">
        <v>0.02</v>
      </c>
      <c r="AK20" s="224">
        <v>6.8174113999999975</v>
      </c>
      <c r="AL20" s="224">
        <v>55.253695997787872</v>
      </c>
      <c r="AM20" s="194"/>
      <c r="AN20" s="212">
        <v>254573.90839999999</v>
      </c>
      <c r="AO20" s="221">
        <f>AN20*E55</f>
        <v>81209076.779599994</v>
      </c>
      <c r="AP20" s="212">
        <v>40216.802170000003</v>
      </c>
      <c r="AQ20" s="221">
        <f>AP20*E52</f>
        <v>8718879.9501059745</v>
      </c>
      <c r="AR20" s="213">
        <v>68.242832660000005</v>
      </c>
      <c r="AS20" s="225">
        <f>H56*365*AR20</f>
        <v>207571949.34083337</v>
      </c>
      <c r="AT20" s="222">
        <f t="shared" si="2"/>
        <v>1953856.0507216486</v>
      </c>
      <c r="AU20" s="226"/>
      <c r="AV20" s="213">
        <v>55.253695999999998</v>
      </c>
      <c r="AW20" s="223">
        <f>N52*AV20</f>
        <v>5001564561.9200001</v>
      </c>
      <c r="AX20" s="227">
        <f t="shared" si="5"/>
        <v>2035</v>
      </c>
      <c r="AY20" s="224">
        <v>0.74768495427558423</v>
      </c>
      <c r="AZ20" s="224">
        <v>44.971670009999798</v>
      </c>
      <c r="BA20" s="224">
        <v>0.02</v>
      </c>
      <c r="BB20" s="224">
        <v>107.57496286678361</v>
      </c>
      <c r="BC20" s="194"/>
      <c r="BD20" s="212">
        <v>91841.905729999999</v>
      </c>
      <c r="BE20" s="221">
        <f>BD20*E55</f>
        <v>29297567.927869998</v>
      </c>
      <c r="BF20" s="212">
        <v>11970450.74</v>
      </c>
      <c r="BG20" s="221">
        <f>BF20*E52</f>
        <v>2595157181.0593119</v>
      </c>
      <c r="BH20" s="213">
        <v>68.242832660000005</v>
      </c>
      <c r="BI20" s="221">
        <f>BH20*H56</f>
        <v>568690.27216666669</v>
      </c>
      <c r="BJ20" s="213">
        <v>107.5749629</v>
      </c>
      <c r="BK20" s="223">
        <f>BJ20*N52</f>
        <v>9737685641.7080002</v>
      </c>
      <c r="BL20" s="194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</row>
    <row r="21" spans="1:104" ht="15.5">
      <c r="B21" s="139">
        <f t="shared" si="6"/>
        <v>2036</v>
      </c>
      <c r="C21" s="209">
        <v>10.223679963649392</v>
      </c>
      <c r="D21" s="209">
        <v>23.307345729999724</v>
      </c>
      <c r="E21" s="209">
        <v>29.108797959999947</v>
      </c>
      <c r="F21" s="209">
        <v>35.888638629999605</v>
      </c>
      <c r="G21" s="209">
        <v>65.514265350066125</v>
      </c>
      <c r="H21" s="194"/>
      <c r="I21" s="210">
        <v>10.22367996</v>
      </c>
      <c r="J21" s="211">
        <f>I21*N52</f>
        <v>925447509.97920001</v>
      </c>
      <c r="K21" s="211">
        <f t="shared" si="0"/>
        <v>17888592.8212342</v>
      </c>
      <c r="L21" s="211"/>
      <c r="M21" s="212">
        <v>218169783.5</v>
      </c>
      <c r="N21" s="211">
        <f>M21*K52</f>
        <v>34106631400.829891</v>
      </c>
      <c r="O21" s="212">
        <v>36249247.590000004</v>
      </c>
      <c r="P21" s="211">
        <f>E52*O21</f>
        <v>7858726227.9804068</v>
      </c>
      <c r="Q21" s="212">
        <v>44301875.950000003</v>
      </c>
      <c r="R21" s="211">
        <f>Q21*H52</f>
        <v>9209578212.1941185</v>
      </c>
      <c r="S21" s="139">
        <f t="shared" si="3"/>
        <v>2036</v>
      </c>
      <c r="T21" s="209">
        <v>197.57931980400008</v>
      </c>
      <c r="U21" s="209">
        <v>25.786436648730035</v>
      </c>
      <c r="V21" s="209">
        <v>91.728534358695981</v>
      </c>
      <c r="W21" s="209">
        <v>91.728534358695981</v>
      </c>
      <c r="X21" s="194"/>
      <c r="Y21" s="213">
        <v>197.57931980000001</v>
      </c>
      <c r="Z21" s="211">
        <f>Y21*N52</f>
        <v>17884880028.296001</v>
      </c>
      <c r="AA21" s="212">
        <v>3167477.8</v>
      </c>
      <c r="AB21" s="211">
        <f t="shared" si="4"/>
        <v>1010425418.1999999</v>
      </c>
      <c r="AC21" s="212">
        <v>8666989.5299999993</v>
      </c>
      <c r="AD21" s="211">
        <f>AC21*E52</f>
        <v>1878976874.4284871</v>
      </c>
      <c r="AE21" s="213">
        <v>0.31299075100000001</v>
      </c>
      <c r="AF21" s="214">
        <f>AE21*H56*365</f>
        <v>952013.53429166682</v>
      </c>
      <c r="AG21" s="139">
        <f t="shared" si="1"/>
        <v>2036</v>
      </c>
      <c r="AH21" s="215">
        <v>2.0496939309193816</v>
      </c>
      <c r="AI21" s="215">
        <v>6.7624074074074142E-2</v>
      </c>
      <c r="AJ21" s="215">
        <v>0.02</v>
      </c>
      <c r="AK21" s="215">
        <v>6.6962469999999996</v>
      </c>
      <c r="AL21" s="215">
        <v>55.861350912979105</v>
      </c>
      <c r="AM21" s="194"/>
      <c r="AN21" s="212">
        <v>251774.22080000001</v>
      </c>
      <c r="AO21" s="211">
        <f>AN21*E55</f>
        <v>80315976.435200006</v>
      </c>
      <c r="AP21" s="212">
        <v>37344.173439999999</v>
      </c>
      <c r="AQ21" s="211">
        <f>AP21*E52</f>
        <v>8096102.8100384148</v>
      </c>
      <c r="AR21" s="213">
        <v>68.242832660000005</v>
      </c>
      <c r="AS21" s="216">
        <f>H56*365*AR21</f>
        <v>207571949.34083337</v>
      </c>
      <c r="AT21" s="211">
        <f t="shared" si="2"/>
        <v>1919130.5835051548</v>
      </c>
      <c r="AU21" s="118"/>
      <c r="AV21" s="213">
        <v>55.861350909999999</v>
      </c>
      <c r="AW21" s="214">
        <f>N52*AV21</f>
        <v>5056569484.3731995</v>
      </c>
      <c r="AX21" s="217">
        <f t="shared" si="5"/>
        <v>2036</v>
      </c>
      <c r="AY21" s="215">
        <v>0.72658189873590928</v>
      </c>
      <c r="AZ21" s="215">
        <v>43.973558719999801</v>
      </c>
      <c r="BA21" s="215">
        <v>0.02</v>
      </c>
      <c r="BB21" s="215">
        <v>110.61121550644748</v>
      </c>
      <c r="BC21" s="194"/>
      <c r="BD21" s="212">
        <v>89249.711219999997</v>
      </c>
      <c r="BE21" s="211">
        <f>BD21*E55</f>
        <v>28470657.879179999</v>
      </c>
      <c r="BF21" s="212">
        <v>11043818.74</v>
      </c>
      <c r="BG21" s="211">
        <f>BF21*E52</f>
        <v>2394266191.9703455</v>
      </c>
      <c r="BH21" s="213">
        <v>68.242832660000005</v>
      </c>
      <c r="BI21" s="211">
        <f>BH21*H56</f>
        <v>568690.27216666669</v>
      </c>
      <c r="BJ21" s="213">
        <v>110.6112155</v>
      </c>
      <c r="BK21" s="218">
        <f>BJ21*N52</f>
        <v>10012527227.059999</v>
      </c>
      <c r="BL21" s="194"/>
    </row>
    <row r="22" spans="1:104" ht="15.5">
      <c r="B22" s="139">
        <f t="shared" si="6"/>
        <v>2037</v>
      </c>
      <c r="C22" s="209">
        <v>11.139365410619448</v>
      </c>
      <c r="D22" s="209">
        <v>24.764054450000003</v>
      </c>
      <c r="E22" s="209">
        <v>29.705185679999886</v>
      </c>
      <c r="F22" s="209">
        <v>33.956760429999576</v>
      </c>
      <c r="G22" s="209">
        <v>61.8814716800116</v>
      </c>
      <c r="H22" s="194"/>
      <c r="I22" s="210">
        <v>11.13936541</v>
      </c>
      <c r="J22" s="211">
        <f>I22*N52</f>
        <v>1008335356.9132</v>
      </c>
      <c r="K22" s="211">
        <f t="shared" si="0"/>
        <v>19006629.574672215</v>
      </c>
      <c r="L22" s="211"/>
      <c r="M22" s="212">
        <v>220101671.09999999</v>
      </c>
      <c r="N22" s="211">
        <f>M22*K52</f>
        <v>34408644710.02417</v>
      </c>
      <c r="O22" s="212">
        <v>34199840.420000002</v>
      </c>
      <c r="P22" s="211">
        <f>E52*O22</f>
        <v>7414421009.2664833</v>
      </c>
      <c r="Q22" s="212">
        <v>41071213.649999999</v>
      </c>
      <c r="R22" s="211">
        <f>Q22*H52</f>
        <v>8537980531.7117653</v>
      </c>
      <c r="S22" s="139">
        <f t="shared" si="3"/>
        <v>2037</v>
      </c>
      <c r="T22" s="209">
        <v>199.91423733539978</v>
      </c>
      <c r="U22" s="209">
        <v>25.481702311841055</v>
      </c>
      <c r="V22" s="209">
        <v>91.637450604165309</v>
      </c>
      <c r="W22" s="209">
        <v>91.637450604165309</v>
      </c>
      <c r="X22" s="194"/>
      <c r="Y22" s="213">
        <v>199.9142373</v>
      </c>
      <c r="Z22" s="211">
        <f>Y22*N52</f>
        <v>18096236760.396</v>
      </c>
      <c r="AA22" s="212">
        <v>3130045.7</v>
      </c>
      <c r="AB22" s="211">
        <f t="shared" si="4"/>
        <v>998484578.30000007</v>
      </c>
      <c r="AC22" s="212">
        <v>7979204.2060000002</v>
      </c>
      <c r="AD22" s="211">
        <f>AC22*E52</f>
        <v>1729867115.625386</v>
      </c>
      <c r="AE22" s="213">
        <v>0.31267995999999998</v>
      </c>
      <c r="AF22" s="214">
        <f>AE22*H56*365</f>
        <v>951068.21166666679</v>
      </c>
      <c r="AG22" s="139">
        <f t="shared" si="1"/>
        <v>2037</v>
      </c>
      <c r="AH22" s="215">
        <v>2.0257023417221078</v>
      </c>
      <c r="AI22" s="215">
        <v>6.2422222222222289E-2</v>
      </c>
      <c r="AJ22" s="215">
        <v>0.02</v>
      </c>
      <c r="AK22" s="215">
        <v>6.5750826000000018</v>
      </c>
      <c r="AL22" s="215">
        <v>56.515205892443191</v>
      </c>
      <c r="AM22" s="194"/>
      <c r="AN22" s="212">
        <v>248827.2132</v>
      </c>
      <c r="AO22" s="211">
        <f>AN22*E55</f>
        <v>79375881.010800004</v>
      </c>
      <c r="AP22" s="212">
        <v>34471.544719999998</v>
      </c>
      <c r="AQ22" s="211">
        <f>AP22*E52</f>
        <v>7473325.672138826</v>
      </c>
      <c r="AR22" s="213">
        <v>68.242832660000005</v>
      </c>
      <c r="AS22" s="216">
        <f>H56*365*AR22</f>
        <v>207571949.34083337</v>
      </c>
      <c r="AT22" s="211">
        <f t="shared" si="2"/>
        <v>1884405.1162886601</v>
      </c>
      <c r="AU22" s="118"/>
      <c r="AV22" s="213">
        <v>56.515205889999997</v>
      </c>
      <c r="AW22" s="214">
        <f>N52*AV22</f>
        <v>5115756437.1627998</v>
      </c>
      <c r="AX22" s="217">
        <f t="shared" si="5"/>
        <v>2037</v>
      </c>
      <c r="AY22" s="215">
        <v>0.70767396440653318</v>
      </c>
      <c r="AZ22" s="215">
        <v>42.975447429999804</v>
      </c>
      <c r="BA22" s="215">
        <v>0.02</v>
      </c>
      <c r="BB22" s="215">
        <v>113.48966541350819</v>
      </c>
      <c r="BC22" s="194"/>
      <c r="BD22" s="212">
        <v>86927.154490000001</v>
      </c>
      <c r="BE22" s="211">
        <f>BD22*E55</f>
        <v>27729762.282310002</v>
      </c>
      <c r="BF22" s="212">
        <v>10167601.779999999</v>
      </c>
      <c r="BG22" s="211">
        <f>BF22*E52</f>
        <v>2204305029.6632724</v>
      </c>
      <c r="BH22" s="213">
        <v>68.242832660000005</v>
      </c>
      <c r="BI22" s="211">
        <f>BH22*H56</f>
        <v>568690.27216666669</v>
      </c>
      <c r="BJ22" s="213">
        <v>113.48966540000001</v>
      </c>
      <c r="BK22" s="218">
        <f>BJ22*N52</f>
        <v>10273084512.008001</v>
      </c>
      <c r="BL22" s="194"/>
    </row>
    <row r="23" spans="1:104" ht="15.5">
      <c r="B23" s="139">
        <f t="shared" si="6"/>
        <v>2038</v>
      </c>
      <c r="C23" s="209">
        <v>12.271776490587483</v>
      </c>
      <c r="D23" s="209">
        <v>26.220763169999827</v>
      </c>
      <c r="E23" s="209">
        <v>30.301573399999825</v>
      </c>
      <c r="F23" s="209">
        <v>32.024882229999548</v>
      </c>
      <c r="G23" s="209">
        <v>58.087832290038932</v>
      </c>
      <c r="H23" s="194"/>
      <c r="I23" s="210">
        <v>12.271776490000001</v>
      </c>
      <c r="J23" s="211">
        <f>I23*N52</f>
        <v>1110841207.8748</v>
      </c>
      <c r="K23" s="211">
        <f t="shared" si="0"/>
        <v>20124666.328109875</v>
      </c>
      <c r="L23" s="211"/>
      <c r="M23" s="212">
        <v>222033558.69999999</v>
      </c>
      <c r="N23" s="211">
        <f>M23*K52</f>
        <v>34710658019.218445</v>
      </c>
      <c r="O23" s="212">
        <v>32078067.399999999</v>
      </c>
      <c r="P23" s="211">
        <f>E52*O23</f>
        <v>6954427095.166728</v>
      </c>
      <c r="Q23" s="212">
        <v>37850669.210000001</v>
      </c>
      <c r="R23" s="211">
        <f>Q23*H52</f>
        <v>7868486175.7729425</v>
      </c>
      <c r="S23" s="139">
        <f t="shared" si="3"/>
        <v>2038</v>
      </c>
      <c r="T23" s="209">
        <v>202.24915486680038</v>
      </c>
      <c r="U23" s="209">
        <v>25.18408632285059</v>
      </c>
      <c r="V23" s="209">
        <v>91.337053707471227</v>
      </c>
      <c r="W23" s="209">
        <v>91.337053707471227</v>
      </c>
      <c r="X23" s="194"/>
      <c r="Y23" s="213">
        <v>202.24915490000001</v>
      </c>
      <c r="Z23" s="211">
        <f>Y23*N52</f>
        <v>18307593501.548</v>
      </c>
      <c r="AA23" s="212">
        <v>3093488.1</v>
      </c>
      <c r="AB23" s="211">
        <f t="shared" si="4"/>
        <v>986822703.89999998</v>
      </c>
      <c r="AC23" s="212">
        <v>7329319.3559999997</v>
      </c>
      <c r="AD23" s="211">
        <f>AC23*E52</f>
        <v>1588974063.8956432</v>
      </c>
      <c r="AE23" s="213">
        <v>0.31165496399999998</v>
      </c>
      <c r="AF23" s="214">
        <f>AE23*H56*365</f>
        <v>947950.51549999998</v>
      </c>
      <c r="AG23" s="139">
        <f t="shared" si="1"/>
        <v>2038</v>
      </c>
      <c r="AH23" s="215">
        <v>2.0006099242232889</v>
      </c>
      <c r="AI23" s="215">
        <v>5.7220370370370435E-2</v>
      </c>
      <c r="AJ23" s="215">
        <v>0.01</v>
      </c>
      <c r="AK23" s="215">
        <v>6.4539182000000039</v>
      </c>
      <c r="AL23" s="215">
        <v>57.21526093610737</v>
      </c>
      <c r="AM23" s="194"/>
      <c r="AN23" s="212">
        <v>245744.9853</v>
      </c>
      <c r="AO23" s="211">
        <f>AN23*E55</f>
        <v>78392650.310699999</v>
      </c>
      <c r="AP23" s="212">
        <v>31598.915990000001</v>
      </c>
      <c r="AQ23" s="211">
        <f>AP23*E52</f>
        <v>6850548.5320712682</v>
      </c>
      <c r="AR23" s="213">
        <v>34.121416330000002</v>
      </c>
      <c r="AS23" s="216">
        <f>H56*365*AR23</f>
        <v>103785974.67041668</v>
      </c>
      <c r="AT23" s="211">
        <f t="shared" si="2"/>
        <v>1849679.6490721658</v>
      </c>
      <c r="AU23" s="118"/>
      <c r="AV23" s="213">
        <v>57.21526094</v>
      </c>
      <c r="AW23" s="214">
        <f>N52*AV23</f>
        <v>5179125420.2888002</v>
      </c>
      <c r="AX23" s="217">
        <f t="shared" si="5"/>
        <v>2038</v>
      </c>
      <c r="AY23" s="215">
        <v>0.69070914946374928</v>
      </c>
      <c r="AZ23" s="215">
        <v>41.977336139999807</v>
      </c>
      <c r="BA23" s="215">
        <v>0.01</v>
      </c>
      <c r="BB23" s="215">
        <v>116.21031258790754</v>
      </c>
      <c r="BC23" s="194"/>
      <c r="BD23" s="212">
        <v>84843.280889999995</v>
      </c>
      <c r="BE23" s="211">
        <f>BD23*E55</f>
        <v>27065006.603909999</v>
      </c>
      <c r="BF23" s="212">
        <v>9341799.8599999994</v>
      </c>
      <c r="BG23" s="211">
        <f>BF23*E52</f>
        <v>2025273694.1380935</v>
      </c>
      <c r="BH23" s="213">
        <v>34.121416330000002</v>
      </c>
      <c r="BI23" s="211">
        <f>BH23*H56</f>
        <v>284345.13608333335</v>
      </c>
      <c r="BJ23" s="213">
        <v>116.21031259999999</v>
      </c>
      <c r="BK23" s="218">
        <f>BJ23*N52</f>
        <v>10519357496.552</v>
      </c>
      <c r="BL23" s="194"/>
    </row>
    <row r="24" spans="1:104" ht="15.5">
      <c r="B24" s="139">
        <f t="shared" si="6"/>
        <v>2039</v>
      </c>
      <c r="C24" s="209">
        <v>13.6462443282694</v>
      </c>
      <c r="D24" s="209">
        <v>27.677471890000106</v>
      </c>
      <c r="E24" s="209">
        <v>30.897961119999991</v>
      </c>
      <c r="F24" s="209">
        <v>30.09300402999952</v>
      </c>
      <c r="G24" s="209">
        <v>54.133347179973498</v>
      </c>
      <c r="H24" s="194"/>
      <c r="I24" s="210">
        <v>13.64624433</v>
      </c>
      <c r="J24" s="211">
        <f>I24*N52</f>
        <v>1235258036.7516</v>
      </c>
      <c r="K24" s="211">
        <f t="shared" si="0"/>
        <v>21242703.08154789</v>
      </c>
      <c r="L24" s="211"/>
      <c r="M24" s="212">
        <v>223965446.40000001</v>
      </c>
      <c r="N24" s="211">
        <f>M24*K52</f>
        <v>35012671344.045792</v>
      </c>
      <c r="O24" s="212">
        <v>29883928.539999999</v>
      </c>
      <c r="P24" s="211">
        <f>E52*O24</f>
        <v>6478744487.8491116</v>
      </c>
      <c r="Q24" s="212">
        <v>34640242.609999999</v>
      </c>
      <c r="R24" s="211">
        <f>Q24*H52</f>
        <v>7201095140.2200003</v>
      </c>
      <c r="S24" s="139">
        <f t="shared" si="3"/>
        <v>2039</v>
      </c>
      <c r="T24" s="209">
        <v>204.58407239820008</v>
      </c>
      <c r="U24" s="209">
        <v>24.893342142949148</v>
      </c>
      <c r="V24" s="209">
        <v>90.827466937961205</v>
      </c>
      <c r="W24" s="209">
        <v>90.827466937961205</v>
      </c>
      <c r="X24" s="194"/>
      <c r="Y24" s="213">
        <v>204.5840724</v>
      </c>
      <c r="Z24" s="211">
        <f>Y24*N52</f>
        <v>18518950233.647999</v>
      </c>
      <c r="AA24" s="212">
        <v>3057774.5</v>
      </c>
      <c r="AB24" s="211">
        <f t="shared" si="4"/>
        <v>975430065.5</v>
      </c>
      <c r="AC24" s="212">
        <v>6717334.9780000001</v>
      </c>
      <c r="AD24" s="211">
        <f>AC24*E52</f>
        <v>1456297718.805666</v>
      </c>
      <c r="AE24" s="213">
        <v>0.30991618100000001</v>
      </c>
      <c r="AF24" s="214">
        <f>AE24*H56*365</f>
        <v>942661.71720833343</v>
      </c>
      <c r="AG24" s="139">
        <f t="shared" si="1"/>
        <v>2039</v>
      </c>
      <c r="AH24" s="215">
        <v>1.9745160927799437</v>
      </c>
      <c r="AI24" s="215">
        <v>5.2018518518518582E-2</v>
      </c>
      <c r="AJ24" s="215">
        <v>0.01</v>
      </c>
      <c r="AK24" s="215">
        <v>6.3327538000000061</v>
      </c>
      <c r="AL24" s="215">
        <v>57.961516044000746</v>
      </c>
      <c r="AM24" s="194"/>
      <c r="AN24" s="212">
        <v>242539.74859999999</v>
      </c>
      <c r="AO24" s="211">
        <f>AN24*E55</f>
        <v>77370179.803399995</v>
      </c>
      <c r="AP24" s="212">
        <v>28726.287260000001</v>
      </c>
      <c r="AQ24" s="211">
        <f>AP24*E52</f>
        <v>6227771.3920037095</v>
      </c>
      <c r="AR24" s="213">
        <v>34.121416330000002</v>
      </c>
      <c r="AS24" s="216">
        <f>H56*365*AR24</f>
        <v>103785974.67041668</v>
      </c>
      <c r="AT24" s="211">
        <f t="shared" si="2"/>
        <v>1814954.181855672</v>
      </c>
      <c r="AU24" s="118"/>
      <c r="AV24" s="213">
        <v>57.961516039999999</v>
      </c>
      <c r="AW24" s="214">
        <f>N52*AV24</f>
        <v>5246676431.9407997</v>
      </c>
      <c r="AX24" s="217">
        <f t="shared" si="5"/>
        <v>2039</v>
      </c>
      <c r="AY24" s="215">
        <v>0.67547659337383681</v>
      </c>
      <c r="AZ24" s="215">
        <v>40.97922484999981</v>
      </c>
      <c r="BA24" s="215">
        <v>0.01</v>
      </c>
      <c r="BB24" s="215">
        <v>118.77315702987835</v>
      </c>
      <c r="BC24" s="194"/>
      <c r="BD24" s="212">
        <v>82972.189369999993</v>
      </c>
      <c r="BE24" s="211">
        <f>BD24*E55</f>
        <v>26468128.409029998</v>
      </c>
      <c r="BF24" s="212">
        <v>8566412.9849999994</v>
      </c>
      <c r="BG24" s="211">
        <f>BF24*E52</f>
        <v>1857172186.4787929</v>
      </c>
      <c r="BH24" s="213">
        <v>34.121416330000002</v>
      </c>
      <c r="BI24" s="211">
        <f>BH24*H56</f>
        <v>284345.13608333335</v>
      </c>
      <c r="BJ24" s="213">
        <v>118.773157</v>
      </c>
      <c r="BK24" s="218">
        <f>BJ24*N52</f>
        <v>10751346171.639999</v>
      </c>
      <c r="BL24" s="194"/>
    </row>
    <row r="25" spans="1:104" s="228" customFormat="1" ht="15.5">
      <c r="A25" s="52"/>
      <c r="B25" s="219">
        <f t="shared" si="6"/>
        <v>2040</v>
      </c>
      <c r="C25" s="220">
        <v>15.288100063282275</v>
      </c>
      <c r="D25" s="220">
        <v>29.13418060999993</v>
      </c>
      <c r="E25" s="220">
        <v>31.49434883999993</v>
      </c>
      <c r="F25" s="220">
        <v>28.161125829999946</v>
      </c>
      <c r="G25" s="220">
        <v>50.018016350106336</v>
      </c>
      <c r="H25" s="194"/>
      <c r="I25" s="210">
        <v>15.28810006</v>
      </c>
      <c r="J25" s="221">
        <f>I25*N52</f>
        <v>1383878817.4312</v>
      </c>
      <c r="K25" s="222">
        <f t="shared" si="0"/>
        <v>22360739.834985558</v>
      </c>
      <c r="L25" s="221"/>
      <c r="M25" s="212">
        <v>225897334</v>
      </c>
      <c r="N25" s="221">
        <f>M25*K52</f>
        <v>35314684653.240067</v>
      </c>
      <c r="O25" s="212">
        <v>27617423.850000001</v>
      </c>
      <c r="P25" s="221">
        <f>E52*O25</f>
        <v>5987373189.4816027</v>
      </c>
      <c r="Q25" s="212">
        <v>31439933.859999999</v>
      </c>
      <c r="R25" s="221">
        <f>Q25*H52</f>
        <v>6535807427.1317654</v>
      </c>
      <c r="S25" s="219">
        <f t="shared" si="3"/>
        <v>2040</v>
      </c>
      <c r="T25" s="220">
        <v>206.91898992959977</v>
      </c>
      <c r="U25" s="220">
        <v>18.019152479502555</v>
      </c>
      <c r="V25" s="220">
        <v>93.403848941835435</v>
      </c>
      <c r="W25" s="220">
        <v>93.403848941835435</v>
      </c>
      <c r="X25" s="194"/>
      <c r="Y25" s="213">
        <v>206.91898990000001</v>
      </c>
      <c r="Z25" s="221">
        <f>Y25*N52</f>
        <v>18730306965.748001</v>
      </c>
      <c r="AA25" s="212">
        <v>2213383.2000000002</v>
      </c>
      <c r="AB25" s="221">
        <f t="shared" si="4"/>
        <v>706069240.80000007</v>
      </c>
      <c r="AC25" s="212">
        <v>6143251.074</v>
      </c>
      <c r="AD25" s="221">
        <f>AC25*E52</f>
        <v>1331838080.7890472</v>
      </c>
      <c r="AE25" s="213">
        <v>0.31870716199999999</v>
      </c>
      <c r="AF25" s="223">
        <f>AE25*H56*365</f>
        <v>969400.95108333346</v>
      </c>
      <c r="AG25" s="219">
        <f t="shared" si="1"/>
        <v>2040</v>
      </c>
      <c r="AH25" s="224">
        <v>1.4292619425998181</v>
      </c>
      <c r="AI25" s="224">
        <v>4.6816666666666729E-2</v>
      </c>
      <c r="AJ25" s="224">
        <v>0.01</v>
      </c>
      <c r="AK25" s="224">
        <v>6.2115894000000083</v>
      </c>
      <c r="AL25" s="224">
        <v>58.75397121613787</v>
      </c>
      <c r="AM25" s="194"/>
      <c r="AN25" s="212">
        <v>175563.43729999999</v>
      </c>
      <c r="AO25" s="221">
        <f>AN25*E55</f>
        <v>56004736.4987</v>
      </c>
      <c r="AP25" s="212">
        <v>25853.65854</v>
      </c>
      <c r="AQ25" s="221">
        <f>AP25*E52</f>
        <v>5604994.2541041197</v>
      </c>
      <c r="AR25" s="213">
        <v>34.121416330000002</v>
      </c>
      <c r="AS25" s="225">
        <f>H56*365*AR25</f>
        <v>103785974.67041668</v>
      </c>
      <c r="AT25" s="222">
        <f t="shared" si="2"/>
        <v>1780228.7146391775</v>
      </c>
      <c r="AU25" s="226"/>
      <c r="AV25" s="213">
        <v>58.753971219999997</v>
      </c>
      <c r="AW25" s="223">
        <f>N52*AV25</f>
        <v>5318409474.8344002</v>
      </c>
      <c r="AX25" s="227">
        <f t="shared" si="5"/>
        <v>2040</v>
      </c>
      <c r="AY25" s="224">
        <v>0.48894662928117916</v>
      </c>
      <c r="AZ25" s="224">
        <v>39.981113559999812</v>
      </c>
      <c r="BA25" s="224">
        <v>0.01</v>
      </c>
      <c r="BB25" s="224">
        <v>121.17819873936241</v>
      </c>
      <c r="BC25" s="194"/>
      <c r="BD25" s="212">
        <v>60059.775150000001</v>
      </c>
      <c r="BE25" s="221">
        <f>BD25*E55</f>
        <v>19159068.272849999</v>
      </c>
      <c r="BF25" s="212">
        <v>7841441.1519999998</v>
      </c>
      <c r="BG25" s="221">
        <f>BF25*E52</f>
        <v>1700000506.0349803</v>
      </c>
      <c r="BH25" s="213">
        <v>34.121416330000002</v>
      </c>
      <c r="BI25" s="221">
        <f>BH25*H56</f>
        <v>284345.13608333335</v>
      </c>
      <c r="BJ25" s="213">
        <v>121.1781987</v>
      </c>
      <c r="BK25" s="223">
        <f>BJ25*N52</f>
        <v>10969050546.323999</v>
      </c>
      <c r="BL25" s="194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</row>
    <row r="26" spans="1:104" ht="15.5">
      <c r="B26" s="139">
        <f t="shared" si="6"/>
        <v>2041</v>
      </c>
      <c r="C26" s="209">
        <v>17.222674790539688</v>
      </c>
      <c r="D26" s="209">
        <v>30.590889329999754</v>
      </c>
      <c r="E26" s="209">
        <v>32.090736559999868</v>
      </c>
      <c r="F26" s="209">
        <v>26.229247629999918</v>
      </c>
      <c r="G26" s="209">
        <v>45.741839800088201</v>
      </c>
      <c r="H26" s="194"/>
      <c r="I26" s="210">
        <v>17.222674789999999</v>
      </c>
      <c r="J26" s="211">
        <f>I26*N52</f>
        <v>1558996521.9907999</v>
      </c>
      <c r="K26" s="211">
        <f t="shared" si="0"/>
        <v>23478776.588423219</v>
      </c>
      <c r="L26" s="211"/>
      <c r="M26" s="212">
        <v>227829221.59999999</v>
      </c>
      <c r="N26" s="211">
        <f>M26*K52</f>
        <v>35616697962.434341</v>
      </c>
      <c r="O26" s="212">
        <v>25278553.300000001</v>
      </c>
      <c r="P26" s="211">
        <f>E52*O26</f>
        <v>5480313193.5602932</v>
      </c>
      <c r="Q26" s="212">
        <v>28249742.960000001</v>
      </c>
      <c r="R26" s="211">
        <f>Q26*H52</f>
        <v>5872623036.5082359</v>
      </c>
      <c r="S26" s="139">
        <f t="shared" si="3"/>
        <v>2041</v>
      </c>
      <c r="T26" s="209">
        <v>209.25390746100038</v>
      </c>
      <c r="U26" s="209">
        <v>17.815820561829433</v>
      </c>
      <c r="V26" s="209">
        <v>92.439048104608801</v>
      </c>
      <c r="W26" s="209">
        <v>92.439048104608801</v>
      </c>
      <c r="X26" s="194"/>
      <c r="Y26" s="213">
        <v>209.2539075</v>
      </c>
      <c r="Z26" s="211">
        <f>Y26*N52</f>
        <v>18941663706.900002</v>
      </c>
      <c r="AA26" s="212">
        <v>2188406.9</v>
      </c>
      <c r="AB26" s="211">
        <f t="shared" si="4"/>
        <v>698101801.10000002</v>
      </c>
      <c r="AC26" s="212">
        <v>5607067.6430000002</v>
      </c>
      <c r="AD26" s="211">
        <f>AC26*E52</f>
        <v>1215595149.6289907</v>
      </c>
      <c r="AE26" s="213">
        <v>0.31541512500000002</v>
      </c>
      <c r="AF26" s="214">
        <f>AE26*H56*365</f>
        <v>959387.67187500012</v>
      </c>
      <c r="AG26" s="139">
        <f t="shared" si="1"/>
        <v>2041</v>
      </c>
      <c r="AH26" s="215">
        <v>1.4088606320577044</v>
      </c>
      <c r="AI26" s="215">
        <v>4.1614814814814875E-2</v>
      </c>
      <c r="AJ26" s="215">
        <v>0</v>
      </c>
      <c r="AK26" s="215">
        <v>6.0904250000000104</v>
      </c>
      <c r="AL26" s="215">
        <v>59.592626452547847</v>
      </c>
      <c r="AM26" s="194"/>
      <c r="AN26" s="212">
        <v>173057.4417</v>
      </c>
      <c r="AO26" s="211">
        <f>AN26*E55</f>
        <v>55205323.9023</v>
      </c>
      <c r="AP26" s="212">
        <v>22981.02981</v>
      </c>
      <c r="AQ26" s="211">
        <f>AP26*E52</f>
        <v>4982217.114036561</v>
      </c>
      <c r="AR26" s="213">
        <v>0</v>
      </c>
      <c r="AS26" s="216">
        <f>H56*365*AR26</f>
        <v>0</v>
      </c>
      <c r="AT26" s="211">
        <f t="shared" si="2"/>
        <v>1745503.2474226833</v>
      </c>
      <c r="AU26" s="118"/>
      <c r="AV26" s="213">
        <v>59.592626449999997</v>
      </c>
      <c r="AW26" s="214">
        <f>N52*AV26</f>
        <v>5394324546.2539997</v>
      </c>
      <c r="AX26" s="217">
        <f t="shared" si="5"/>
        <v>2041</v>
      </c>
      <c r="AY26" s="215">
        <v>0.47987915729062308</v>
      </c>
      <c r="AZ26" s="215">
        <v>38.983002269999815</v>
      </c>
      <c r="BA26" s="215">
        <v>0</v>
      </c>
      <c r="BB26" s="215">
        <v>123.42543771624332</v>
      </c>
      <c r="BC26" s="194"/>
      <c r="BD26" s="212">
        <v>58945.97193</v>
      </c>
      <c r="BE26" s="211">
        <f>BD26*E55</f>
        <v>18803765.045669999</v>
      </c>
      <c r="BF26" s="212">
        <v>7166884.3629999999</v>
      </c>
      <c r="BG26" s="211">
        <f>BF26*E52</f>
        <v>1553758653.2402489</v>
      </c>
      <c r="BH26" s="213">
        <v>0</v>
      </c>
      <c r="BI26" s="211"/>
      <c r="BJ26" s="213">
        <v>123.4254377</v>
      </c>
      <c r="BK26" s="218">
        <f>BJ26*N52</f>
        <v>11172470620.604</v>
      </c>
      <c r="BL26" s="194"/>
    </row>
    <row r="27" spans="1:104" ht="15.5">
      <c r="B27" s="139">
        <f t="shared" si="6"/>
        <v>2042</v>
      </c>
      <c r="C27" s="209">
        <v>19.475299560251742</v>
      </c>
      <c r="D27" s="209">
        <v>32.047598050000033</v>
      </c>
      <c r="E27" s="209">
        <v>32.687124279999807</v>
      </c>
      <c r="F27" s="209">
        <v>24.29736942999989</v>
      </c>
      <c r="G27" s="209">
        <v>41.304817530035507</v>
      </c>
      <c r="H27" s="194"/>
      <c r="I27" s="210">
        <v>19.47529956</v>
      </c>
      <c r="J27" s="211">
        <f>I27*N52</f>
        <v>1762904116.1712</v>
      </c>
      <c r="K27" s="211">
        <f t="shared" si="0"/>
        <v>24596813.341861237</v>
      </c>
      <c r="L27" s="211"/>
      <c r="M27" s="212">
        <v>229761109.19999999</v>
      </c>
      <c r="N27" s="211">
        <f>M27*K52</f>
        <v>35918711271.628616</v>
      </c>
      <c r="O27" s="212">
        <v>22867316.920000002</v>
      </c>
      <c r="P27" s="211">
        <f>E52*O27</f>
        <v>4957564506.5890903</v>
      </c>
      <c r="Q27" s="212">
        <v>25069669.91</v>
      </c>
      <c r="R27" s="211">
        <f>Q27*H52</f>
        <v>5211541968.349412</v>
      </c>
      <c r="S27" s="139">
        <f t="shared" si="3"/>
        <v>2042</v>
      </c>
      <c r="T27" s="209">
        <v>211.58882499240008</v>
      </c>
      <c r="U27" s="209">
        <v>17.617026320561372</v>
      </c>
      <c r="V27" s="209">
        <v>91.26622446079179</v>
      </c>
      <c r="W27" s="209">
        <v>91.26622446079179</v>
      </c>
      <c r="X27" s="194"/>
      <c r="Y27" s="213">
        <v>211.58882500000001</v>
      </c>
      <c r="Z27" s="211">
        <f>Y27*N52</f>
        <v>19153020439</v>
      </c>
      <c r="AA27" s="212">
        <v>2163988</v>
      </c>
      <c r="AB27" s="211">
        <f t="shared" si="4"/>
        <v>690312172</v>
      </c>
      <c r="AC27" s="212">
        <v>5108784.6849999996</v>
      </c>
      <c r="AD27" s="211">
        <f>AC27*E52</f>
        <v>1107568925.3254957</v>
      </c>
      <c r="AE27" s="213">
        <v>0.31141328400000001</v>
      </c>
      <c r="AF27" s="214">
        <f>AE27*H56*365</f>
        <v>947215.40550000011</v>
      </c>
      <c r="AG27" s="139">
        <f t="shared" si="1"/>
        <v>2042</v>
      </c>
      <c r="AH27" s="215">
        <v>1.3879413023971838</v>
      </c>
      <c r="AI27" s="215">
        <v>3.6412962962963022E-2</v>
      </c>
      <c r="AJ27" s="215">
        <v>0</v>
      </c>
      <c r="AK27" s="215">
        <v>5.9692605999999842</v>
      </c>
      <c r="AL27" s="215">
        <v>60.477481753157917</v>
      </c>
      <c r="AM27" s="194"/>
      <c r="AN27" s="212">
        <v>170487.81510000001</v>
      </c>
      <c r="AO27" s="211">
        <f>AN27*E55</f>
        <v>54385613.016900003</v>
      </c>
      <c r="AP27" s="212">
        <v>20108.40108</v>
      </c>
      <c r="AQ27" s="211">
        <f>AP27*E52</f>
        <v>4359439.9739690023</v>
      </c>
      <c r="AR27" s="213">
        <v>0</v>
      </c>
      <c r="AS27" s="216">
        <f t="shared" ref="AS27:AS35" si="7">H77*365*AR27</f>
        <v>0</v>
      </c>
      <c r="AT27" s="211">
        <f t="shared" si="2"/>
        <v>1710777.7802061809</v>
      </c>
      <c r="AU27" s="118"/>
      <c r="AV27" s="213">
        <v>60.477481750000003</v>
      </c>
      <c r="AW27" s="214">
        <f>N52*AV27</f>
        <v>5474421648.0100002</v>
      </c>
      <c r="AX27" s="217">
        <f t="shared" si="5"/>
        <v>2042</v>
      </c>
      <c r="AY27" s="215">
        <v>0.47175541130498988</v>
      </c>
      <c r="AZ27" s="215">
        <v>37.984890979999818</v>
      </c>
      <c r="BA27" s="215">
        <v>0</v>
      </c>
      <c r="BB27" s="215">
        <v>125.51487396063749</v>
      </c>
      <c r="BC27" s="194"/>
      <c r="BD27" s="212">
        <v>57948.091330000003</v>
      </c>
      <c r="BE27" s="211">
        <f>BD27*E55</f>
        <v>18485441.134270001</v>
      </c>
      <c r="BF27" s="212">
        <v>6542742.6160000004</v>
      </c>
      <c r="BG27" s="211">
        <f>BF27*E52</f>
        <v>1418446627.6610057</v>
      </c>
      <c r="BH27" s="213">
        <v>0</v>
      </c>
      <c r="BI27" s="215"/>
      <c r="BJ27" s="213">
        <v>125.51487400000001</v>
      </c>
      <c r="BK27" s="218">
        <f>BJ27*N52</f>
        <v>11361606394.480001</v>
      </c>
      <c r="BL27" s="194"/>
    </row>
    <row r="28" spans="1:104" ht="15.5">
      <c r="B28" s="139">
        <f t="shared" si="6"/>
        <v>2043</v>
      </c>
      <c r="C28" s="209">
        <v>22.071305571640153</v>
      </c>
      <c r="D28" s="209">
        <v>33.504306769999857</v>
      </c>
      <c r="E28" s="209">
        <v>33.283511999999973</v>
      </c>
      <c r="F28" s="209">
        <v>22.365491229999861</v>
      </c>
      <c r="G28" s="209">
        <v>36.706949540006462</v>
      </c>
      <c r="H28" s="194"/>
      <c r="I28" s="210">
        <v>22.07130557</v>
      </c>
      <c r="J28" s="211">
        <f>I28*N52</f>
        <v>1997894580.1963999</v>
      </c>
      <c r="K28" s="211">
        <f t="shared" si="0"/>
        <v>25714850.095298897</v>
      </c>
      <c r="L28" s="211"/>
      <c r="M28" s="212">
        <v>231692996.80000001</v>
      </c>
      <c r="N28" s="211">
        <f>M28*K52</f>
        <v>36220724580.822899</v>
      </c>
      <c r="O28" s="212">
        <v>20383714.690000001</v>
      </c>
      <c r="P28" s="211">
        <f>E52*O28</f>
        <v>4419127124.2320566</v>
      </c>
      <c r="Q28" s="212">
        <v>21899714.710000001</v>
      </c>
      <c r="R28" s="211">
        <f>Q28*H52</f>
        <v>4552564222.6552944</v>
      </c>
      <c r="S28" s="139">
        <f t="shared" si="3"/>
        <v>2043</v>
      </c>
      <c r="T28" s="209">
        <v>213.92374252379977</v>
      </c>
      <c r="U28" s="209">
        <v>17.422619533678908</v>
      </c>
      <c r="V28" s="209">
        <v>89.88545312156829</v>
      </c>
      <c r="W28" s="209">
        <v>89.88545312156829</v>
      </c>
      <c r="X28" s="194"/>
      <c r="Y28" s="213">
        <v>213.9237425</v>
      </c>
      <c r="Z28" s="211">
        <f>Y28*N52</f>
        <v>19364377171.099998</v>
      </c>
      <c r="AA28" s="212">
        <v>2140108</v>
      </c>
      <c r="AB28" s="211">
        <f t="shared" si="4"/>
        <v>682694452</v>
      </c>
      <c r="AC28" s="212">
        <v>4648402.2</v>
      </c>
      <c r="AD28" s="211">
        <f>AC28*E52</f>
        <v>1007759407.8785628</v>
      </c>
      <c r="AE28" s="213">
        <v>0.306701897</v>
      </c>
      <c r="AF28" s="214">
        <f>AE28*H56*365</f>
        <v>932884.93670833344</v>
      </c>
      <c r="AG28" s="139">
        <f t="shared" si="1"/>
        <v>2043</v>
      </c>
      <c r="AH28" s="215">
        <v>1.3665738420099725</v>
      </c>
      <c r="AI28" s="215">
        <v>3.1211111111111172E-2</v>
      </c>
      <c r="AJ28" s="215">
        <v>0</v>
      </c>
      <c r="AK28" s="215">
        <v>5.8480961999999863</v>
      </c>
      <c r="AL28" s="215">
        <v>61.408537117997184</v>
      </c>
      <c r="AM28" s="194"/>
      <c r="AN28" s="212">
        <v>167863.14240000001</v>
      </c>
      <c r="AO28" s="211">
        <f>AN28*E55</f>
        <v>53548342.425600007</v>
      </c>
      <c r="AP28" s="212">
        <v>17235.772359999999</v>
      </c>
      <c r="AQ28" s="211">
        <f>AP28*E52</f>
        <v>3736662.836069413</v>
      </c>
      <c r="AR28" s="213">
        <v>0</v>
      </c>
      <c r="AS28" s="216">
        <f t="shared" si="7"/>
        <v>0</v>
      </c>
      <c r="AT28" s="211">
        <f t="shared" si="2"/>
        <v>1676052.3129896866</v>
      </c>
      <c r="AU28" s="118"/>
      <c r="AV28" s="213">
        <v>61.408537119999998</v>
      </c>
      <c r="AW28" s="214">
        <f>N52*AV28</f>
        <v>5558700780.1023998</v>
      </c>
      <c r="AX28" s="217">
        <f t="shared" si="5"/>
        <v>2043</v>
      </c>
      <c r="AY28" s="215">
        <v>0.46449524736512687</v>
      </c>
      <c r="AZ28" s="215">
        <v>36.986779689999821</v>
      </c>
      <c r="BA28" s="215">
        <v>0</v>
      </c>
      <c r="BB28" s="215">
        <v>127.44650747242849</v>
      </c>
      <c r="BC28" s="194"/>
      <c r="BD28" s="212">
        <v>57056.288849999997</v>
      </c>
      <c r="BE28" s="211">
        <f>BD28*E55</f>
        <v>18200956.143149998</v>
      </c>
      <c r="BF28" s="212">
        <v>5969015.9119999995</v>
      </c>
      <c r="BG28" s="211">
        <f>BF28*E52</f>
        <v>1294064429.5140467</v>
      </c>
      <c r="BH28" s="213">
        <v>0</v>
      </c>
      <c r="BI28" s="215"/>
      <c r="BJ28" s="213">
        <v>127.4465075</v>
      </c>
      <c r="BK28" s="218">
        <f>BJ28*N52</f>
        <v>11536457858.9</v>
      </c>
      <c r="BL28" s="194"/>
    </row>
    <row r="29" spans="1:104" ht="15.5">
      <c r="B29" s="139">
        <f t="shared" si="6"/>
        <v>2044</v>
      </c>
      <c r="C29" s="209">
        <v>25.036023904717347</v>
      </c>
      <c r="D29" s="209">
        <v>34.961015489999681</v>
      </c>
      <c r="E29" s="209">
        <v>33.879899719999912</v>
      </c>
      <c r="F29" s="209">
        <v>20.433613029999833</v>
      </c>
      <c r="G29" s="209">
        <v>31.948235830001067</v>
      </c>
      <c r="H29" s="194"/>
      <c r="I29" s="210">
        <v>25.0360239</v>
      </c>
      <c r="J29" s="211">
        <f>I29*N52</f>
        <v>2266260883.428</v>
      </c>
      <c r="K29" s="211">
        <f t="shared" si="0"/>
        <v>26832886.848736566</v>
      </c>
      <c r="L29" s="211"/>
      <c r="M29" s="212">
        <v>233624884.40000001</v>
      </c>
      <c r="N29" s="211">
        <f>M29*K52</f>
        <v>36522737890.017174</v>
      </c>
      <c r="O29" s="212">
        <v>17827746.620000001</v>
      </c>
      <c r="P29" s="211">
        <f>E52*O29</f>
        <v>3865001048.6571603</v>
      </c>
      <c r="Q29" s="212">
        <v>18739877.359999999</v>
      </c>
      <c r="R29" s="211">
        <f>Q29*H52</f>
        <v>3895689799.4258828</v>
      </c>
      <c r="S29" s="139">
        <f t="shared" si="3"/>
        <v>2044</v>
      </c>
      <c r="T29" s="209">
        <v>216.25866005520038</v>
      </c>
      <c r="U29" s="209">
        <v>17.232456537687082</v>
      </c>
      <c r="V29" s="209">
        <v>88.296805918627115</v>
      </c>
      <c r="W29" s="209">
        <v>88.296805918627115</v>
      </c>
      <c r="X29" s="194"/>
      <c r="Y29" s="213">
        <v>216.25866009999999</v>
      </c>
      <c r="Z29" s="211">
        <f>Y29*N52</f>
        <v>19575733912.251999</v>
      </c>
      <c r="AA29" s="212">
        <v>2116749.4</v>
      </c>
      <c r="AB29" s="211">
        <f t="shared" si="4"/>
        <v>675243058.60000002</v>
      </c>
      <c r="AC29" s="212">
        <v>4225920.1880000001</v>
      </c>
      <c r="AD29" s="211">
        <f>AC29*E52</f>
        <v>916166597.2881918</v>
      </c>
      <c r="AE29" s="213">
        <v>0.30128120800000002</v>
      </c>
      <c r="AF29" s="214">
        <f>AE29*H56*365</f>
        <v>916397.00766666676</v>
      </c>
      <c r="AG29" s="139">
        <f t="shared" si="1"/>
        <v>2044</v>
      </c>
      <c r="AH29" s="215">
        <v>1.3448261865688291</v>
      </c>
      <c r="AI29" s="215">
        <v>2.6009259259259322E-2</v>
      </c>
      <c r="AJ29" s="215">
        <v>0</v>
      </c>
      <c r="AK29" s="215">
        <v>5.7269317999999885</v>
      </c>
      <c r="AL29" s="215">
        <v>62.385792547109304</v>
      </c>
      <c r="AM29" s="194"/>
      <c r="AN29" s="212">
        <v>165191.76850000001</v>
      </c>
      <c r="AO29" s="211">
        <f>AN29*E55</f>
        <v>52696174.151500002</v>
      </c>
      <c r="AP29" s="212">
        <v>14363.14363</v>
      </c>
      <c r="AQ29" s="211">
        <f>AP29*E52</f>
        <v>3113885.6960018547</v>
      </c>
      <c r="AR29" s="213">
        <v>0</v>
      </c>
      <c r="AS29" s="216">
        <f t="shared" si="7"/>
        <v>0</v>
      </c>
      <c r="AT29" s="211">
        <f t="shared" si="2"/>
        <v>1641326.8457731926</v>
      </c>
      <c r="AU29" s="118"/>
      <c r="AV29" s="213">
        <v>62.385792549999998</v>
      </c>
      <c r="AW29" s="214">
        <f>N52*AV29</f>
        <v>5647161941.6259995</v>
      </c>
      <c r="AX29" s="217">
        <f t="shared" si="5"/>
        <v>2044</v>
      </c>
      <c r="AY29" s="215">
        <v>0.45803029212288121</v>
      </c>
      <c r="AZ29" s="215">
        <v>35.988668399999824</v>
      </c>
      <c r="BA29" s="215">
        <v>0</v>
      </c>
      <c r="BB29" s="215">
        <v>129.22033825167455</v>
      </c>
      <c r="BC29" s="194"/>
      <c r="BD29" s="212">
        <v>56262.165860000001</v>
      </c>
      <c r="BE29" s="211">
        <f>BD29*E55</f>
        <v>17947630.909340002</v>
      </c>
      <c r="BF29" s="212">
        <v>5445704.25</v>
      </c>
      <c r="BG29" s="211">
        <f>BF29*E52</f>
        <v>1180612058.5825756</v>
      </c>
      <c r="BH29" s="213">
        <v>0</v>
      </c>
      <c r="BI29" s="215"/>
      <c r="BJ29" s="213">
        <v>129.22033830000001</v>
      </c>
      <c r="BK29" s="218">
        <f>BJ29*N52</f>
        <v>11697025022.916</v>
      </c>
      <c r="BL29" s="194"/>
    </row>
    <row r="30" spans="1:104" s="228" customFormat="1" ht="15.5">
      <c r="A30" s="52"/>
      <c r="B30" s="219">
        <f t="shared" si="6"/>
        <v>2045</v>
      </c>
      <c r="C30" s="220">
        <v>28.394785654396898</v>
      </c>
      <c r="D30" s="220">
        <v>36.41772420999996</v>
      </c>
      <c r="E30" s="220">
        <v>34.476287439999851</v>
      </c>
      <c r="F30" s="220">
        <v>18.501734829999805</v>
      </c>
      <c r="G30" s="220">
        <v>27.028676399961114</v>
      </c>
      <c r="H30" s="194"/>
      <c r="I30" s="210">
        <v>28.394785649999999</v>
      </c>
      <c r="J30" s="221">
        <f>I30*N52</f>
        <v>2570295997.0380001</v>
      </c>
      <c r="K30" s="222">
        <f t="shared" si="0"/>
        <v>27950923.60217458</v>
      </c>
      <c r="L30" s="221"/>
      <c r="M30" s="212">
        <v>235556772</v>
      </c>
      <c r="N30" s="221">
        <f>M30*K52</f>
        <v>36824751199.211449</v>
      </c>
      <c r="O30" s="212">
        <v>15199412.710000001</v>
      </c>
      <c r="P30" s="221">
        <f>E52*O30</f>
        <v>3295186279.8644023</v>
      </c>
      <c r="Q30" s="212">
        <v>15590157.859999999</v>
      </c>
      <c r="R30" s="221">
        <f>Q30*H52</f>
        <v>3240918698.6611767</v>
      </c>
      <c r="S30" s="219">
        <f t="shared" si="3"/>
        <v>2045</v>
      </c>
      <c r="T30" s="220">
        <v>218.59357758660008</v>
      </c>
      <c r="U30" s="220">
        <v>11.497629280826933</v>
      </c>
      <c r="V30" s="220">
        <v>89.274736877674044</v>
      </c>
      <c r="W30" s="220">
        <v>89.274736877674044</v>
      </c>
      <c r="X30" s="194"/>
      <c r="Y30" s="213">
        <v>218.5935776</v>
      </c>
      <c r="Z30" s="221">
        <f>Y30*N52</f>
        <v>19787090644.352001</v>
      </c>
      <c r="AA30" s="212">
        <v>1412311.7</v>
      </c>
      <c r="AB30" s="221">
        <f t="shared" si="4"/>
        <v>450527432.30000001</v>
      </c>
      <c r="AC30" s="212">
        <v>3841338.6490000002</v>
      </c>
      <c r="AD30" s="221">
        <f>AC30*E52</f>
        <v>832790493.5543828</v>
      </c>
      <c r="AE30" s="213">
        <v>0.30461804599999998</v>
      </c>
      <c r="AF30" s="223">
        <f>AE30*H56*365</f>
        <v>926546.55658333329</v>
      </c>
      <c r="AG30" s="219">
        <f t="shared" si="1"/>
        <v>2045</v>
      </c>
      <c r="AH30" s="224">
        <v>0.953614705208645</v>
      </c>
      <c r="AI30" s="224">
        <v>2.0807407407407472E-2</v>
      </c>
      <c r="AJ30" s="224">
        <v>0</v>
      </c>
      <c r="AK30" s="224">
        <v>5.6057673999999906</v>
      </c>
      <c r="AL30" s="224">
        <v>63.409248040421517</v>
      </c>
      <c r="AM30" s="194"/>
      <c r="AN30" s="212">
        <v>117137.2934</v>
      </c>
      <c r="AO30" s="221">
        <f>AN30*E55</f>
        <v>37366796.594599999</v>
      </c>
      <c r="AP30" s="212">
        <v>11490.51491</v>
      </c>
      <c r="AQ30" s="221">
        <f>AP30*E52</f>
        <v>2491108.558102265</v>
      </c>
      <c r="AR30" s="213">
        <v>0</v>
      </c>
      <c r="AS30" s="225">
        <f t="shared" si="7"/>
        <v>0</v>
      </c>
      <c r="AT30" s="222">
        <f t="shared" si="2"/>
        <v>1606601.3785566983</v>
      </c>
      <c r="AU30" s="226"/>
      <c r="AV30" s="213">
        <v>63.409248040000001</v>
      </c>
      <c r="AW30" s="214">
        <f>N52*AV30</f>
        <v>5739805132.5808001</v>
      </c>
      <c r="AX30" s="227">
        <f t="shared" si="5"/>
        <v>2045</v>
      </c>
      <c r="AY30" s="224">
        <v>0.32622900103013741</v>
      </c>
      <c r="AZ30" s="224">
        <v>34.990557109999827</v>
      </c>
      <c r="BA30" s="224">
        <v>0</v>
      </c>
      <c r="BB30" s="224">
        <v>130.83636629831744</v>
      </c>
      <c r="BC30" s="194"/>
      <c r="BD30" s="212">
        <v>40072.349979999999</v>
      </c>
      <c r="BE30" s="221">
        <f>BD30*E55</f>
        <v>12783079.643619999</v>
      </c>
      <c r="BF30" s="212">
        <v>4972807.6320000002</v>
      </c>
      <c r="BG30" s="221">
        <f>BF30*E52</f>
        <v>1078089515.3001859</v>
      </c>
      <c r="BH30" s="213">
        <v>0</v>
      </c>
      <c r="BI30" s="224"/>
      <c r="BJ30" s="213">
        <v>130.83636630000001</v>
      </c>
      <c r="BK30" s="223">
        <f>BJ30*N52</f>
        <v>11843307877.476002</v>
      </c>
      <c r="BL30" s="194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</row>
    <row r="31" spans="1:104" ht="15.5">
      <c r="B31" s="139">
        <f t="shared" si="6"/>
        <v>2046</v>
      </c>
      <c r="C31" s="209">
        <v>32.172921960295895</v>
      </c>
      <c r="D31" s="209">
        <v>37.874432929999784</v>
      </c>
      <c r="E31" s="209">
        <v>35.07267515999979</v>
      </c>
      <c r="F31" s="209">
        <v>16.569856629999776</v>
      </c>
      <c r="G31" s="209">
        <v>21.948271250061225</v>
      </c>
      <c r="H31" s="194"/>
      <c r="I31" s="210">
        <v>32.172921959999996</v>
      </c>
      <c r="J31" s="211">
        <f>I31*N52</f>
        <v>2912292895.8191996</v>
      </c>
      <c r="K31" s="211">
        <f t="shared" si="0"/>
        <v>29068960.355612244</v>
      </c>
      <c r="L31" s="211"/>
      <c r="M31" s="212">
        <v>237488659.59999999</v>
      </c>
      <c r="N31" s="211">
        <f>M31*K52</f>
        <v>37126764508.405724</v>
      </c>
      <c r="O31" s="212">
        <v>12498712.949999999</v>
      </c>
      <c r="P31" s="211">
        <f>E52*O31</f>
        <v>2709682815.6858125</v>
      </c>
      <c r="Q31" s="212">
        <v>12450556.199999999</v>
      </c>
      <c r="R31" s="211">
        <f>Q31*H52</f>
        <v>2588250918.2823529</v>
      </c>
      <c r="S31" s="139">
        <f t="shared" si="3"/>
        <v>2046</v>
      </c>
      <c r="T31" s="209">
        <v>220.92849511799977</v>
      </c>
      <c r="U31" s="209">
        <v>11.374816815457489</v>
      </c>
      <c r="V31" s="209">
        <v>87.240906472820157</v>
      </c>
      <c r="W31" s="209">
        <v>87.240906472820157</v>
      </c>
      <c r="X31" s="194"/>
      <c r="Y31" s="213">
        <v>220.92849509999999</v>
      </c>
      <c r="Z31" s="211">
        <f>Y31*N52</f>
        <v>19998447376.452</v>
      </c>
      <c r="AA31" s="212">
        <v>1397226</v>
      </c>
      <c r="AB31" s="211">
        <f t="shared" si="4"/>
        <v>445715094</v>
      </c>
      <c r="AC31" s="212">
        <v>3494657.5830000001</v>
      </c>
      <c r="AD31" s="211">
        <f>AC31*E52</f>
        <v>757631096.67713559</v>
      </c>
      <c r="AE31" s="213">
        <v>0.29767832900000002</v>
      </c>
      <c r="AF31" s="214">
        <f>AE31*H56*365</f>
        <v>905438.25070833357</v>
      </c>
      <c r="AG31" s="139">
        <f t="shared" si="1"/>
        <v>2046</v>
      </c>
      <c r="AH31" s="215">
        <v>0.93752810426767064</v>
      </c>
      <c r="AI31" s="215">
        <v>1.5605555555555622E-2</v>
      </c>
      <c r="AJ31" s="215">
        <v>0</v>
      </c>
      <c r="AK31" s="215">
        <v>5.4846029999999928</v>
      </c>
      <c r="AL31" s="215">
        <v>64.478903597977478</v>
      </c>
      <c r="AM31" s="194"/>
      <c r="AN31" s="212">
        <v>115161.2953</v>
      </c>
      <c r="AO31" s="211">
        <f>AN31*E55</f>
        <v>36736453.2007</v>
      </c>
      <c r="AP31" s="212">
        <v>8617.8861789999992</v>
      </c>
      <c r="AQ31" s="211">
        <f>AP31*E52</f>
        <v>1868331.4178179095</v>
      </c>
      <c r="AR31" s="213">
        <v>0</v>
      </c>
      <c r="AS31" s="216">
        <f t="shared" si="7"/>
        <v>0</v>
      </c>
      <c r="AT31" s="211">
        <f t="shared" si="2"/>
        <v>1571875.9113402041</v>
      </c>
      <c r="AU31" s="118"/>
      <c r="AV31" s="213">
        <v>64.478903599999995</v>
      </c>
      <c r="AW31" s="214">
        <f>N52*AV31</f>
        <v>5836630353.8719997</v>
      </c>
      <c r="AX31" s="217">
        <f t="shared" si="5"/>
        <v>2046</v>
      </c>
      <c r="AY31" s="215">
        <v>0.32259304414006795</v>
      </c>
      <c r="AZ31" s="215">
        <v>33.99244581999983</v>
      </c>
      <c r="BA31" s="215">
        <v>0</v>
      </c>
      <c r="BB31" s="215">
        <v>132.2945916124736</v>
      </c>
      <c r="BC31" s="194"/>
      <c r="BD31" s="212">
        <v>39625.72709</v>
      </c>
      <c r="BE31" s="211">
        <f>BD31*E55</f>
        <v>12640606.941710001</v>
      </c>
      <c r="BF31" s="212">
        <v>4550326.0559999999</v>
      </c>
      <c r="BG31" s="211">
        <f>BF31*E52</f>
        <v>986496799.233284</v>
      </c>
      <c r="BH31" s="213">
        <v>0</v>
      </c>
      <c r="BI31" s="215"/>
      <c r="BJ31" s="213">
        <v>132.29459159999999</v>
      </c>
      <c r="BK31" s="218">
        <f>BJ31*N52</f>
        <v>11975306431.632</v>
      </c>
      <c r="BL31" s="194"/>
    </row>
    <row r="32" spans="1:104" ht="15.5">
      <c r="B32" s="139">
        <f t="shared" si="6"/>
        <v>2047</v>
      </c>
      <c r="C32" s="209">
        <v>36.395763887525575</v>
      </c>
      <c r="D32" s="209">
        <v>39.331141650000063</v>
      </c>
      <c r="E32" s="209">
        <v>35.669062879999956</v>
      </c>
      <c r="F32" s="209">
        <v>14.637978429999748</v>
      </c>
      <c r="G32" s="209">
        <v>16.70702038006857</v>
      </c>
      <c r="H32" s="194"/>
      <c r="I32" s="210">
        <v>36.395763889999998</v>
      </c>
      <c r="J32" s="211">
        <f>I32*N52</f>
        <v>3294544547.3227997</v>
      </c>
      <c r="K32" s="211">
        <f t="shared" si="0"/>
        <v>30186997.109050252</v>
      </c>
      <c r="L32" s="211"/>
      <c r="M32" s="212">
        <v>239420547.19999999</v>
      </c>
      <c r="N32" s="211">
        <f>M32*K52</f>
        <v>37428777817.599998</v>
      </c>
      <c r="O32" s="212">
        <v>9725647.3560000006</v>
      </c>
      <c r="P32" s="211">
        <f>E52*O32</f>
        <v>2108490659.5901427</v>
      </c>
      <c r="Q32" s="212">
        <v>9321072.3959999997</v>
      </c>
      <c r="R32" s="211">
        <f>Q32*H52</f>
        <v>1937686461.6155295</v>
      </c>
      <c r="S32" s="139">
        <f t="shared" si="3"/>
        <v>2047</v>
      </c>
      <c r="T32" s="209">
        <v>223.26341264940038</v>
      </c>
      <c r="U32" s="209">
        <v>11.254600275781625</v>
      </c>
      <c r="V32" s="209">
        <v>85.000024136672494</v>
      </c>
      <c r="W32" s="209">
        <v>85.000024136672494</v>
      </c>
      <c r="X32" s="194"/>
      <c r="Y32" s="213">
        <v>223.26341260000001</v>
      </c>
      <c r="Z32" s="211">
        <f>Y32*N52</f>
        <v>20209804108.552002</v>
      </c>
      <c r="AA32" s="212">
        <v>1382459.2</v>
      </c>
      <c r="AB32" s="211">
        <f t="shared" si="4"/>
        <v>441004484.80000001</v>
      </c>
      <c r="AC32" s="212">
        <v>3185876.99</v>
      </c>
      <c r="AD32" s="211">
        <f>AC32*E52</f>
        <v>690688406.65645027</v>
      </c>
      <c r="AE32" s="213">
        <v>0.29003212099999998</v>
      </c>
      <c r="AF32" s="214">
        <f>AE32*H56*365</f>
        <v>882181.03470833332</v>
      </c>
      <c r="AG32" s="139">
        <f t="shared" si="1"/>
        <v>2047</v>
      </c>
      <c r="AH32" s="215">
        <v>0.92130347966365123</v>
      </c>
      <c r="AI32" s="215">
        <v>1.0403703703703773E-2</v>
      </c>
      <c r="AJ32" s="215">
        <v>0</v>
      </c>
      <c r="AK32" s="215">
        <v>5.3634385999999949</v>
      </c>
      <c r="AL32" s="215">
        <v>65.59475921979174</v>
      </c>
      <c r="AM32" s="194"/>
      <c r="AN32" s="212">
        <v>113168.34299999999</v>
      </c>
      <c r="AO32" s="211">
        <f>AN32*E55</f>
        <v>36100701.416999996</v>
      </c>
      <c r="AP32" s="212">
        <v>5745.2574530000002</v>
      </c>
      <c r="AQ32" s="211">
        <f>AP32*E52</f>
        <v>1245554.2786175387</v>
      </c>
      <c r="AR32" s="213">
        <v>0</v>
      </c>
      <c r="AS32" s="216">
        <f t="shared" si="7"/>
        <v>0</v>
      </c>
      <c r="AT32" s="211">
        <f t="shared" si="2"/>
        <v>1537150.44412371</v>
      </c>
      <c r="AU32" s="118"/>
      <c r="AV32" s="213">
        <v>65.59475922</v>
      </c>
      <c r="AW32" s="214">
        <f>N52*AV32</f>
        <v>5937637604.5944004</v>
      </c>
      <c r="AX32" s="217">
        <f t="shared" si="5"/>
        <v>2047</v>
      </c>
      <c r="AY32" s="215">
        <v>0.31942203560392107</v>
      </c>
      <c r="AZ32" s="215">
        <v>32.994334529999833</v>
      </c>
      <c r="BA32" s="215">
        <v>0</v>
      </c>
      <c r="BB32" s="215">
        <v>133.595014194143</v>
      </c>
      <c r="BC32" s="194"/>
      <c r="BD32" s="212">
        <v>39236.216160000004</v>
      </c>
      <c r="BE32" s="211">
        <f>BD32*E55</f>
        <v>12516352.95504</v>
      </c>
      <c r="BF32" s="212">
        <v>4178259.523</v>
      </c>
      <c r="BG32" s="211">
        <f>BF32*E52</f>
        <v>905833910.59866691</v>
      </c>
      <c r="BH32" s="213">
        <v>0</v>
      </c>
      <c r="BI32" s="215"/>
      <c r="BJ32" s="213">
        <v>133.59501420000001</v>
      </c>
      <c r="BK32" s="218">
        <f>BJ32*N52</f>
        <v>12093020685.384001</v>
      </c>
      <c r="BL32" s="194"/>
    </row>
    <row r="33" spans="1:104" ht="15.5">
      <c r="B33" s="139">
        <f t="shared" si="6"/>
        <v>2048</v>
      </c>
      <c r="C33" s="209">
        <v>41.088642605505356</v>
      </c>
      <c r="D33" s="209">
        <v>40.787850369999887</v>
      </c>
      <c r="E33" s="209">
        <v>36.265450599999895</v>
      </c>
      <c r="F33" s="209">
        <v>12.70610022999972</v>
      </c>
      <c r="G33" s="209">
        <v>11.304923790041357</v>
      </c>
      <c r="H33" s="194"/>
      <c r="I33" s="210">
        <v>41.088642610000001</v>
      </c>
      <c r="J33" s="211">
        <f>I33*N52</f>
        <v>3719343929.0572</v>
      </c>
      <c r="K33" s="211">
        <f t="shared" si="0"/>
        <v>31305033.862487923</v>
      </c>
      <c r="L33" s="211"/>
      <c r="M33" s="212">
        <v>241352434.80000001</v>
      </c>
      <c r="N33" s="211">
        <f>M33*K52</f>
        <v>37730791126.794281</v>
      </c>
      <c r="O33" s="212">
        <v>6880215.915</v>
      </c>
      <c r="P33" s="211">
        <f>E52*O33</f>
        <v>1491609808.7590322</v>
      </c>
      <c r="Q33" s="212">
        <v>6201706.4400000004</v>
      </c>
      <c r="R33" s="211">
        <f>Q33*H52</f>
        <v>1289225326.9976473</v>
      </c>
      <c r="S33" s="139">
        <f t="shared" si="3"/>
        <v>2048</v>
      </c>
      <c r="T33" s="209">
        <v>225.59833018080008</v>
      </c>
      <c r="U33" s="209">
        <v>11.136898216223463</v>
      </c>
      <c r="V33" s="209">
        <v>82.552130592310959</v>
      </c>
      <c r="W33" s="209">
        <v>82.552130592310959</v>
      </c>
      <c r="X33" s="194"/>
      <c r="Y33" s="213">
        <v>225.59833019999999</v>
      </c>
      <c r="Z33" s="211">
        <f>Y33*N52</f>
        <v>20421160849.703999</v>
      </c>
      <c r="AA33" s="212">
        <v>1368001.3</v>
      </c>
      <c r="AB33" s="211">
        <f t="shared" si="4"/>
        <v>436392414.69999999</v>
      </c>
      <c r="AC33" s="212">
        <v>2914996.8709999998</v>
      </c>
      <c r="AD33" s="211">
        <f>AC33*E52</f>
        <v>631962423.70912373</v>
      </c>
      <c r="AE33" s="213">
        <v>0.28167956199999999</v>
      </c>
      <c r="AF33" s="214">
        <f>AE33*H56*365</f>
        <v>856775.33441666665</v>
      </c>
      <c r="AG33" s="139">
        <f t="shared" si="1"/>
        <v>2048</v>
      </c>
      <c r="AH33" s="215">
        <v>0.90498196313038626</v>
      </c>
      <c r="AI33" s="215">
        <v>5.2018518518519219E-3</v>
      </c>
      <c r="AJ33" s="215">
        <v>0</v>
      </c>
      <c r="AK33" s="215">
        <v>5.2422741999999971</v>
      </c>
      <c r="AL33" s="215">
        <v>66.756814905820647</v>
      </c>
      <c r="AM33" s="194"/>
      <c r="AN33" s="212">
        <v>111163.4889</v>
      </c>
      <c r="AO33" s="211">
        <f>AN33*E55</f>
        <v>35461152.959100001</v>
      </c>
      <c r="AP33" s="212">
        <v>2872.6287259999999</v>
      </c>
      <c r="AQ33" s="211">
        <f>AP33*E52</f>
        <v>622777.13920037088</v>
      </c>
      <c r="AR33" s="213">
        <v>0</v>
      </c>
      <c r="AS33" s="216">
        <f t="shared" si="7"/>
        <v>0</v>
      </c>
      <c r="AT33" s="211">
        <f t="shared" si="2"/>
        <v>1502424.9769072158</v>
      </c>
      <c r="AU33" s="118"/>
      <c r="AV33" s="213">
        <v>66.756814910000003</v>
      </c>
      <c r="AW33" s="214">
        <f>N52*AV33</f>
        <v>6042826885.6532001</v>
      </c>
      <c r="AX33" s="217">
        <f t="shared" si="5"/>
        <v>2048</v>
      </c>
      <c r="AY33" s="215">
        <v>0.31669006270574246</v>
      </c>
      <c r="AZ33" s="215">
        <v>31.996223239999836</v>
      </c>
      <c r="BA33" s="215">
        <v>0</v>
      </c>
      <c r="BB33" s="215">
        <v>134.73763404320925</v>
      </c>
      <c r="BC33" s="194"/>
      <c r="BD33" s="212">
        <v>38900.634180000001</v>
      </c>
      <c r="BE33" s="211">
        <f>BD33*E55</f>
        <v>12409302.30342</v>
      </c>
      <c r="BF33" s="212">
        <v>3856608.0329999998</v>
      </c>
      <c r="BG33" s="211">
        <f>BF33*E52</f>
        <v>836100849.39633417</v>
      </c>
      <c r="BH33" s="213">
        <v>0</v>
      </c>
      <c r="BI33" s="215"/>
      <c r="BJ33" s="213">
        <v>134.73763400000001</v>
      </c>
      <c r="BK33" s="218">
        <f>BJ33*N52</f>
        <v>12196450629.680002</v>
      </c>
      <c r="BL33" s="194"/>
    </row>
    <row r="34" spans="1:104" ht="15.5">
      <c r="B34" s="139">
        <f t="shared" si="6"/>
        <v>2049</v>
      </c>
      <c r="C34" s="209">
        <v>46.276889194247644</v>
      </c>
      <c r="D34" s="209">
        <v>42.244559089999711</v>
      </c>
      <c r="E34" s="209">
        <v>36.861838319999833</v>
      </c>
      <c r="F34" s="209">
        <v>10.774222029999692</v>
      </c>
      <c r="G34" s="209">
        <v>5.7419814800377935</v>
      </c>
      <c r="H34" s="194"/>
      <c r="I34" s="210">
        <v>46.276889189999999</v>
      </c>
      <c r="J34" s="211">
        <f>I34*N52</f>
        <v>4188984009.4787998</v>
      </c>
      <c r="K34" s="211">
        <f t="shared" si="0"/>
        <v>32423070.615925584</v>
      </c>
      <c r="L34" s="211"/>
      <c r="M34" s="212">
        <v>243284322.5</v>
      </c>
      <c r="N34" s="211">
        <f>M34*K52</f>
        <v>38032804451.62162</v>
      </c>
      <c r="O34" s="212">
        <v>3962418.6320000002</v>
      </c>
      <c r="P34" s="211">
        <f>E52*O34</f>
        <v>859040264.27646577</v>
      </c>
      <c r="Q34" s="212">
        <v>3092458.3330000001</v>
      </c>
      <c r="R34" s="211">
        <f>Q34*H52</f>
        <v>642867514.63658834</v>
      </c>
      <c r="S34" s="139">
        <f t="shared" si="3"/>
        <v>2049</v>
      </c>
      <c r="T34" s="209">
        <v>227.93324771219977</v>
      </c>
      <c r="U34" s="209">
        <v>11.021632563017457</v>
      </c>
      <c r="V34" s="209">
        <v>79.897264876443259</v>
      </c>
      <c r="W34" s="209">
        <v>79.897264876443259</v>
      </c>
      <c r="X34" s="194"/>
      <c r="Y34" s="213">
        <v>227.93324770000001</v>
      </c>
      <c r="Z34" s="211">
        <f>Y34*N52</f>
        <v>20632517581.804001</v>
      </c>
      <c r="AA34" s="212">
        <v>1353842.6</v>
      </c>
      <c r="AB34" s="211">
        <f t="shared" si="4"/>
        <v>431875789.40000004</v>
      </c>
      <c r="AC34" s="212">
        <v>2682017.2239999999</v>
      </c>
      <c r="AD34" s="211">
        <f>AC34*E52</f>
        <v>581453147.40156233</v>
      </c>
      <c r="AE34" s="213">
        <v>0.272620784</v>
      </c>
      <c r="AF34" s="214">
        <f>AE34*H56*365</f>
        <v>829221.55133333337</v>
      </c>
      <c r="AG34" s="139">
        <f t="shared" si="1"/>
        <v>2049</v>
      </c>
      <c r="AH34" s="215">
        <v>0.88860236709401486</v>
      </c>
      <c r="AI34" s="215">
        <v>7.1123662515049091E-17</v>
      </c>
      <c r="AJ34" s="215">
        <v>0</v>
      </c>
      <c r="AK34" s="215">
        <v>5.1211097999999993</v>
      </c>
      <c r="AL34" s="215">
        <v>67.965070656078751</v>
      </c>
      <c r="AM34" s="194"/>
      <c r="AN34" s="212">
        <v>109151.5007</v>
      </c>
      <c r="AO34" s="211">
        <f>AN34*E55</f>
        <v>34819328.723300003</v>
      </c>
      <c r="AP34" s="212">
        <v>3.92768E-11</v>
      </c>
      <c r="AQ34" s="211">
        <f>AP34*E52</f>
        <v>8.5150903489729729E-9</v>
      </c>
      <c r="AR34" s="213">
        <v>0</v>
      </c>
      <c r="AS34" s="216">
        <f t="shared" si="7"/>
        <v>0</v>
      </c>
      <c r="AT34" s="211">
        <f t="shared" si="2"/>
        <v>1467699.5096907213</v>
      </c>
      <c r="AU34" s="118"/>
      <c r="AV34" s="213">
        <v>67.965070659999995</v>
      </c>
      <c r="AW34" s="214">
        <f>N52*AV34</f>
        <v>6152198196.1431999</v>
      </c>
      <c r="AX34" s="217">
        <f t="shared" si="5"/>
        <v>2049</v>
      </c>
      <c r="AY34" s="215">
        <v>0.31437532861827289</v>
      </c>
      <c r="AZ34" s="215">
        <v>30.998111949999839</v>
      </c>
      <c r="BA34" s="215">
        <v>0</v>
      </c>
      <c r="BB34" s="215">
        <v>135.72245115973055</v>
      </c>
      <c r="BC34" s="194"/>
      <c r="BD34" s="212">
        <v>38616.303740000003</v>
      </c>
      <c r="BE34" s="211">
        <f>BD34*E55</f>
        <v>12318600.893060001</v>
      </c>
      <c r="BF34" s="212">
        <v>3585371.5860000001</v>
      </c>
      <c r="BG34" s="211">
        <f>BF34*E52</f>
        <v>777297615.62628639</v>
      </c>
      <c r="BH34" s="213">
        <v>0</v>
      </c>
      <c r="BI34" s="215"/>
      <c r="BJ34" s="213">
        <v>135.72245119999999</v>
      </c>
      <c r="BK34" s="218">
        <f>BJ34*N52</f>
        <v>12285596282.623999</v>
      </c>
      <c r="BL34" s="194"/>
    </row>
    <row r="35" spans="1:104" s="228" customFormat="1" ht="15.5">
      <c r="A35" s="52"/>
      <c r="B35" s="219">
        <f t="shared" si="6"/>
        <v>2050</v>
      </c>
      <c r="C35" s="220">
        <v>51.98583479336952</v>
      </c>
      <c r="D35" s="220">
        <v>43.70126780999999</v>
      </c>
      <c r="E35" s="220">
        <v>37.45822604</v>
      </c>
      <c r="F35" s="220">
        <v>8.8423438299996633</v>
      </c>
      <c r="G35" s="220">
        <v>0</v>
      </c>
      <c r="H35" s="194"/>
      <c r="I35" s="210">
        <v>51.985834789999998</v>
      </c>
      <c r="J35" s="221">
        <f>I35*N52</f>
        <v>4705757765.1907997</v>
      </c>
      <c r="K35" s="222">
        <f t="shared" si="0"/>
        <v>33541107.369363599</v>
      </c>
      <c r="L35" s="221"/>
      <c r="M35" s="212">
        <v>245216210.09999999</v>
      </c>
      <c r="N35" s="221">
        <f>M35*K52</f>
        <v>38334817760.815903</v>
      </c>
      <c r="O35" s="212">
        <v>972255.50670000003</v>
      </c>
      <c r="P35" s="221">
        <f>E52*O35</f>
        <v>210782026.07740441</v>
      </c>
      <c r="Q35" s="212">
        <v>0</v>
      </c>
      <c r="R35" s="221">
        <f>Q35*H52</f>
        <v>0</v>
      </c>
      <c r="S35" s="219">
        <f t="shared" si="3"/>
        <v>2050</v>
      </c>
      <c r="T35" s="220">
        <v>230.26816524360038</v>
      </c>
      <c r="U35" s="220">
        <v>10.908728441506675</v>
      </c>
      <c r="V35" s="220">
        <v>77.035464426339175</v>
      </c>
      <c r="W35" s="220">
        <v>77.035464426339175</v>
      </c>
      <c r="X35" s="194"/>
      <c r="Y35" s="213">
        <v>230.2681652</v>
      </c>
      <c r="Z35" s="221">
        <f>Y35*N52</f>
        <v>20843874313.903999</v>
      </c>
      <c r="AA35" s="212">
        <v>1339974</v>
      </c>
      <c r="AB35" s="221">
        <f t="shared" si="4"/>
        <v>427451706</v>
      </c>
      <c r="AC35" s="212">
        <v>2482135.6179999998</v>
      </c>
      <c r="AD35" s="221">
        <f>AC35*E52</f>
        <v>538119425.35221469</v>
      </c>
      <c r="AE35" s="213">
        <v>0.262855915</v>
      </c>
      <c r="AF35" s="223">
        <f>AE35*H56*365</f>
        <v>799520.07479166682</v>
      </c>
      <c r="AG35" s="219">
        <f t="shared" si="1"/>
        <v>2050</v>
      </c>
      <c r="AH35" s="224">
        <v>0.87220111281079926</v>
      </c>
      <c r="AI35" s="224">
        <v>0</v>
      </c>
      <c r="AJ35" s="224">
        <v>0</v>
      </c>
      <c r="AK35" s="224">
        <v>4.9999454000000014</v>
      </c>
      <c r="AL35" s="224">
        <v>69.219526470609708</v>
      </c>
      <c r="AM35" s="194"/>
      <c r="AN35" s="212">
        <v>107136.8521</v>
      </c>
      <c r="AO35" s="221">
        <f>AN35*E55</f>
        <v>34176655.819899999</v>
      </c>
      <c r="AP35" s="229">
        <v>0</v>
      </c>
      <c r="AQ35" s="225">
        <f>AP35*E52</f>
        <v>0</v>
      </c>
      <c r="AR35" s="213">
        <v>0</v>
      </c>
      <c r="AS35" s="225">
        <f t="shared" si="7"/>
        <v>0</v>
      </c>
      <c r="AT35" s="222">
        <f t="shared" si="2"/>
        <v>1432974.0424742273</v>
      </c>
      <c r="AU35" s="226"/>
      <c r="AV35" s="213">
        <v>69.219526470000005</v>
      </c>
      <c r="AW35" s="214">
        <f>N52*AV35</f>
        <v>6265751536.0644007</v>
      </c>
      <c r="AX35" s="227">
        <f t="shared" si="5"/>
        <v>2050</v>
      </c>
      <c r="AY35" s="224">
        <v>0.31245970657835764</v>
      </c>
      <c r="AZ35" s="224">
        <v>30.000000659999841</v>
      </c>
      <c r="BA35" s="224">
        <v>0</v>
      </c>
      <c r="BB35" s="224">
        <v>136.54946554376511</v>
      </c>
      <c r="BC35" s="194"/>
      <c r="BD35" s="212">
        <v>38380.998240000001</v>
      </c>
      <c r="BE35" s="221">
        <f>BD35*E55</f>
        <v>12243538.43856</v>
      </c>
      <c r="BF35" s="212">
        <v>3364550.1809999999</v>
      </c>
      <c r="BG35" s="221">
        <f>BF35*E52</f>
        <v>729424209.07172596</v>
      </c>
      <c r="BH35" s="213">
        <v>0</v>
      </c>
      <c r="BI35" s="224"/>
      <c r="BJ35" s="213">
        <v>136.5494655</v>
      </c>
      <c r="BK35" s="223">
        <f>BJ35*N52</f>
        <v>12360457617.059999</v>
      </c>
      <c r="BL35" s="194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</row>
    <row r="36" spans="1:104" ht="15" thickBot="1">
      <c r="B36" s="141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>
        <f>E78*O36</f>
        <v>0</v>
      </c>
      <c r="Q36" s="230"/>
      <c r="R36" s="230"/>
      <c r="S36" s="141"/>
      <c r="T36" s="230"/>
      <c r="U36" s="230"/>
      <c r="V36" s="230"/>
      <c r="W36" s="230"/>
      <c r="X36" s="231"/>
      <c r="Y36" s="230"/>
      <c r="Z36" s="230"/>
      <c r="AA36" s="230"/>
      <c r="AB36" s="230"/>
      <c r="AC36" s="230"/>
      <c r="AD36" s="230"/>
      <c r="AE36" s="230"/>
      <c r="AF36" s="232"/>
      <c r="AG36" s="141"/>
      <c r="AH36" s="230"/>
      <c r="AI36" s="230"/>
      <c r="AJ36" s="230"/>
      <c r="AK36" s="230"/>
      <c r="AL36" s="230"/>
      <c r="AM36" s="231"/>
      <c r="AN36" s="230"/>
      <c r="AO36" s="230"/>
      <c r="AP36" s="230"/>
      <c r="AQ36" s="230"/>
      <c r="AR36" s="230"/>
      <c r="AS36" s="230"/>
      <c r="AT36" s="230"/>
      <c r="AU36" s="230"/>
      <c r="AV36" s="230"/>
      <c r="AW36" s="232"/>
      <c r="AX36" s="141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2"/>
      <c r="BL36" s="194"/>
    </row>
    <row r="38" spans="1:104" ht="15" thickBot="1"/>
    <row r="39" spans="1:104">
      <c r="B39" s="233" t="s">
        <v>148</v>
      </c>
      <c r="C39" s="177">
        <v>1</v>
      </c>
      <c r="D39" s="177" t="s">
        <v>56</v>
      </c>
      <c r="E39" s="234" t="s">
        <v>149</v>
      </c>
      <c r="F39" s="138" t="s">
        <v>150</v>
      </c>
      <c r="G39" s="138">
        <v>21.4</v>
      </c>
      <c r="H39" s="138" t="s">
        <v>151</v>
      </c>
      <c r="I39" s="234" t="s">
        <v>152</v>
      </c>
      <c r="J39" s="138">
        <v>41</v>
      </c>
      <c r="K39" s="138" t="s">
        <v>151</v>
      </c>
      <c r="L39" s="234" t="s">
        <v>153</v>
      </c>
      <c r="M39" s="138">
        <v>36</v>
      </c>
      <c r="N39" s="138" t="s">
        <v>151</v>
      </c>
      <c r="O39" s="234" t="s">
        <v>154</v>
      </c>
      <c r="P39" s="138">
        <v>10.4</v>
      </c>
      <c r="Q39" s="235" t="s">
        <v>155</v>
      </c>
    </row>
    <row r="40" spans="1:104" ht="15" thickBot="1">
      <c r="B40" s="184"/>
      <c r="C40" s="187">
        <v>3412141633.1279001</v>
      </c>
      <c r="D40" s="187" t="s">
        <v>156</v>
      </c>
      <c r="E40" s="160" t="s">
        <v>157</v>
      </c>
      <c r="F40" s="152" t="s">
        <v>158</v>
      </c>
      <c r="G40" s="152">
        <v>32.700000000000003</v>
      </c>
      <c r="H40" s="152" t="s">
        <v>151</v>
      </c>
      <c r="I40" s="236" t="s">
        <v>157</v>
      </c>
      <c r="J40" s="237"/>
      <c r="K40" s="152" t="s">
        <v>159</v>
      </c>
      <c r="L40" s="236" t="s">
        <v>157</v>
      </c>
      <c r="M40" s="152"/>
      <c r="N40" s="152" t="s">
        <v>159</v>
      </c>
      <c r="O40" s="236" t="s">
        <v>160</v>
      </c>
      <c r="P40" s="152">
        <v>1</v>
      </c>
      <c r="Q40" s="140" t="s">
        <v>161</v>
      </c>
    </row>
    <row r="41" spans="1:104">
      <c r="B41" s="109"/>
      <c r="C41" s="109"/>
      <c r="D41" s="109"/>
      <c r="E41" s="160"/>
      <c r="F41" s="152" t="s">
        <v>162</v>
      </c>
      <c r="G41" s="152">
        <v>34.4</v>
      </c>
      <c r="H41" s="152" t="s">
        <v>151</v>
      </c>
      <c r="I41" s="160"/>
      <c r="J41" s="152"/>
      <c r="K41" s="152"/>
      <c r="L41" s="160"/>
      <c r="M41" s="152"/>
      <c r="N41" s="152"/>
      <c r="O41" s="160"/>
      <c r="P41" s="152"/>
      <c r="Q41" s="140"/>
    </row>
    <row r="42" spans="1:104" ht="15" thickBot="1">
      <c r="B42" s="109"/>
      <c r="C42" s="109"/>
      <c r="D42" s="109"/>
      <c r="E42" s="238"/>
      <c r="F42" s="143"/>
      <c r="G42" s="143">
        <f>AVERAGE(G39:G41)</f>
        <v>29.5</v>
      </c>
      <c r="H42" s="143" t="s">
        <v>151</v>
      </c>
      <c r="I42" s="238"/>
      <c r="J42" s="143"/>
      <c r="K42" s="143"/>
      <c r="L42" s="238"/>
      <c r="M42" s="143"/>
      <c r="N42" s="143"/>
      <c r="O42" s="238"/>
      <c r="P42" s="143"/>
      <c r="Q42" s="144"/>
    </row>
    <row r="43" spans="1:104">
      <c r="B43" s="109"/>
      <c r="C43" s="109"/>
      <c r="D43" s="109"/>
      <c r="E43" s="109"/>
      <c r="F43" s="109"/>
      <c r="G43" s="109"/>
      <c r="H43" s="109"/>
      <c r="I43" s="234" t="s">
        <v>163</v>
      </c>
      <c r="J43" s="239"/>
      <c r="K43" s="235" t="s">
        <v>164</v>
      </c>
      <c r="L43" s="234" t="s">
        <v>165</v>
      </c>
      <c r="M43" s="239"/>
      <c r="N43" s="235" t="s">
        <v>166</v>
      </c>
      <c r="O43" s="240" t="s">
        <v>159</v>
      </c>
      <c r="P43" s="109"/>
      <c r="Q43" s="109"/>
    </row>
    <row r="44" spans="1:104">
      <c r="B44" s="109"/>
      <c r="C44" s="109"/>
      <c r="D44" s="109"/>
      <c r="E44" s="109"/>
      <c r="F44" s="109">
        <v>1</v>
      </c>
      <c r="G44" s="109" t="s">
        <v>167</v>
      </c>
      <c r="H44" s="109"/>
      <c r="I44" s="160">
        <v>1</v>
      </c>
      <c r="J44" s="152"/>
      <c r="K44" s="140" t="s">
        <v>167</v>
      </c>
      <c r="L44" s="160">
        <v>4.8499999999999996</v>
      </c>
      <c r="M44" s="152"/>
      <c r="N44" s="140" t="s">
        <v>57</v>
      </c>
      <c r="O44" s="109"/>
      <c r="P44" s="109"/>
      <c r="Q44" s="109"/>
    </row>
    <row r="45" spans="1:104" ht="15" thickBot="1">
      <c r="B45" s="109"/>
      <c r="C45" s="109"/>
      <c r="D45" s="109"/>
      <c r="E45" s="109"/>
      <c r="F45" s="109">
        <v>3600000000</v>
      </c>
      <c r="G45" s="109" t="s">
        <v>168</v>
      </c>
      <c r="H45" s="109"/>
      <c r="I45" s="238">
        <v>122835.03260000001</v>
      </c>
      <c r="J45" s="143"/>
      <c r="K45" s="144" t="s">
        <v>169</v>
      </c>
      <c r="L45" s="160">
        <v>17.46</v>
      </c>
      <c r="M45" s="152"/>
      <c r="N45" s="140" t="s">
        <v>170</v>
      </c>
      <c r="O45" s="109"/>
      <c r="P45" s="109"/>
      <c r="Q45" s="109"/>
    </row>
    <row r="46" spans="1:104">
      <c r="B46" s="109"/>
      <c r="C46" s="109"/>
      <c r="D46" s="109"/>
      <c r="E46" s="109"/>
      <c r="F46" s="109">
        <v>1</v>
      </c>
      <c r="G46" s="109" t="s">
        <v>171</v>
      </c>
      <c r="H46" s="109"/>
      <c r="I46" s="109"/>
      <c r="J46" s="109"/>
      <c r="K46" s="109"/>
      <c r="L46" s="160" t="s">
        <v>172</v>
      </c>
      <c r="M46" s="152"/>
      <c r="N46" s="140"/>
      <c r="O46" s="109"/>
      <c r="P46" s="109"/>
      <c r="Q46" s="109"/>
    </row>
    <row r="47" spans="1:104" ht="15" thickBot="1">
      <c r="B47" s="109"/>
      <c r="C47" s="109"/>
      <c r="D47" s="109"/>
      <c r="E47" s="109"/>
      <c r="F47" s="109">
        <v>159</v>
      </c>
      <c r="G47" s="109" t="s">
        <v>173</v>
      </c>
      <c r="H47" s="109"/>
      <c r="I47" s="109"/>
      <c r="J47" s="109"/>
      <c r="K47" s="109"/>
      <c r="L47" s="238">
        <v>1.39</v>
      </c>
      <c r="M47" s="143"/>
      <c r="N47" s="144" t="s">
        <v>174</v>
      </c>
      <c r="O47" s="109"/>
      <c r="P47" s="109"/>
      <c r="Q47" s="109"/>
    </row>
    <row r="49" spans="4:16" ht="15.5">
      <c r="P49" s="241"/>
    </row>
    <row r="50" spans="4:16" ht="15.5">
      <c r="D50" s="241" t="s">
        <v>175</v>
      </c>
      <c r="E50" s="241">
        <f>2199.44/100</f>
        <v>21.994399999999999</v>
      </c>
      <c r="F50" s="241"/>
      <c r="G50" s="241" t="s">
        <v>176</v>
      </c>
      <c r="H50" s="241">
        <f>2109/100</f>
        <v>21.09</v>
      </c>
      <c r="I50" s="241"/>
      <c r="J50" s="241" t="s">
        <v>177</v>
      </c>
      <c r="K50" s="241">
        <f>1586/100</f>
        <v>15.86</v>
      </c>
      <c r="L50" s="241"/>
      <c r="M50" s="241" t="s">
        <v>178</v>
      </c>
      <c r="N50" s="241">
        <v>1.46</v>
      </c>
      <c r="P50" s="241"/>
    </row>
    <row r="51" spans="4:16" ht="15.5">
      <c r="D51" s="241" t="s">
        <v>179</v>
      </c>
      <c r="E51" s="241">
        <f>E50*0.062</f>
        <v>1.3636527999999999</v>
      </c>
      <c r="F51" s="241"/>
      <c r="G51" s="241" t="s">
        <v>179</v>
      </c>
      <c r="H51" s="241">
        <f>H50*0.062</f>
        <v>1.30758</v>
      </c>
      <c r="I51" s="241"/>
      <c r="J51" s="241" t="s">
        <v>179</v>
      </c>
      <c r="K51" s="241">
        <f>K50*0.062</f>
        <v>0.98331999999999997</v>
      </c>
      <c r="L51" s="241"/>
      <c r="M51" s="241" t="s">
        <v>179</v>
      </c>
      <c r="N51" s="241">
        <f>1.46*0.062</f>
        <v>9.0520000000000003E-2</v>
      </c>
      <c r="P51" s="241"/>
    </row>
    <row r="52" spans="4:16" ht="15.5">
      <c r="D52" s="241" t="s">
        <v>180</v>
      </c>
      <c r="E52" s="241">
        <f>E51/0.00629</f>
        <v>216.79694753577107</v>
      </c>
      <c r="F52" s="241"/>
      <c r="G52" s="241" t="s">
        <v>180</v>
      </c>
      <c r="H52" s="241">
        <f>H51/0.00629</f>
        <v>207.88235294117649</v>
      </c>
      <c r="I52" s="241"/>
      <c r="J52" s="241" t="s">
        <v>180</v>
      </c>
      <c r="K52" s="241">
        <f>K51/0.00629</f>
        <v>156.33068362480128</v>
      </c>
      <c r="L52" s="241"/>
      <c r="M52" s="241" t="s">
        <v>181</v>
      </c>
      <c r="N52" s="241">
        <f>N51*1000000000</f>
        <v>90520000</v>
      </c>
      <c r="O52" s="241"/>
      <c r="P52" s="241"/>
    </row>
    <row r="53" spans="4:16" ht="15.5"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</row>
    <row r="54" spans="4:16" ht="15.5"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</row>
    <row r="55" spans="4:16" ht="15.5">
      <c r="D55" s="241" t="s">
        <v>182</v>
      </c>
      <c r="E55" s="241">
        <v>319</v>
      </c>
      <c r="F55" s="241"/>
      <c r="G55" s="241" t="s">
        <v>183</v>
      </c>
      <c r="H55" s="241">
        <v>8</v>
      </c>
      <c r="I55" s="241"/>
      <c r="J55" s="241"/>
      <c r="K55" s="241"/>
      <c r="L55" s="241"/>
      <c r="M55" s="241"/>
      <c r="N55" s="241"/>
      <c r="O55" s="241"/>
      <c r="P55" s="241"/>
    </row>
    <row r="56" spans="4:16" ht="15.5">
      <c r="D56" s="241"/>
      <c r="E56" s="241"/>
      <c r="F56" s="241"/>
      <c r="G56" s="241" t="s">
        <v>184</v>
      </c>
      <c r="H56" s="241">
        <f>H55/0.00096</f>
        <v>8333.3333333333339</v>
      </c>
      <c r="I56" s="241"/>
      <c r="J56" s="241"/>
      <c r="K56" s="241"/>
      <c r="L56" s="241"/>
      <c r="M56" s="241"/>
      <c r="N56" s="241"/>
      <c r="O56" s="241"/>
      <c r="P56" s="241"/>
    </row>
    <row r="57" spans="4:16" ht="15.5"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J20"/>
  <sheetViews>
    <sheetView zoomScale="85" zoomScaleNormal="85" workbookViewId="0"/>
  </sheetViews>
  <sheetFormatPr baseColWidth="10" defaultColWidth="8" defaultRowHeight="14.5"/>
  <cols>
    <col min="1" max="1" width="8" style="52"/>
    <col min="2" max="2" width="18.83203125" style="52" customWidth="1"/>
    <col min="3" max="3" width="19.4140625" style="52" customWidth="1"/>
    <col min="4" max="4" width="8.9140625" style="52" bestFit="1" customWidth="1"/>
    <col min="5" max="5" width="12.1640625" style="52" bestFit="1" customWidth="1"/>
    <col min="6" max="6" width="16.08203125" style="52" bestFit="1" customWidth="1"/>
    <col min="7" max="16384" width="8" style="52"/>
  </cols>
  <sheetData>
    <row r="2" spans="1:6">
      <c r="B2" s="242"/>
      <c r="C2" s="243" t="s">
        <v>185</v>
      </c>
      <c r="D2" s="244" t="s">
        <v>56</v>
      </c>
    </row>
    <row r="3" spans="1:6" ht="15.5">
      <c r="B3" s="245" t="s">
        <v>186</v>
      </c>
      <c r="C3" s="152" t="s">
        <v>187</v>
      </c>
      <c r="D3" s="246">
        <v>780.08</v>
      </c>
      <c r="F3" s="52" t="s">
        <v>188</v>
      </c>
    </row>
    <row r="4" spans="1:6" ht="15.5">
      <c r="B4" s="247"/>
      <c r="C4" s="152" t="s">
        <v>34</v>
      </c>
      <c r="D4" s="246">
        <v>1442.48</v>
      </c>
      <c r="F4" s="52" t="s">
        <v>189</v>
      </c>
    </row>
    <row r="5" spans="1:6" ht="15.5">
      <c r="B5" s="248"/>
      <c r="C5" s="249" t="s">
        <v>33</v>
      </c>
      <c r="D5" s="250">
        <v>857.76</v>
      </c>
      <c r="F5" s="52" t="s">
        <v>190</v>
      </c>
    </row>
    <row r="7" spans="1:6">
      <c r="B7" s="251"/>
      <c r="C7" s="251"/>
    </row>
    <row r="8" spans="1:6">
      <c r="A8" s="252"/>
      <c r="B8" s="112" t="s">
        <v>191</v>
      </c>
      <c r="C8" s="253"/>
      <c r="E8" s="254" t="s">
        <v>31</v>
      </c>
      <c r="F8" s="253"/>
    </row>
    <row r="9" spans="1:6" ht="15.5">
      <c r="A9" s="252"/>
      <c r="B9" s="118" t="s">
        <v>192</v>
      </c>
      <c r="C9" s="255">
        <v>800</v>
      </c>
      <c r="E9" s="247" t="s">
        <v>193</v>
      </c>
      <c r="F9" s="252" t="s">
        <v>194</v>
      </c>
    </row>
    <row r="10" spans="1:6" ht="15.5">
      <c r="A10" s="252"/>
      <c r="B10" s="118" t="s">
        <v>29</v>
      </c>
      <c r="C10" s="255">
        <v>100000</v>
      </c>
      <c r="E10" s="247" t="s">
        <v>29</v>
      </c>
      <c r="F10" s="252" t="s">
        <v>195</v>
      </c>
    </row>
    <row r="11" spans="1:6" ht="15.5">
      <c r="A11" s="252"/>
      <c r="B11" s="118" t="s">
        <v>196</v>
      </c>
      <c r="C11" s="255">
        <f>5000*1500000</f>
        <v>7500000000</v>
      </c>
      <c r="E11" s="247" t="s">
        <v>197</v>
      </c>
      <c r="F11" s="255">
        <f>300000*31.5</f>
        <v>9450000</v>
      </c>
    </row>
    <row r="12" spans="1:6" ht="15.5">
      <c r="A12" s="252"/>
      <c r="B12" s="118"/>
      <c r="C12" s="255">
        <f>C10*C9</f>
        <v>80000000</v>
      </c>
      <c r="E12" s="247" t="s">
        <v>198</v>
      </c>
      <c r="F12" s="255">
        <f>F11*1.57</f>
        <v>14836500</v>
      </c>
    </row>
    <row r="13" spans="1:6" ht="15.5">
      <c r="A13" s="252"/>
      <c r="B13" s="251"/>
      <c r="C13" s="256">
        <f>SUM(C11:C12)</f>
        <v>7580000000</v>
      </c>
      <c r="E13" s="247" t="s">
        <v>199</v>
      </c>
      <c r="F13" s="255">
        <f>F12*3</f>
        <v>44509500</v>
      </c>
    </row>
    <row r="14" spans="1:6" ht="15.5">
      <c r="C14" s="257"/>
      <c r="E14" s="247" t="s">
        <v>200</v>
      </c>
      <c r="F14" s="255">
        <v>100000000</v>
      </c>
    </row>
    <row r="15" spans="1:6" ht="15.5">
      <c r="C15" s="257"/>
      <c r="E15" s="248" t="s">
        <v>201</v>
      </c>
      <c r="F15" s="256">
        <f>F14*25</f>
        <v>2500000000</v>
      </c>
    </row>
    <row r="16" spans="1:6" ht="15.5">
      <c r="C16" s="257"/>
    </row>
    <row r="17" spans="2:10" ht="15.5">
      <c r="B17" s="242" t="s">
        <v>99</v>
      </c>
      <c r="C17" s="258">
        <f>C13+F15+F13</f>
        <v>10124509500</v>
      </c>
    </row>
    <row r="18" spans="2:10" ht="15.5">
      <c r="B18" s="247" t="s">
        <v>202</v>
      </c>
      <c r="C18" s="255">
        <f>C17*0.2</f>
        <v>2024901900</v>
      </c>
    </row>
    <row r="19" spans="2:10" s="58" customFormat="1" ht="15.5">
      <c r="B19" s="248" t="s">
        <v>203</v>
      </c>
      <c r="C19" s="256">
        <f>SUM(C17:C18)</f>
        <v>12149411400</v>
      </c>
      <c r="D19" s="52"/>
      <c r="E19" s="52"/>
      <c r="F19" s="52"/>
      <c r="G19" s="52"/>
      <c r="H19" s="52"/>
      <c r="I19" s="52"/>
      <c r="J19" s="52"/>
    </row>
    <row r="20" spans="2:10" ht="15.5">
      <c r="C20" s="2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G10"/>
  <sheetViews>
    <sheetView workbookViewId="0"/>
  </sheetViews>
  <sheetFormatPr baseColWidth="10" defaultColWidth="8" defaultRowHeight="14.5"/>
  <cols>
    <col min="1" max="1" width="11" style="52" customWidth="1"/>
    <col min="2" max="2" width="16.08203125" style="52" customWidth="1"/>
    <col min="3" max="16384" width="8" style="52"/>
  </cols>
  <sheetData>
    <row r="2" spans="2:7">
      <c r="B2" s="242"/>
      <c r="C2" s="259">
        <v>2030</v>
      </c>
      <c r="D2" s="259">
        <v>2035</v>
      </c>
      <c r="E2" s="259">
        <v>2040</v>
      </c>
      <c r="F2" s="259">
        <v>2045</v>
      </c>
      <c r="G2" s="260">
        <v>2050</v>
      </c>
    </row>
    <row r="3" spans="2:7">
      <c r="B3" s="261" t="s">
        <v>76</v>
      </c>
      <c r="C3" s="262">
        <f>Utility!L6/1000</f>
        <v>34.25</v>
      </c>
      <c r="D3" s="262">
        <f>Utility!M6/1000</f>
        <v>36.99</v>
      </c>
      <c r="E3" s="262">
        <f>Utility!N6/1000</f>
        <v>32.880000000000003</v>
      </c>
      <c r="F3" s="262">
        <f>Utility!O6/1000</f>
        <v>28.77</v>
      </c>
      <c r="G3" s="263">
        <f>Utility!P6/1000</f>
        <v>16.440000000000001</v>
      </c>
    </row>
    <row r="4" spans="2:7">
      <c r="B4" s="261" t="s">
        <v>204</v>
      </c>
      <c r="C4" s="262">
        <f>Utility!L12/1000</f>
        <v>6.1165000000000003</v>
      </c>
      <c r="D4" s="262">
        <f>Utility!M12/1000</f>
        <v>7.6221000000000023</v>
      </c>
      <c r="E4" s="262">
        <f>Utility!N12/1000</f>
        <v>9.0335999999999999</v>
      </c>
      <c r="F4" s="262">
        <f>Utility!O12/1000</f>
        <v>4.6108999999999991</v>
      </c>
      <c r="G4" s="263">
        <f>Utility!P12/1000</f>
        <v>1.9760999999999997</v>
      </c>
    </row>
    <row r="5" spans="2:7">
      <c r="B5" s="261" t="s">
        <v>14</v>
      </c>
      <c r="C5" s="262">
        <f>Utility!L18/1000</f>
        <v>4.899375</v>
      </c>
      <c r="D5" s="262">
        <f>Utility!M18/1000</f>
        <v>6.1053750000000004</v>
      </c>
      <c r="E5" s="262">
        <f>Utility!N18/1000</f>
        <v>8.1404999999999994</v>
      </c>
      <c r="F5" s="262">
        <f>Utility!O18/1000</f>
        <v>3.6933749999999992</v>
      </c>
      <c r="G5" s="263">
        <f>Utility!P18/1000</f>
        <v>1.5828749999999998</v>
      </c>
    </row>
    <row r="6" spans="2:7">
      <c r="B6" s="261" t="s">
        <v>77</v>
      </c>
      <c r="C6" s="262">
        <f>Utility!L24/1000</f>
        <v>5.1002399999999994</v>
      </c>
      <c r="D6" s="262">
        <f>Utility!M24/1000</f>
        <v>7.9563900000000007</v>
      </c>
      <c r="E6" s="262">
        <v>0</v>
      </c>
      <c r="F6" s="262">
        <f>Utility!O24/1000</f>
        <v>7.9563900000000007</v>
      </c>
      <c r="G6" s="263">
        <v>0</v>
      </c>
    </row>
    <row r="7" spans="2:7">
      <c r="B7" s="261" t="s">
        <v>120</v>
      </c>
      <c r="C7" s="262">
        <f>Utility!L30/1000</f>
        <v>2.4</v>
      </c>
      <c r="D7" s="262">
        <f>Utility!M30/1000</f>
        <v>1.125</v>
      </c>
      <c r="E7" s="262">
        <f>Utility!N30/1000</f>
        <v>2.16</v>
      </c>
      <c r="F7" s="262">
        <f>Utility!O30/1000</f>
        <v>2.72</v>
      </c>
      <c r="G7" s="263">
        <f>Utility!P30/1000</f>
        <v>2.75</v>
      </c>
    </row>
    <row r="8" spans="2:7">
      <c r="B8" s="261" t="s">
        <v>31</v>
      </c>
      <c r="C8" s="262"/>
      <c r="D8" s="262">
        <v>0.27</v>
      </c>
      <c r="E8" s="262"/>
      <c r="F8" s="262">
        <v>0.18</v>
      </c>
      <c r="G8" s="263"/>
    </row>
    <row r="9" spans="2:7">
      <c r="B9" s="261" t="s">
        <v>205</v>
      </c>
      <c r="C9" s="262">
        <v>0.1</v>
      </c>
      <c r="D9" s="262">
        <v>0.1</v>
      </c>
      <c r="E9" s="262">
        <v>0.1</v>
      </c>
      <c r="F9" s="262">
        <v>0.1</v>
      </c>
      <c r="G9" s="263">
        <v>0.1</v>
      </c>
    </row>
    <row r="10" spans="2:7">
      <c r="B10" s="264" t="s">
        <v>206</v>
      </c>
      <c r="C10" s="265">
        <v>1</v>
      </c>
      <c r="D10" s="265">
        <v>2.58</v>
      </c>
      <c r="E10" s="265">
        <v>3</v>
      </c>
      <c r="F10" s="265">
        <v>1</v>
      </c>
      <c r="G10" s="26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G9"/>
  <sheetViews>
    <sheetView workbookViewId="0"/>
  </sheetViews>
  <sheetFormatPr baseColWidth="10" defaultColWidth="8" defaultRowHeight="14.5"/>
  <cols>
    <col min="1" max="2" width="8" style="52"/>
    <col min="3" max="3" width="13.25" style="52" bestFit="1" customWidth="1"/>
    <col min="4" max="4" width="11.25" style="52" bestFit="1" customWidth="1"/>
    <col min="5" max="5" width="11.5" style="52" bestFit="1" customWidth="1"/>
    <col min="6" max="7" width="10.83203125" style="52" bestFit="1" customWidth="1"/>
    <col min="8" max="16384" width="8" style="52"/>
  </cols>
  <sheetData>
    <row r="3" spans="2:7">
      <c r="B3" s="267"/>
      <c r="C3" s="115" t="s">
        <v>30</v>
      </c>
      <c r="D3" s="115" t="s">
        <v>31</v>
      </c>
      <c r="E3" s="115" t="s">
        <v>68</v>
      </c>
      <c r="F3" s="115" t="s">
        <v>33</v>
      </c>
      <c r="G3" s="115" t="s">
        <v>34</v>
      </c>
    </row>
    <row r="4" spans="2:7" ht="15.5">
      <c r="B4" s="115">
        <v>2022</v>
      </c>
      <c r="C4" s="268">
        <v>5.9771344372517969</v>
      </c>
      <c r="D4" s="268">
        <v>2.9134236499999133</v>
      </c>
      <c r="E4" s="268">
        <v>20.759369879999895</v>
      </c>
      <c r="F4" s="268">
        <v>62.934933429999546</v>
      </c>
      <c r="G4" s="268">
        <v>99.484576129994821</v>
      </c>
    </row>
    <row r="5" spans="2:7" ht="15.5">
      <c r="B5" s="115">
        <v>2030</v>
      </c>
      <c r="C5" s="268">
        <v>7.8622636784804918</v>
      </c>
      <c r="D5" s="268">
        <v>14.56709340999987</v>
      </c>
      <c r="E5" s="268">
        <v>25.53047163999986</v>
      </c>
      <c r="F5" s="268">
        <v>47.479907829999775</v>
      </c>
      <c r="G5" s="268">
        <v>83.933267250075005</v>
      </c>
    </row>
    <row r="6" spans="2:7" ht="15.5">
      <c r="B6" s="115">
        <v>2035</v>
      </c>
      <c r="C6" s="268">
        <v>9.4993890696648862</v>
      </c>
      <c r="D6" s="268">
        <v>21.8506370099999</v>
      </c>
      <c r="E6" s="268">
        <v>28.512410240000008</v>
      </c>
      <c r="F6" s="268">
        <v>37.820516829999633</v>
      </c>
      <c r="G6" s="268">
        <v>68.986213300086092</v>
      </c>
    </row>
    <row r="7" spans="2:7" ht="15.5">
      <c r="B7" s="115">
        <v>2040</v>
      </c>
      <c r="C7" s="268">
        <v>15.288100063282275</v>
      </c>
      <c r="D7" s="268">
        <v>29.13418060999993</v>
      </c>
      <c r="E7" s="268">
        <v>31.49434883999993</v>
      </c>
      <c r="F7" s="268">
        <v>28.161125829999946</v>
      </c>
      <c r="G7" s="268">
        <v>50.018016350106336</v>
      </c>
    </row>
    <row r="8" spans="2:7" ht="15.5">
      <c r="B8" s="115">
        <v>2045</v>
      </c>
      <c r="C8" s="268">
        <v>28.394785654396898</v>
      </c>
      <c r="D8" s="268">
        <v>36.41772420999996</v>
      </c>
      <c r="E8" s="268">
        <v>34.476287439999851</v>
      </c>
      <c r="F8" s="268">
        <v>18.501734829999805</v>
      </c>
      <c r="G8" s="268">
        <v>27.028676399961114</v>
      </c>
    </row>
    <row r="9" spans="2:7" ht="15.5">
      <c r="B9" s="115">
        <v>2050</v>
      </c>
      <c r="C9" s="268">
        <v>51.98583479336952</v>
      </c>
      <c r="D9" s="268">
        <v>43.70126780999999</v>
      </c>
      <c r="E9" s="268">
        <v>37.45822604</v>
      </c>
      <c r="F9" s="268">
        <v>8.8423438299996633</v>
      </c>
      <c r="G9" s="2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3"/>
  <sheetViews>
    <sheetView zoomScale="55" zoomScaleNormal="55" workbookViewId="0"/>
  </sheetViews>
  <sheetFormatPr baseColWidth="10" defaultRowHeight="15.5"/>
  <cols>
    <col min="1" max="1" width="10.75" customWidth="1"/>
    <col min="2" max="2" width="14.08203125" customWidth="1"/>
    <col min="3" max="3" width="18" customWidth="1"/>
    <col min="4" max="4" width="17.1640625" customWidth="1"/>
    <col min="5" max="5" width="17.75" customWidth="1"/>
    <col min="6" max="6" width="17.1640625" customWidth="1"/>
  </cols>
  <sheetData>
    <row r="1" spans="1:6" s="4" customFormat="1" ht="50" customHeigh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6</v>
      </c>
    </row>
    <row r="2" spans="1:6">
      <c r="A2">
        <v>2010</v>
      </c>
      <c r="B2" s="84">
        <v>51216967</v>
      </c>
      <c r="C2">
        <v>305492666382.98798</v>
      </c>
      <c r="D2" s="48">
        <v>259.601</v>
      </c>
      <c r="E2" s="48">
        <v>259.601</v>
      </c>
      <c r="F2" s="48">
        <v>259.601</v>
      </c>
    </row>
    <row r="3" spans="1:6">
      <c r="A3">
        <v>2011</v>
      </c>
      <c r="B3" s="84">
        <v>52003759</v>
      </c>
      <c r="C3">
        <v>313886551439.763</v>
      </c>
      <c r="D3" s="48">
        <v>262.53800000000001</v>
      </c>
      <c r="E3" s="48">
        <v>262.53800000000001</v>
      </c>
      <c r="F3" s="48">
        <v>262.53800000000001</v>
      </c>
    </row>
    <row r="4" spans="1:6">
      <c r="A4">
        <v>2012</v>
      </c>
      <c r="B4" s="84">
        <v>52832659</v>
      </c>
      <c r="C4">
        <v>320964968305.18597</v>
      </c>
      <c r="D4" s="48">
        <v>257.91899999999998</v>
      </c>
      <c r="E4" s="48">
        <v>257.91899999999998</v>
      </c>
      <c r="F4" s="48">
        <v>257.91899999999998</v>
      </c>
    </row>
    <row r="5" spans="1:6">
      <c r="A5">
        <v>2013</v>
      </c>
      <c r="B5" s="84">
        <v>53687125</v>
      </c>
      <c r="C5">
        <v>329273082101.20203</v>
      </c>
      <c r="D5" s="48">
        <v>256.07299999999998</v>
      </c>
      <c r="E5" s="48">
        <v>256.07299999999998</v>
      </c>
      <c r="F5" s="48">
        <v>256.07299999999998</v>
      </c>
    </row>
    <row r="6" spans="1:6">
      <c r="A6">
        <v>2014</v>
      </c>
      <c r="B6" s="84">
        <v>54544184</v>
      </c>
      <c r="C6">
        <v>333764214929.71802</v>
      </c>
      <c r="D6" s="48">
        <v>252.578</v>
      </c>
      <c r="E6" s="48">
        <v>252.578</v>
      </c>
      <c r="F6" s="48">
        <v>252.578</v>
      </c>
    </row>
    <row r="7" spans="1:6">
      <c r="A7">
        <v>2015</v>
      </c>
      <c r="B7" s="84">
        <v>55386369</v>
      </c>
      <c r="C7">
        <v>338766618711.13</v>
      </c>
      <c r="D7" s="48">
        <v>249.655</v>
      </c>
      <c r="E7" s="48">
        <v>249.655</v>
      </c>
      <c r="F7" s="48">
        <v>249.655</v>
      </c>
    </row>
    <row r="8" spans="1:6">
      <c r="A8">
        <v>2016</v>
      </c>
      <c r="B8" s="84">
        <v>56207649</v>
      </c>
      <c r="C8">
        <v>340040172078.28998</v>
      </c>
      <c r="D8" s="48">
        <v>252.74700000000001</v>
      </c>
      <c r="E8" s="48">
        <v>252.74700000000001</v>
      </c>
      <c r="F8" s="48">
        <v>252.74700000000001</v>
      </c>
    </row>
    <row r="9" spans="1:6">
      <c r="A9">
        <v>2017</v>
      </c>
      <c r="B9" s="84">
        <v>57009751</v>
      </c>
      <c r="C9">
        <v>343126347171.42499</v>
      </c>
      <c r="D9" s="48">
        <v>255.13432</v>
      </c>
      <c r="E9" s="48">
        <v>255.13432</v>
      </c>
      <c r="F9" s="48">
        <v>255.13432</v>
      </c>
    </row>
    <row r="10" spans="1:6">
      <c r="A10">
        <v>2018</v>
      </c>
      <c r="B10" s="84">
        <v>57792520</v>
      </c>
      <c r="C10">
        <v>348230826906.65198</v>
      </c>
      <c r="D10" s="48">
        <v>256.39722799999998</v>
      </c>
      <c r="E10" s="48">
        <v>256.39722799999998</v>
      </c>
      <c r="F10" s="48">
        <v>256.39722799999998</v>
      </c>
    </row>
    <row r="11" spans="1:6">
      <c r="A11">
        <v>2019</v>
      </c>
      <c r="B11" s="84">
        <v>58558267</v>
      </c>
      <c r="C11">
        <v>349582267033.16803</v>
      </c>
      <c r="D11" s="48">
        <v>252.639321</v>
      </c>
      <c r="E11" s="48">
        <v>252.639321</v>
      </c>
      <c r="F11" s="48">
        <v>252.639321</v>
      </c>
    </row>
    <row r="12" spans="1:6">
      <c r="A12">
        <v>2020</v>
      </c>
      <c r="B12" s="84">
        <v>59308690.000000007</v>
      </c>
      <c r="C12">
        <v>329777110244.69299</v>
      </c>
      <c r="D12" s="48">
        <v>239.459</v>
      </c>
      <c r="E12" s="48">
        <v>239.459</v>
      </c>
      <c r="F12" s="48">
        <v>239.459</v>
      </c>
    </row>
    <row r="13" spans="1:6">
      <c r="A13">
        <v>2021</v>
      </c>
      <c r="B13" s="84">
        <v>60041995.99999997</v>
      </c>
      <c r="C13">
        <v>345936188646.68292</v>
      </c>
      <c r="D13" s="48">
        <v>246.09220539696392</v>
      </c>
      <c r="E13" s="48">
        <v>245.31329896070454</v>
      </c>
      <c r="F13" s="48">
        <v>248.51871065152372</v>
      </c>
    </row>
    <row r="14" spans="1:6">
      <c r="A14">
        <v>2022</v>
      </c>
      <c r="B14" s="84">
        <v>60756133.999999993</v>
      </c>
      <c r="C14">
        <v>355493758287.95477</v>
      </c>
      <c r="D14" s="48">
        <v>256.8656688309369</v>
      </c>
      <c r="E14" s="48">
        <v>250.87201241241124</v>
      </c>
      <c r="F14" s="48">
        <v>257.39817540875976</v>
      </c>
    </row>
    <row r="15" spans="1:6">
      <c r="A15">
        <v>2023</v>
      </c>
      <c r="B15" s="84">
        <v>61452696</v>
      </c>
      <c r="C15">
        <v>363029025594.65204</v>
      </c>
      <c r="D15" s="48">
        <v>267.57125460164423</v>
      </c>
      <c r="E15" s="48">
        <v>257.31299922657655</v>
      </c>
      <c r="F15" s="48">
        <v>266.19555907100846</v>
      </c>
    </row>
    <row r="16" spans="1:6">
      <c r="A16">
        <v>2024</v>
      </c>
      <c r="B16" s="84">
        <v>62134218.000000037</v>
      </c>
      <c r="C16">
        <v>372937102157.90497</v>
      </c>
      <c r="D16" s="48">
        <v>278.16679611650602</v>
      </c>
      <c r="E16" s="48">
        <v>263.6887920764363</v>
      </c>
      <c r="F16" s="48">
        <v>274.88566749645457</v>
      </c>
    </row>
    <row r="17" spans="1:6">
      <c r="A17">
        <v>2025</v>
      </c>
      <c r="B17" s="84">
        <v>62802682.000000007</v>
      </c>
      <c r="C17">
        <v>383160883395.11902</v>
      </c>
      <c r="D17" s="48">
        <v>288.61186679377971</v>
      </c>
      <c r="E17" s="48">
        <v>269.98908897607572</v>
      </c>
      <c r="F17" s="48">
        <v>283.44455947246104</v>
      </c>
    </row>
    <row r="18" spans="1:6">
      <c r="A18">
        <v>2026</v>
      </c>
      <c r="B18" s="84">
        <v>63458390</v>
      </c>
      <c r="C18">
        <v>392683170753.86176</v>
      </c>
      <c r="D18" s="48">
        <v>298.86837552927824</v>
      </c>
      <c r="E18" s="48">
        <v>276.20409844717284</v>
      </c>
      <c r="F18" s="48">
        <v>291.84979468423973</v>
      </c>
    </row>
    <row r="19" spans="1:6">
      <c r="A19">
        <v>2027</v>
      </c>
      <c r="B19" s="84">
        <v>64101026.999999985</v>
      </c>
      <c r="C19">
        <v>403113958267.58026</v>
      </c>
      <c r="D19" s="48">
        <v>308.90108654395192</v>
      </c>
      <c r="E19" s="48">
        <v>282.32459454746237</v>
      </c>
      <c r="F19" s="48">
        <v>300.08064611190741</v>
      </c>
    </row>
    <row r="20" spans="1:6">
      <c r="A20">
        <v>2028</v>
      </c>
      <c r="B20" s="84">
        <v>64731152</v>
      </c>
      <c r="C20">
        <v>412982600412.01593</v>
      </c>
      <c r="D20" s="48">
        <v>318.67804989847338</v>
      </c>
      <c r="E20" s="48">
        <v>288.34196418914604</v>
      </c>
      <c r="F20" s="48">
        <v>308.11827325912844</v>
      </c>
    </row>
    <row r="21" spans="1:6">
      <c r="A21">
        <v>2029</v>
      </c>
      <c r="B21" s="84">
        <v>65349369.000000007</v>
      </c>
      <c r="C21">
        <v>425788322710.94775</v>
      </c>
      <c r="D21" s="48">
        <v>328.17093360796628</v>
      </c>
      <c r="E21" s="48">
        <v>294.24824636612504</v>
      </c>
      <c r="F21" s="48">
        <v>315.94585409147692</v>
      </c>
    </row>
    <row r="22" spans="1:6">
      <c r="A22">
        <v>2030</v>
      </c>
      <c r="B22" s="84">
        <v>65956090.000000007</v>
      </c>
      <c r="C22">
        <v>430978149250.96228</v>
      </c>
      <c r="D22" s="48">
        <v>337.35525311184011</v>
      </c>
      <c r="E22" s="48">
        <v>300.03616308326457</v>
      </c>
      <c r="F22" s="48">
        <v>323.54867502514333</v>
      </c>
    </row>
    <row r="23" spans="1:6">
      <c r="A23">
        <v>2031</v>
      </c>
      <c r="B23" s="84">
        <v>66551674.99999997</v>
      </c>
      <c r="C23">
        <v>443603629180.112</v>
      </c>
      <c r="D23" s="48">
        <v>346.21049850944013</v>
      </c>
      <c r="E23" s="48">
        <v>305.69914195045078</v>
      </c>
      <c r="F23" s="48">
        <v>330.91417968321656</v>
      </c>
    </row>
    <row r="24" spans="1:6">
      <c r="A24">
        <v>2032</v>
      </c>
      <c r="B24" s="84">
        <v>67136191.000000045</v>
      </c>
      <c r="C24">
        <v>452717411238.98853</v>
      </c>
      <c r="D24" s="48">
        <v>354.72016416815467</v>
      </c>
      <c r="E24" s="48">
        <v>311.23133056411808</v>
      </c>
      <c r="F24" s="48">
        <v>338.03197836611901</v>
      </c>
    </row>
    <row r="25" spans="1:6">
      <c r="A25">
        <v>2033</v>
      </c>
      <c r="B25" s="84">
        <v>67709277.999999985</v>
      </c>
      <c r="C25">
        <v>465479992291.37317</v>
      </c>
      <c r="D25" s="48">
        <v>362.87168882291769</v>
      </c>
      <c r="E25" s="48">
        <v>316.62760294508723</v>
      </c>
      <c r="F25" s="48">
        <v>344.89382121875155</v>
      </c>
    </row>
    <row r="26" spans="1:6">
      <c r="A26">
        <v>2034</v>
      </c>
      <c r="B26" s="84">
        <v>68270351</v>
      </c>
      <c r="C26">
        <v>479373324709.79614</v>
      </c>
      <c r="D26" s="48">
        <v>370.6563169728106</v>
      </c>
      <c r="E26" s="48">
        <v>321.88355843067632</v>
      </c>
      <c r="F26" s="48">
        <v>351.49353889016481</v>
      </c>
    </row>
    <row r="27" spans="1:6">
      <c r="A27">
        <v>2035</v>
      </c>
      <c r="B27" s="84">
        <v>68818976.000000015</v>
      </c>
      <c r="C27">
        <v>485806780503.27887</v>
      </c>
      <c r="D27" s="48">
        <v>378.06889418307162</v>
      </c>
      <c r="E27" s="48">
        <v>326.9955135287326</v>
      </c>
      <c r="F27" s="48">
        <v>357.82695505940166</v>
      </c>
    </row>
    <row r="28" spans="1:6">
      <c r="A28">
        <v>2036</v>
      </c>
      <c r="B28" s="84">
        <v>69354995.99999997</v>
      </c>
      <c r="C28">
        <v>499635348949.85938</v>
      </c>
      <c r="D28" s="48">
        <v>385.10760983610635</v>
      </c>
      <c r="E28" s="48">
        <v>331.96048733002635</v>
      </c>
      <c r="F28" s="48">
        <v>363.89177554608881</v>
      </c>
    </row>
    <row r="29" spans="1:6">
      <c r="A29">
        <v>2037</v>
      </c>
      <c r="B29" s="84">
        <v>69878512.00000003</v>
      </c>
      <c r="C29">
        <v>513745691087.72217</v>
      </c>
      <c r="D29" s="48">
        <v>391.77370102104743</v>
      </c>
      <c r="E29" s="48">
        <v>336.77618114274645</v>
      </c>
      <c r="F29" s="48">
        <v>369.68745885169591</v>
      </c>
    </row>
    <row r="30" spans="1:6">
      <c r="A30">
        <v>2038</v>
      </c>
      <c r="B30" s="84">
        <v>70389621.000000015</v>
      </c>
      <c r="C30">
        <v>526036773420.42621</v>
      </c>
      <c r="D30" s="48">
        <v>398.07113072935402</v>
      </c>
      <c r="E30" s="48">
        <v>341.44095305887345</v>
      </c>
      <c r="F30" s="48">
        <v>375.21507291219245</v>
      </c>
    </row>
    <row r="31" spans="1:6">
      <c r="A31">
        <v>2039</v>
      </c>
      <c r="B31" s="84">
        <v>70888529.00000003</v>
      </c>
      <c r="C31">
        <v>534890875828.82141</v>
      </c>
      <c r="D31" s="48">
        <v>404.00625247987284</v>
      </c>
      <c r="E31" s="48">
        <v>344.22401924694941</v>
      </c>
      <c r="F31" s="48">
        <v>379.3357111888273</v>
      </c>
    </row>
    <row r="32" spans="1:6">
      <c r="A32">
        <v>2040</v>
      </c>
      <c r="B32" s="84">
        <v>71375306</v>
      </c>
      <c r="C32">
        <v>551801363143.51904</v>
      </c>
      <c r="D32" s="48">
        <v>409.58747208436324</v>
      </c>
      <c r="E32" s="48">
        <v>346.81112264712596</v>
      </c>
      <c r="F32" s="48">
        <v>383.16462734054795</v>
      </c>
    </row>
    <row r="33" spans="1:6">
      <c r="A33">
        <v>2041</v>
      </c>
      <c r="B33" s="84">
        <v>71849863.000000045</v>
      </c>
      <c r="C33">
        <v>565066098068.14624</v>
      </c>
      <c r="D33" s="48">
        <v>414.82491563103383</v>
      </c>
      <c r="E33" s="48">
        <v>349.20468280283956</v>
      </c>
      <c r="F33" s="48">
        <v>386.70909714666396</v>
      </c>
    </row>
    <row r="34" spans="1:6">
      <c r="A34">
        <v>2042</v>
      </c>
      <c r="B34" s="84">
        <v>72311943.000000015</v>
      </c>
      <c r="C34">
        <v>581112858372.953</v>
      </c>
      <c r="D34" s="48">
        <v>419.73011103998471</v>
      </c>
      <c r="E34" s="48">
        <v>351.40762523237913</v>
      </c>
      <c r="F34" s="48">
        <v>389.97730885725446</v>
      </c>
    </row>
    <row r="35" spans="1:6">
      <c r="A35">
        <v>2043</v>
      </c>
      <c r="B35" s="84">
        <v>72761191.99999997</v>
      </c>
      <c r="C35">
        <v>595518090946.91638</v>
      </c>
      <c r="D35" s="48">
        <v>424.31568883873865</v>
      </c>
      <c r="E35" s="48">
        <v>353.42332960281749</v>
      </c>
      <c r="F35" s="48">
        <v>392.97819863917078</v>
      </c>
    </row>
    <row r="36" spans="1:6">
      <c r="A36">
        <v>2044</v>
      </c>
      <c r="B36" s="84">
        <v>73197186.000000015</v>
      </c>
      <c r="C36">
        <v>607961522309.46936</v>
      </c>
      <c r="D36" s="48">
        <v>428.59510620108063</v>
      </c>
      <c r="E36" s="48">
        <v>355.2555782691615</v>
      </c>
      <c r="F36" s="48">
        <v>395.72129556126839</v>
      </c>
    </row>
    <row r="37" spans="1:6">
      <c r="A37">
        <v>2045</v>
      </c>
      <c r="B37" s="84">
        <v>73619546.00000003</v>
      </c>
      <c r="C37">
        <v>621243975412.78918</v>
      </c>
      <c r="D37" s="48">
        <v>432.5823968458663</v>
      </c>
      <c r="E37" s="48">
        <v>356.90850575892341</v>
      </c>
      <c r="F37" s="48">
        <v>398.21657763631919</v>
      </c>
    </row>
    <row r="38" spans="1:6">
      <c r="A38">
        <v>2046</v>
      </c>
      <c r="B38" s="84">
        <v>74028113.99999997</v>
      </c>
      <c r="C38">
        <v>631505247552.92883</v>
      </c>
      <c r="D38" s="48">
        <v>436.29194813905536</v>
      </c>
      <c r="E38" s="48">
        <v>358.38654970306953</v>
      </c>
      <c r="F38" s="48">
        <v>400.47433993586685</v>
      </c>
    </row>
    <row r="39" spans="1:6">
      <c r="A39">
        <v>2047</v>
      </c>
      <c r="B39" s="84">
        <v>74422697.999999925</v>
      </c>
      <c r="C39">
        <v>644914564846.99097</v>
      </c>
      <c r="D39" s="48">
        <v>439.73830569731967</v>
      </c>
      <c r="E39" s="48">
        <v>359.69440363502599</v>
      </c>
      <c r="F39" s="48">
        <v>402.50507535098706</v>
      </c>
    </row>
    <row r="40" spans="1:6">
      <c r="A40">
        <v>2048</v>
      </c>
      <c r="B40" s="84">
        <v>74802858.999999985</v>
      </c>
      <c r="C40">
        <v>659468105707.22961</v>
      </c>
      <c r="D40" s="48">
        <v>442.93600495514414</v>
      </c>
      <c r="E40" s="48">
        <v>360.83697200206132</v>
      </c>
      <c r="F40" s="48">
        <v>404.31936819136575</v>
      </c>
    </row>
    <row r="41" spans="1:6">
      <c r="A41">
        <v>2049</v>
      </c>
      <c r="B41" s="84">
        <v>75168063.000000045</v>
      </c>
      <c r="C41">
        <v>677523369774.06042</v>
      </c>
      <c r="D41" s="48">
        <v>445.89942851810201</v>
      </c>
      <c r="E41" s="48">
        <v>361.81932765949762</v>
      </c>
      <c r="F41" s="48">
        <v>405.92780049843304</v>
      </c>
    </row>
    <row r="42" spans="1:6">
      <c r="A42">
        <v>2050</v>
      </c>
      <c r="B42" s="84">
        <v>75517908.99999997</v>
      </c>
      <c r="C42">
        <v>691761808400.2395</v>
      </c>
      <c r="D42" s="48">
        <v>448.64268766413596</v>
      </c>
      <c r="E42" s="48">
        <v>362.64667204907516</v>
      </c>
      <c r="F42" s="48">
        <v>407.34087069362408</v>
      </c>
    </row>
    <row r="43" spans="1:6">
      <c r="A43" s="5"/>
      <c r="D43" s="48">
        <v>2.0459535065977974E-2</v>
      </c>
      <c r="E43" s="48">
        <v>1.3478634945086387E-2</v>
      </c>
      <c r="F43" s="48">
        <v>1.7285374595956471E-2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G11"/>
  <sheetViews>
    <sheetView zoomScale="85" zoomScaleNormal="85" workbookViewId="0"/>
  </sheetViews>
  <sheetFormatPr baseColWidth="10" defaultColWidth="8" defaultRowHeight="14.5"/>
  <cols>
    <col min="1" max="1" width="8" style="52"/>
    <col min="2" max="2" width="12.4140625" style="52" customWidth="1"/>
    <col min="3" max="3" width="8.5" style="52" customWidth="1"/>
    <col min="4" max="4" width="8" style="52"/>
    <col min="5" max="5" width="8.75" style="52" customWidth="1"/>
    <col min="6" max="6" width="11" style="52" customWidth="1"/>
    <col min="7" max="16384" width="8" style="52"/>
  </cols>
  <sheetData>
    <row r="2" spans="1:7">
      <c r="A2" s="269"/>
      <c r="B2" s="126"/>
      <c r="C2" s="270" t="s">
        <v>207</v>
      </c>
      <c r="D2" s="270" t="s">
        <v>208</v>
      </c>
      <c r="E2" s="270" t="s">
        <v>209</v>
      </c>
      <c r="F2" s="269"/>
      <c r="G2" s="269"/>
    </row>
    <row r="3" spans="1:7">
      <c r="A3" s="269"/>
      <c r="B3" s="270">
        <v>2020</v>
      </c>
      <c r="C3" s="126">
        <f>37.9*1000</f>
        <v>37900</v>
      </c>
      <c r="D3" s="126"/>
      <c r="E3" s="126"/>
      <c r="F3" s="269"/>
      <c r="G3" s="269"/>
    </row>
    <row r="4" spans="1:7">
      <c r="A4" s="269"/>
      <c r="B4" s="270">
        <v>2030</v>
      </c>
      <c r="C4" s="126">
        <f>21*1000</f>
        <v>21000</v>
      </c>
      <c r="D4" s="126">
        <f>C3-C4</f>
        <v>16900</v>
      </c>
      <c r="E4" s="126">
        <f>D4*D9</f>
        <v>338</v>
      </c>
      <c r="F4" s="269"/>
      <c r="G4" s="269"/>
    </row>
    <row r="5" spans="1:7">
      <c r="A5" s="269"/>
      <c r="B5" s="270">
        <v>2040</v>
      </c>
      <c r="C5" s="126">
        <f>7*1000</f>
        <v>7000</v>
      </c>
      <c r="D5" s="126">
        <f t="shared" ref="D5:D6" si="0">C4-C5</f>
        <v>14000</v>
      </c>
      <c r="E5" s="126">
        <f>D5*D9</f>
        <v>280</v>
      </c>
      <c r="F5" s="269"/>
      <c r="G5" s="269"/>
    </row>
    <row r="6" spans="1:7">
      <c r="A6" s="269"/>
      <c r="B6" s="270">
        <v>2050</v>
      </c>
      <c r="C6" s="126">
        <v>0</v>
      </c>
      <c r="D6" s="126">
        <f t="shared" si="0"/>
        <v>7000</v>
      </c>
      <c r="E6" s="126">
        <f>D6*D9</f>
        <v>140</v>
      </c>
      <c r="F6" s="269"/>
      <c r="G6" s="269"/>
    </row>
    <row r="7" spans="1:7">
      <c r="A7" s="269"/>
      <c r="B7" s="126"/>
      <c r="C7" s="126"/>
      <c r="D7" s="126"/>
      <c r="E7" s="270">
        <f>SUM(E4:E6)</f>
        <v>758</v>
      </c>
      <c r="F7" s="269" t="s">
        <v>210</v>
      </c>
      <c r="G7" s="269"/>
    </row>
    <row r="8" spans="1:7">
      <c r="A8" s="269"/>
      <c r="B8" s="269"/>
      <c r="C8" s="269"/>
      <c r="D8" s="269"/>
      <c r="E8" s="269"/>
      <c r="F8" s="269"/>
      <c r="G8" s="269"/>
    </row>
    <row r="9" spans="1:7">
      <c r="A9" s="269"/>
      <c r="B9" s="269" t="s">
        <v>211</v>
      </c>
      <c r="C9" s="269" t="s">
        <v>212</v>
      </c>
      <c r="D9" s="269">
        <v>0.02</v>
      </c>
      <c r="E9" s="269"/>
      <c r="F9" s="269"/>
      <c r="G9" s="269"/>
    </row>
    <row r="10" spans="1:7">
      <c r="D10" s="269"/>
      <c r="E10" s="269"/>
      <c r="F10" s="269"/>
      <c r="G10" s="269"/>
    </row>
    <row r="11" spans="1:7">
      <c r="A11" s="269"/>
      <c r="B11" s="269"/>
      <c r="C11" s="269"/>
      <c r="D11" s="269"/>
      <c r="E11" s="269"/>
      <c r="F11" s="269"/>
      <c r="G11" s="2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"/>
  <sheetViews>
    <sheetView workbookViewId="0"/>
  </sheetViews>
  <sheetFormatPr baseColWidth="10" defaultRowHeight="15.5"/>
  <sheetData>
    <row r="1" spans="1:7" ht="84">
      <c r="A1" s="6" t="s">
        <v>0</v>
      </c>
      <c r="B1" s="6" t="s">
        <v>7</v>
      </c>
      <c r="C1" s="6" t="s">
        <v>8</v>
      </c>
      <c r="D1" s="3" t="s">
        <v>5</v>
      </c>
      <c r="E1" s="6" t="s">
        <v>9</v>
      </c>
      <c r="F1" s="14" t="s">
        <v>10</v>
      </c>
      <c r="G1" s="14" t="s">
        <v>11</v>
      </c>
    </row>
    <row r="2" spans="1:7">
      <c r="A2" s="1">
        <v>2010</v>
      </c>
      <c r="B2" s="1">
        <v>51216967</v>
      </c>
      <c r="C2" s="7">
        <v>5964.6770255448355</v>
      </c>
      <c r="D2">
        <v>259.601</v>
      </c>
      <c r="E2" s="1">
        <v>5.0686523471801834</v>
      </c>
      <c r="F2" s="15"/>
      <c r="G2" s="85"/>
    </row>
    <row r="3" spans="1:7">
      <c r="A3" s="1">
        <v>2015</v>
      </c>
      <c r="B3" s="1">
        <v>55386369</v>
      </c>
      <c r="C3" s="7">
        <v>6116.4258431732542</v>
      </c>
      <c r="D3">
        <v>249.655</v>
      </c>
      <c r="E3" s="1">
        <v>4.5075170029651161</v>
      </c>
      <c r="F3" s="15"/>
      <c r="G3" s="85"/>
    </row>
    <row r="4" spans="1:7">
      <c r="A4" s="8">
        <v>2020</v>
      </c>
      <c r="B4" s="9">
        <v>59308690.000000007</v>
      </c>
      <c r="C4" s="10">
        <v>5560.3506036753288</v>
      </c>
      <c r="D4" s="16">
        <v>239.459</v>
      </c>
      <c r="E4" s="8">
        <v>4.0375027673010475</v>
      </c>
      <c r="F4" s="17">
        <v>39.5</v>
      </c>
      <c r="G4" s="17">
        <v>1.42</v>
      </c>
    </row>
    <row r="5" spans="1:7">
      <c r="A5" s="1">
        <v>2025</v>
      </c>
      <c r="B5" s="2">
        <v>62802682.000000007</v>
      </c>
      <c r="C5" s="7">
        <v>6101.0273955357352</v>
      </c>
      <c r="D5">
        <v>287.27993762762964</v>
      </c>
      <c r="E5" s="1">
        <v>4.5743259440357917</v>
      </c>
      <c r="F5" s="15">
        <v>40.92</v>
      </c>
      <c r="G5" s="85">
        <v>-10.5</v>
      </c>
    </row>
    <row r="6" spans="1:7">
      <c r="A6" s="11">
        <v>2030</v>
      </c>
      <c r="B6" s="12">
        <v>65956090.000000007</v>
      </c>
      <c r="C6" s="13">
        <v>6534.3192607530591</v>
      </c>
      <c r="D6" s="18">
        <v>325.74538451609891</v>
      </c>
      <c r="E6" s="11">
        <v>4.9388219422360979</v>
      </c>
      <c r="F6" s="15">
        <v>30.42</v>
      </c>
      <c r="G6" s="85">
        <v>-11.8</v>
      </c>
    </row>
    <row r="7" spans="1:7">
      <c r="A7" s="1">
        <v>2035</v>
      </c>
      <c r="B7" s="2">
        <v>68818976.000000015</v>
      </c>
      <c r="C7" s="7">
        <v>7059.1980401347264</v>
      </c>
      <c r="D7">
        <v>361.25420675672041</v>
      </c>
      <c r="E7" s="1">
        <v>5.2493400476740648</v>
      </c>
      <c r="F7" s="15">
        <v>18.62</v>
      </c>
      <c r="G7" s="85">
        <v>-4.7</v>
      </c>
    </row>
    <row r="8" spans="1:7">
      <c r="A8" s="11">
        <v>2040</v>
      </c>
      <c r="B8" s="12">
        <v>71375306</v>
      </c>
      <c r="C8" s="13">
        <v>7730.9842026249116</v>
      </c>
      <c r="D8" s="18">
        <v>387.46379376435965</v>
      </c>
      <c r="E8" s="11">
        <v>5.4285412627773484</v>
      </c>
      <c r="F8" s="15">
        <v>13.920000000000002</v>
      </c>
      <c r="G8" s="85">
        <v>-4.0999999999999996</v>
      </c>
    </row>
    <row r="9" spans="1:7">
      <c r="A9" s="1">
        <v>2045</v>
      </c>
      <c r="B9" s="2">
        <v>73619546.00000003</v>
      </c>
      <c r="C9" s="7">
        <v>8438.5738457662992</v>
      </c>
      <c r="D9">
        <v>399.99439239407894</v>
      </c>
      <c r="E9" s="1">
        <v>5.4332635030658682</v>
      </c>
      <c r="F9" s="15">
        <v>9.8200000000000021</v>
      </c>
      <c r="G9" s="85">
        <v>-9.8219999999999992</v>
      </c>
    </row>
    <row r="10" spans="1:7">
      <c r="A10" s="11">
        <v>2050</v>
      </c>
      <c r="B10" s="12">
        <v>75517908.99999997</v>
      </c>
      <c r="C10" s="13">
        <v>9160.2352019603695</v>
      </c>
      <c r="D10" s="18">
        <v>407.44882371198207</v>
      </c>
      <c r="E10" s="11">
        <v>5.3953933458616055</v>
      </c>
      <c r="F10" s="15">
        <v>-1.9999999999971152E-3</v>
      </c>
      <c r="G10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5"/>
  <sheetViews>
    <sheetView zoomScale="55" zoomScaleNormal="55" workbookViewId="0"/>
  </sheetViews>
  <sheetFormatPr baseColWidth="10" defaultRowHeight="15.5"/>
  <cols>
    <col min="2" max="2" width="17.58203125" customWidth="1"/>
  </cols>
  <sheetData>
    <row r="1" spans="1:16">
      <c r="A1" s="86" t="s">
        <v>29</v>
      </c>
    </row>
    <row r="2" spans="1:16" ht="47" customHeight="1">
      <c r="A2" s="87" t="s">
        <v>0</v>
      </c>
      <c r="B2" s="87" t="s">
        <v>5</v>
      </c>
      <c r="C2" s="87" t="s">
        <v>12</v>
      </c>
      <c r="D2" s="87" t="s">
        <v>13</v>
      </c>
      <c r="E2" s="87" t="s">
        <v>14</v>
      </c>
      <c r="F2" s="87" t="s">
        <v>15</v>
      </c>
      <c r="G2" s="87" t="s">
        <v>16</v>
      </c>
      <c r="H2" s="87" t="s">
        <v>17</v>
      </c>
      <c r="I2" s="87" t="s">
        <v>18</v>
      </c>
      <c r="J2" s="87" t="s">
        <v>19</v>
      </c>
      <c r="K2" s="87" t="s">
        <v>20</v>
      </c>
      <c r="L2" s="87" t="s">
        <v>21</v>
      </c>
      <c r="M2" s="87" t="s">
        <v>22</v>
      </c>
      <c r="N2" s="87" t="s">
        <v>23</v>
      </c>
      <c r="O2" s="87" t="s">
        <v>24</v>
      </c>
      <c r="P2" s="49"/>
    </row>
    <row r="3" spans="1:16">
      <c r="A3" s="85">
        <v>2010</v>
      </c>
      <c r="B3" s="88">
        <v>259.601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16">
      <c r="A4" s="85">
        <v>2015</v>
      </c>
      <c r="B4" s="88">
        <v>249.655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16">
      <c r="A5" s="85">
        <v>2020</v>
      </c>
      <c r="B5" s="88">
        <v>239.459</v>
      </c>
      <c r="C5" s="88">
        <v>39.5</v>
      </c>
      <c r="D5" s="88">
        <v>3.3</v>
      </c>
      <c r="E5" s="88">
        <v>2</v>
      </c>
      <c r="F5" s="88">
        <v>0.8</v>
      </c>
      <c r="G5" s="88">
        <v>0.5</v>
      </c>
      <c r="H5" s="88">
        <v>2.6360000000000001</v>
      </c>
      <c r="I5" s="88">
        <v>2.6360000000000001</v>
      </c>
      <c r="J5" s="88"/>
      <c r="K5" s="88">
        <v>1.86</v>
      </c>
      <c r="L5" s="88">
        <v>3.6</v>
      </c>
      <c r="M5" s="88">
        <v>0.4</v>
      </c>
      <c r="N5" s="88">
        <v>6</v>
      </c>
      <c r="O5" s="88">
        <v>57.295999999999999</v>
      </c>
    </row>
    <row r="6" spans="1:16">
      <c r="A6" s="85">
        <v>2025</v>
      </c>
      <c r="B6" s="88">
        <v>286.7228141659885</v>
      </c>
      <c r="C6" s="88">
        <v>40.92</v>
      </c>
      <c r="D6" s="88">
        <v>6.7</v>
      </c>
      <c r="E6" s="88">
        <v>4</v>
      </c>
      <c r="F6" s="88">
        <v>2.2000000000000002</v>
      </c>
      <c r="G6" s="88">
        <v>0.5</v>
      </c>
      <c r="H6" s="88">
        <v>7.6360000000000001</v>
      </c>
      <c r="I6" s="88">
        <v>7.6360000000000001</v>
      </c>
      <c r="J6" s="88"/>
      <c r="K6" s="88">
        <v>1.86</v>
      </c>
      <c r="L6" s="88">
        <v>4.5999999999999996</v>
      </c>
      <c r="M6" s="88">
        <v>0.6</v>
      </c>
      <c r="N6" s="88">
        <v>7</v>
      </c>
      <c r="O6" s="88">
        <v>69.316000000000003</v>
      </c>
    </row>
    <row r="7" spans="1:16">
      <c r="A7" s="85">
        <v>2030</v>
      </c>
      <c r="B7" s="88">
        <v>324.76714213572609</v>
      </c>
      <c r="C7" s="88">
        <v>30.42</v>
      </c>
      <c r="D7" s="88">
        <v>14.9</v>
      </c>
      <c r="E7" s="88">
        <v>10.5</v>
      </c>
      <c r="F7" s="88">
        <v>3.8</v>
      </c>
      <c r="G7" s="88">
        <v>0.6</v>
      </c>
      <c r="H7" s="88">
        <v>20</v>
      </c>
      <c r="I7" s="88">
        <v>18</v>
      </c>
      <c r="J7" s="88">
        <v>2</v>
      </c>
      <c r="K7" s="88">
        <v>1.86</v>
      </c>
      <c r="L7" s="88">
        <v>6.1</v>
      </c>
      <c r="M7" s="88">
        <v>0.6</v>
      </c>
      <c r="N7" s="88">
        <v>7.5</v>
      </c>
      <c r="O7" s="88">
        <v>81.379999999999981</v>
      </c>
    </row>
    <row r="8" spans="1:16">
      <c r="A8" s="85">
        <v>2035</v>
      </c>
      <c r="B8" s="88">
        <v>358.97177971073597</v>
      </c>
      <c r="C8" s="88">
        <v>18.62</v>
      </c>
      <c r="D8" s="88">
        <v>26.900000000000002</v>
      </c>
      <c r="E8" s="88">
        <v>19.5</v>
      </c>
      <c r="F8" s="88">
        <v>6.8</v>
      </c>
      <c r="G8" s="88">
        <v>0.6</v>
      </c>
      <c r="H8" s="88">
        <v>35</v>
      </c>
      <c r="I8" s="88">
        <v>30</v>
      </c>
      <c r="J8" s="88">
        <v>5</v>
      </c>
      <c r="K8" s="88">
        <v>4.3600000000000003</v>
      </c>
      <c r="L8" s="88">
        <v>6.1</v>
      </c>
      <c r="M8" s="88">
        <v>0.8</v>
      </c>
      <c r="N8" s="88">
        <v>8</v>
      </c>
      <c r="O8" s="88">
        <v>99.78</v>
      </c>
    </row>
    <row r="9" spans="1:16">
      <c r="A9" s="85">
        <v>2040</v>
      </c>
      <c r="B9" s="88">
        <v>384.62602587835875</v>
      </c>
      <c r="C9" s="88">
        <v>13.920000000000002</v>
      </c>
      <c r="D9" s="88">
        <v>42.300000000000004</v>
      </c>
      <c r="E9" s="88">
        <v>31.5</v>
      </c>
      <c r="F9" s="88">
        <v>10.199999999999999</v>
      </c>
      <c r="G9" s="88">
        <v>0.6</v>
      </c>
      <c r="H9" s="88">
        <v>50</v>
      </c>
      <c r="I9" s="88">
        <v>38</v>
      </c>
      <c r="J9" s="88">
        <v>12</v>
      </c>
      <c r="K9" s="88">
        <v>8.26</v>
      </c>
      <c r="L9" s="88">
        <v>6.1</v>
      </c>
      <c r="M9" s="88">
        <v>0.8</v>
      </c>
      <c r="N9" s="88">
        <v>8</v>
      </c>
      <c r="O9" s="88">
        <v>129.38</v>
      </c>
    </row>
    <row r="10" spans="1:16">
      <c r="A10" s="85">
        <v>2045</v>
      </c>
      <c r="B10" s="88">
        <v>399.38663714270643</v>
      </c>
      <c r="C10" s="88">
        <v>9.8200000000000021</v>
      </c>
      <c r="D10" s="88">
        <v>52.800000000000004</v>
      </c>
      <c r="E10" s="88">
        <v>38.5</v>
      </c>
      <c r="F10" s="88">
        <v>14.2</v>
      </c>
      <c r="G10" s="88">
        <v>0.1</v>
      </c>
      <c r="H10" s="88">
        <v>63</v>
      </c>
      <c r="I10" s="88">
        <v>43</v>
      </c>
      <c r="J10" s="88">
        <v>20</v>
      </c>
      <c r="K10" s="88">
        <v>8.26</v>
      </c>
      <c r="L10" s="88">
        <v>6.1</v>
      </c>
      <c r="M10" s="88">
        <v>1</v>
      </c>
      <c r="N10" s="88">
        <v>8</v>
      </c>
      <c r="O10" s="88">
        <v>148.97999999999999</v>
      </c>
    </row>
    <row r="11" spans="1:16">
      <c r="A11" s="85">
        <v>2050</v>
      </c>
      <c r="B11" s="88">
        <v>411.59772241242024</v>
      </c>
      <c r="C11" s="88">
        <v>0</v>
      </c>
      <c r="D11" s="88">
        <v>57.6</v>
      </c>
      <c r="E11" s="88">
        <v>40</v>
      </c>
      <c r="F11" s="88">
        <v>17.600000000000001</v>
      </c>
      <c r="G11" s="88">
        <v>0</v>
      </c>
      <c r="H11" s="88">
        <v>65</v>
      </c>
      <c r="I11" s="88">
        <v>35</v>
      </c>
      <c r="J11" s="88">
        <v>30</v>
      </c>
      <c r="K11" s="88">
        <v>10.3</v>
      </c>
      <c r="L11" s="88">
        <v>6.1</v>
      </c>
      <c r="M11" s="88">
        <v>1</v>
      </c>
      <c r="N11" s="88">
        <v>8</v>
      </c>
      <c r="O11" s="88">
        <v>148</v>
      </c>
    </row>
    <row r="14" spans="1:16">
      <c r="A14" s="86" t="s">
        <v>28</v>
      </c>
    </row>
    <row r="15" spans="1:16" ht="46.5">
      <c r="A15" s="87" t="s">
        <v>0</v>
      </c>
      <c r="B15" s="87" t="s">
        <v>5</v>
      </c>
      <c r="C15" s="87" t="s">
        <v>12</v>
      </c>
      <c r="D15" s="87" t="s">
        <v>25</v>
      </c>
      <c r="E15" s="87" t="s">
        <v>14</v>
      </c>
      <c r="F15" s="87" t="s">
        <v>15</v>
      </c>
      <c r="G15" s="87" t="s">
        <v>16</v>
      </c>
      <c r="H15" s="87" t="s">
        <v>17</v>
      </c>
      <c r="I15" s="87" t="s">
        <v>18</v>
      </c>
      <c r="J15" s="87" t="s">
        <v>19</v>
      </c>
      <c r="K15" s="87" t="s">
        <v>20</v>
      </c>
      <c r="L15" s="87" t="s">
        <v>21</v>
      </c>
      <c r="M15" s="87" t="s">
        <v>22</v>
      </c>
      <c r="N15" s="87" t="s">
        <v>23</v>
      </c>
      <c r="O15" s="87" t="s">
        <v>26</v>
      </c>
    </row>
    <row r="16" spans="1:16">
      <c r="A16" s="271" t="s">
        <v>27</v>
      </c>
      <c r="B16" s="271"/>
      <c r="C16" s="88">
        <v>0.56000000000000005</v>
      </c>
      <c r="D16" s="88"/>
      <c r="E16" s="88">
        <v>0.24</v>
      </c>
      <c r="F16" s="88">
        <v>0.24</v>
      </c>
      <c r="G16" s="88">
        <v>0.42</v>
      </c>
      <c r="H16" s="88"/>
      <c r="I16" s="88">
        <v>0.35</v>
      </c>
      <c r="J16" s="88">
        <v>0.43</v>
      </c>
      <c r="K16" s="88">
        <v>0.85</v>
      </c>
      <c r="L16" s="88">
        <v>0.4</v>
      </c>
      <c r="M16" s="88">
        <v>0.3</v>
      </c>
      <c r="N16" s="88">
        <v>0.22</v>
      </c>
      <c r="O16" s="88"/>
    </row>
    <row r="17" spans="1:15">
      <c r="A17" s="85">
        <v>2010</v>
      </c>
      <c r="B17" s="88">
        <v>259.601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</row>
    <row r="18" spans="1:15">
      <c r="A18" s="85">
        <v>2015</v>
      </c>
      <c r="B18" s="88">
        <v>249.655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</row>
    <row r="19" spans="1:15">
      <c r="A19" s="85">
        <v>2020</v>
      </c>
      <c r="B19" s="88">
        <v>239.459</v>
      </c>
      <c r="C19" s="88">
        <v>193.77119999999999</v>
      </c>
      <c r="D19" s="88">
        <v>7.6387199999999993</v>
      </c>
      <c r="E19" s="88">
        <v>4.2047999999999996</v>
      </c>
      <c r="F19" s="88">
        <v>1.6819199999999999</v>
      </c>
      <c r="G19" s="88">
        <v>1.752</v>
      </c>
      <c r="H19" s="88">
        <v>8.0819760000000009</v>
      </c>
      <c r="I19" s="88">
        <v>8.0819760000000009</v>
      </c>
      <c r="J19" s="88">
        <v>0</v>
      </c>
      <c r="K19" s="88">
        <v>13.84956</v>
      </c>
      <c r="L19" s="88">
        <v>12.614400000000002</v>
      </c>
      <c r="M19" s="88">
        <v>1.0511999999999999</v>
      </c>
      <c r="N19" s="88">
        <v>11.5632</v>
      </c>
      <c r="O19" s="88">
        <v>248.57025599999997</v>
      </c>
    </row>
    <row r="20" spans="1:15">
      <c r="A20" s="85">
        <v>2025</v>
      </c>
      <c r="B20" s="88">
        <v>286.7228141659885</v>
      </c>
      <c r="C20" s="88">
        <v>200.73715200000001</v>
      </c>
      <c r="D20" s="88">
        <v>14.78688</v>
      </c>
      <c r="E20" s="88">
        <v>8.4095999999999993</v>
      </c>
      <c r="F20" s="88">
        <v>4.6252800000000001</v>
      </c>
      <c r="G20" s="88">
        <v>1.752</v>
      </c>
      <c r="H20" s="88">
        <v>23.411975999999999</v>
      </c>
      <c r="I20" s="88">
        <v>23.411975999999999</v>
      </c>
      <c r="J20" s="88">
        <v>0</v>
      </c>
      <c r="K20" s="88">
        <v>13.84956</v>
      </c>
      <c r="L20" s="88">
        <v>16.118400000000001</v>
      </c>
      <c r="M20" s="88">
        <v>1.5767999999999998</v>
      </c>
      <c r="N20" s="88">
        <v>13.490399999999999</v>
      </c>
      <c r="O20" s="88">
        <v>283.97116800000003</v>
      </c>
    </row>
    <row r="21" spans="1:15">
      <c r="A21" s="85">
        <v>2030</v>
      </c>
      <c r="B21" s="88">
        <v>324.76714213572609</v>
      </c>
      <c r="C21" s="88">
        <v>165.21710400000001</v>
      </c>
      <c r="D21" s="88">
        <v>32.166719999999998</v>
      </c>
      <c r="E21" s="88">
        <v>22.075199999999999</v>
      </c>
      <c r="F21" s="88">
        <v>7.9891199999999989</v>
      </c>
      <c r="G21" s="88">
        <v>2.1023999999999998</v>
      </c>
      <c r="H21" s="88">
        <v>62.721600000000002</v>
      </c>
      <c r="I21" s="88">
        <v>55.188000000000002</v>
      </c>
      <c r="J21" s="88">
        <v>7.5335999999999999</v>
      </c>
      <c r="K21" s="88">
        <v>13.84956</v>
      </c>
      <c r="L21" s="88">
        <v>21.374399999999998</v>
      </c>
      <c r="M21" s="88">
        <v>1.5767999999999998</v>
      </c>
      <c r="N21" s="88">
        <v>27.454000000000001</v>
      </c>
      <c r="O21" s="88">
        <v>324.360184</v>
      </c>
    </row>
    <row r="22" spans="1:15">
      <c r="A22" s="85">
        <v>2035</v>
      </c>
      <c r="B22" s="88">
        <v>358.97177971073597</v>
      </c>
      <c r="C22" s="88">
        <v>101.128944</v>
      </c>
      <c r="D22" s="88">
        <v>57.395520000000005</v>
      </c>
      <c r="E22" s="88">
        <v>40.9968</v>
      </c>
      <c r="F22" s="88">
        <v>14.29632</v>
      </c>
      <c r="G22" s="88">
        <v>2.1023999999999998</v>
      </c>
      <c r="H22" s="88">
        <v>110.81400000000001</v>
      </c>
      <c r="I22" s="88">
        <v>91.98</v>
      </c>
      <c r="J22" s="88">
        <v>18.834</v>
      </c>
      <c r="K22" s="88">
        <v>32.464559999999999</v>
      </c>
      <c r="L22" s="88">
        <v>21.374399999999998</v>
      </c>
      <c r="M22" s="88">
        <v>2.1023999999999998</v>
      </c>
      <c r="N22" s="88">
        <v>31.4176</v>
      </c>
      <c r="O22" s="88">
        <v>356.69742400000001</v>
      </c>
    </row>
    <row r="23" spans="1:15">
      <c r="A23" s="85">
        <v>2040</v>
      </c>
      <c r="B23" s="88">
        <v>384.62602587835875</v>
      </c>
      <c r="C23" s="88">
        <v>60.969600000000007</v>
      </c>
      <c r="D23" s="88">
        <v>89.772480000000002</v>
      </c>
      <c r="E23" s="88">
        <v>66.2256</v>
      </c>
      <c r="F23" s="88">
        <v>21.444479999999995</v>
      </c>
      <c r="G23" s="88">
        <v>2.1023999999999998</v>
      </c>
      <c r="H23" s="88">
        <v>161.70959999999999</v>
      </c>
      <c r="I23" s="88">
        <v>116.508</v>
      </c>
      <c r="J23" s="88">
        <v>45.201599999999999</v>
      </c>
      <c r="K23" s="88">
        <v>61.503959999999992</v>
      </c>
      <c r="L23" s="88">
        <v>21.374399999999998</v>
      </c>
      <c r="M23" s="88">
        <v>2.1023999999999998</v>
      </c>
      <c r="N23" s="88">
        <v>15.4176</v>
      </c>
      <c r="O23" s="88">
        <v>412.85003999999998</v>
      </c>
    </row>
    <row r="24" spans="1:15">
      <c r="A24" s="85">
        <v>2045</v>
      </c>
      <c r="B24" s="88">
        <v>399.38663714270643</v>
      </c>
      <c r="C24" s="88">
        <v>36.129744000000002</v>
      </c>
      <c r="D24" s="88">
        <v>111.14687999999998</v>
      </c>
      <c r="E24" s="88">
        <v>80.942399999999992</v>
      </c>
      <c r="F24" s="88">
        <v>29.854079999999996</v>
      </c>
      <c r="G24" s="88">
        <v>0.35040000000000004</v>
      </c>
      <c r="H24" s="88">
        <v>207.17399999999998</v>
      </c>
      <c r="I24" s="88">
        <v>131.83799999999999</v>
      </c>
      <c r="J24" s="88">
        <v>75.335999999999999</v>
      </c>
      <c r="K24" s="88">
        <v>61.503959999999992</v>
      </c>
      <c r="L24" s="88">
        <v>21.374399999999998</v>
      </c>
      <c r="M24" s="88">
        <v>2.6279999999999997</v>
      </c>
      <c r="N24" s="88">
        <v>15.4176</v>
      </c>
      <c r="O24" s="88">
        <v>455.37458399999991</v>
      </c>
    </row>
    <row r="25" spans="1:15">
      <c r="A25" s="85">
        <v>2050</v>
      </c>
      <c r="B25" s="88">
        <v>411.59772241242024</v>
      </c>
      <c r="C25" s="88">
        <v>0</v>
      </c>
      <c r="D25" s="88">
        <v>121.09823999999999</v>
      </c>
      <c r="E25" s="88">
        <v>84.095999999999989</v>
      </c>
      <c r="F25" s="88">
        <v>37.00224</v>
      </c>
      <c r="G25" s="88">
        <v>0</v>
      </c>
      <c r="H25" s="88">
        <v>220.31399999999999</v>
      </c>
      <c r="I25" s="88">
        <v>107.30999999999999</v>
      </c>
      <c r="J25" s="88">
        <v>113.004</v>
      </c>
      <c r="K25" s="88">
        <v>76.69380000000001</v>
      </c>
      <c r="L25" s="88">
        <v>21.374399999999998</v>
      </c>
      <c r="M25" s="88">
        <v>2.6279999999999997</v>
      </c>
      <c r="N25" s="88">
        <v>15.4176</v>
      </c>
      <c r="O25" s="88">
        <v>457.52603999999997</v>
      </c>
    </row>
  </sheetData>
  <mergeCells count="1">
    <mergeCell ref="A16:B16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K30"/>
  <sheetViews>
    <sheetView zoomScale="40" zoomScaleNormal="40" workbookViewId="0"/>
  </sheetViews>
  <sheetFormatPr baseColWidth="10" defaultRowHeight="14.5"/>
  <cols>
    <col min="1" max="1" width="10.6640625" style="52"/>
    <col min="2" max="2" width="9.25" style="52" customWidth="1"/>
    <col min="3" max="3" width="8.08203125" style="52" customWidth="1"/>
    <col min="4" max="4" width="9.33203125" style="52" customWidth="1"/>
    <col min="5" max="5" width="9.58203125" style="52" customWidth="1"/>
    <col min="6" max="6" width="9.9140625" style="52" customWidth="1"/>
    <col min="7" max="7" width="9.33203125" style="52" customWidth="1"/>
    <col min="8" max="8" width="8.08203125" style="52" customWidth="1"/>
    <col min="9" max="9" width="9.9140625" style="52" customWidth="1"/>
    <col min="10" max="10" width="11.83203125" style="52" customWidth="1"/>
    <col min="11" max="11" width="7.25" style="52" customWidth="1"/>
    <col min="12" max="16384" width="10.6640625" style="52"/>
  </cols>
  <sheetData>
    <row r="3" spans="2:10" ht="29">
      <c r="B3" s="50"/>
      <c r="C3" s="50" t="s">
        <v>12</v>
      </c>
      <c r="D3" s="50" t="s">
        <v>47</v>
      </c>
      <c r="E3" s="50" t="s">
        <v>48</v>
      </c>
      <c r="F3" s="50" t="s">
        <v>30</v>
      </c>
      <c r="G3" s="50" t="s">
        <v>49</v>
      </c>
      <c r="H3" s="50" t="s">
        <v>35</v>
      </c>
      <c r="I3" s="51" t="s">
        <v>36</v>
      </c>
    </row>
    <row r="4" spans="2:10">
      <c r="B4" s="53">
        <v>1990</v>
      </c>
      <c r="C4" s="54">
        <v>190.1383333</v>
      </c>
      <c r="D4" s="54">
        <v>175.3377778</v>
      </c>
      <c r="E4" s="54">
        <v>89.72666667</v>
      </c>
      <c r="F4" s="54">
        <v>138.48611109999999</v>
      </c>
      <c r="G4" s="54">
        <v>0</v>
      </c>
      <c r="H4" s="54">
        <v>0</v>
      </c>
      <c r="I4" s="54">
        <f t="shared" ref="I4:I9" si="0">SUM(C4:H4)</f>
        <v>593.68888887000003</v>
      </c>
    </row>
    <row r="5" spans="2:10">
      <c r="B5" s="53">
        <v>1995</v>
      </c>
      <c r="C5" s="54">
        <v>182.7</v>
      </c>
      <c r="D5" s="54">
        <v>186.07138889999999</v>
      </c>
      <c r="E5" s="54">
        <v>98.333611110000007</v>
      </c>
      <c r="F5" s="54">
        <v>140.97305560000001</v>
      </c>
      <c r="G5" s="54">
        <v>0</v>
      </c>
      <c r="H5" s="54">
        <v>0</v>
      </c>
      <c r="I5" s="54">
        <f t="shared" si="0"/>
        <v>608.07805560999998</v>
      </c>
    </row>
    <row r="6" spans="2:10">
      <c r="B6" s="53">
        <v>2000</v>
      </c>
      <c r="C6" s="54">
        <v>185.21972220000001</v>
      </c>
      <c r="D6" s="54">
        <v>185.5325</v>
      </c>
      <c r="E6" s="54">
        <v>91.561388890000003</v>
      </c>
      <c r="F6" s="54">
        <v>174.1369444</v>
      </c>
      <c r="G6" s="54">
        <v>0</v>
      </c>
      <c r="H6" s="54">
        <v>0</v>
      </c>
      <c r="I6" s="54">
        <f t="shared" si="0"/>
        <v>636.45055548999994</v>
      </c>
    </row>
    <row r="7" spans="2:10">
      <c r="B7" s="53">
        <v>2005</v>
      </c>
      <c r="C7" s="54">
        <v>218.97</v>
      </c>
      <c r="D7" s="54">
        <v>219.59166669999999</v>
      </c>
      <c r="E7" s="54">
        <v>72.941388889999999</v>
      </c>
      <c r="F7" s="54">
        <v>193.19388889999999</v>
      </c>
      <c r="G7" s="54">
        <v>0.206666667</v>
      </c>
      <c r="H7" s="54">
        <v>0</v>
      </c>
      <c r="I7" s="54">
        <f t="shared" si="0"/>
        <v>704.903611157</v>
      </c>
    </row>
    <row r="8" spans="2:10">
      <c r="B8" s="53">
        <v>2010</v>
      </c>
      <c r="C8" s="54">
        <v>179.28055560000001</v>
      </c>
      <c r="D8" s="54">
        <v>258.5036111</v>
      </c>
      <c r="E8" s="54">
        <v>77.016666670000006</v>
      </c>
      <c r="F8" s="54">
        <v>202.68305559999999</v>
      </c>
      <c r="G8" s="54">
        <v>0.76888888899999996</v>
      </c>
      <c r="H8" s="54">
        <v>9.5536111110000004</v>
      </c>
      <c r="I8" s="54">
        <f t="shared" si="0"/>
        <v>727.80638896999994</v>
      </c>
    </row>
    <row r="9" spans="2:10">
      <c r="B9" s="53">
        <v>2015</v>
      </c>
      <c r="C9" s="54">
        <v>189.6311111</v>
      </c>
      <c r="D9" s="54">
        <v>298.54694439999997</v>
      </c>
      <c r="E9" s="54">
        <v>68.627222219999993</v>
      </c>
      <c r="F9" s="54">
        <v>191.3280556</v>
      </c>
      <c r="G9" s="54">
        <v>1.271111111</v>
      </c>
      <c r="H9" s="54">
        <v>20.268055560000001</v>
      </c>
      <c r="I9" s="54">
        <f t="shared" si="0"/>
        <v>769.67249999099988</v>
      </c>
    </row>
    <row r="10" spans="2:10">
      <c r="B10" s="53">
        <v>2019</v>
      </c>
      <c r="C10" s="54">
        <v>208.51361109999999</v>
      </c>
      <c r="D10" s="54">
        <v>316.24777779999999</v>
      </c>
      <c r="E10" s="54">
        <v>67.981388890000005</v>
      </c>
      <c r="F10" s="54">
        <v>187.1369444</v>
      </c>
      <c r="G10" s="54">
        <v>1.4580555559999999</v>
      </c>
      <c r="H10" s="54">
        <v>22.17166667</v>
      </c>
      <c r="I10" s="54">
        <f>SUM(C10:H10)</f>
        <v>803.50944441599995</v>
      </c>
    </row>
    <row r="12" spans="2:10" ht="15.5">
      <c r="C12" s="55">
        <f>C10/$I$10</f>
        <v>0.25950362195375326</v>
      </c>
      <c r="D12" s="55">
        <f t="shared" ref="D12:G12" si="1">D10/$I$10</f>
        <v>0.39358314951711931</v>
      </c>
      <c r="E12" s="55">
        <f t="shared" si="1"/>
        <v>8.4605587852685002E-2</v>
      </c>
      <c r="F12" s="55">
        <f t="shared" si="1"/>
        <v>0.23289949570662896</v>
      </c>
      <c r="G12" s="55">
        <f t="shared" si="1"/>
        <v>1.8146091077494823E-3</v>
      </c>
      <c r="H12" s="55">
        <f>H10/$I$10</f>
        <v>2.7593535862063982E-2</v>
      </c>
    </row>
    <row r="16" spans="2:10" ht="42.5" customHeight="1">
      <c r="B16" s="51"/>
      <c r="C16" s="50" t="s">
        <v>40</v>
      </c>
      <c r="D16" s="50" t="s">
        <v>39</v>
      </c>
      <c r="E16" s="50" t="s">
        <v>38</v>
      </c>
      <c r="F16" s="50" t="s">
        <v>37</v>
      </c>
      <c r="G16" s="50" t="s">
        <v>50</v>
      </c>
      <c r="H16" s="50" t="s">
        <v>51</v>
      </c>
      <c r="I16" s="50" t="s">
        <v>52</v>
      </c>
      <c r="J16" s="50" t="s">
        <v>53</v>
      </c>
    </row>
    <row r="17" spans="2:11">
      <c r="B17" s="51">
        <v>1990</v>
      </c>
      <c r="C17" s="56">
        <v>252.5447222</v>
      </c>
      <c r="D17" s="56">
        <v>119.75944440000001</v>
      </c>
      <c r="E17" s="56">
        <v>120.6602778</v>
      </c>
      <c r="F17" s="56">
        <v>27.659444440000001</v>
      </c>
      <c r="G17" s="56">
        <v>14.890555559999999</v>
      </c>
      <c r="H17" s="56">
        <v>9.0919444439999992</v>
      </c>
      <c r="I17" s="56">
        <v>49.082222219999998</v>
      </c>
      <c r="J17" s="56">
        <v>0</v>
      </c>
    </row>
    <row r="18" spans="2:11">
      <c r="B18" s="51">
        <v>1995</v>
      </c>
      <c r="C18" s="56">
        <v>206.90694439999999</v>
      </c>
      <c r="D18" s="56">
        <v>142.6011111</v>
      </c>
      <c r="E18" s="56">
        <v>131.53694440000001</v>
      </c>
      <c r="F18" s="56">
        <v>28.911388890000001</v>
      </c>
      <c r="G18" s="56">
        <v>22.89611111</v>
      </c>
      <c r="H18" s="56">
        <v>12.15777778</v>
      </c>
      <c r="I18" s="56">
        <v>63.067500000000003</v>
      </c>
      <c r="J18" s="56">
        <v>0</v>
      </c>
    </row>
    <row r="19" spans="2:11">
      <c r="B19" s="51">
        <v>2000</v>
      </c>
      <c r="C19" s="56">
        <v>238.3836111</v>
      </c>
      <c r="D19" s="56">
        <v>143.31583330000001</v>
      </c>
      <c r="E19" s="56">
        <v>123.7066667</v>
      </c>
      <c r="F19" s="56">
        <v>25.659166670000001</v>
      </c>
      <c r="G19" s="56">
        <v>16.379722220000001</v>
      </c>
      <c r="H19" s="56">
        <v>22.045833330000001</v>
      </c>
      <c r="I19" s="56">
        <v>65.766388890000002</v>
      </c>
      <c r="J19" s="56">
        <v>1.193333333</v>
      </c>
    </row>
    <row r="20" spans="2:11">
      <c r="B20" s="51">
        <v>2005</v>
      </c>
      <c r="C20" s="56">
        <v>296.39583329999999</v>
      </c>
      <c r="D20" s="56">
        <v>174.07249999999999</v>
      </c>
      <c r="E20" s="56">
        <v>133.96805560000001</v>
      </c>
      <c r="F20" s="56">
        <v>46.375833329999999</v>
      </c>
      <c r="G20" s="56">
        <v>17.274999999999999</v>
      </c>
      <c r="H20" s="56">
        <v>8.4747222220000005</v>
      </c>
      <c r="I20" s="56">
        <v>26.782222220000001</v>
      </c>
      <c r="J20" s="56">
        <v>1.56</v>
      </c>
    </row>
    <row r="21" spans="2:11">
      <c r="B21" s="51">
        <v>2010</v>
      </c>
      <c r="C21" s="56">
        <v>299.16138890000002</v>
      </c>
      <c r="D21" s="56">
        <v>184.53277779999999</v>
      </c>
      <c r="E21" s="56">
        <v>121.0661111</v>
      </c>
      <c r="F21" s="56">
        <v>43.09861111</v>
      </c>
      <c r="G21" s="56">
        <v>17.46</v>
      </c>
      <c r="H21" s="56">
        <v>11.34305556</v>
      </c>
      <c r="I21" s="56">
        <v>50.470555560000001</v>
      </c>
      <c r="J21" s="56">
        <v>0.67333333299999998</v>
      </c>
    </row>
    <row r="22" spans="2:11">
      <c r="B22" s="51">
        <v>2015</v>
      </c>
      <c r="C22" s="56">
        <v>293.63416669999998</v>
      </c>
      <c r="D22" s="56">
        <v>212.44333330000001</v>
      </c>
      <c r="E22" s="56">
        <v>128.02333329999999</v>
      </c>
      <c r="F22" s="56">
        <v>51.335555560000003</v>
      </c>
      <c r="G22" s="56">
        <v>24.62916667</v>
      </c>
      <c r="H22" s="56">
        <v>13.08888889</v>
      </c>
      <c r="I22" s="56">
        <v>45.756111109999999</v>
      </c>
      <c r="J22" s="56">
        <v>0.76194444400000005</v>
      </c>
    </row>
    <row r="23" spans="2:11">
      <c r="B23" s="51">
        <v>2019</v>
      </c>
      <c r="C23" s="56">
        <v>278.19388889999999</v>
      </c>
      <c r="D23" s="56">
        <v>223.36861110000001</v>
      </c>
      <c r="E23" s="56">
        <v>145.78388889999999</v>
      </c>
      <c r="F23" s="56">
        <v>61.831666669999997</v>
      </c>
      <c r="G23" s="56">
        <v>27.7575</v>
      </c>
      <c r="H23" s="56">
        <v>14.53444444</v>
      </c>
      <c r="I23" s="56">
        <v>51.21388889</v>
      </c>
      <c r="J23" s="56">
        <v>0.82611111100000001</v>
      </c>
      <c r="K23" s="52">
        <f>SUM(C23:J23)</f>
        <v>803.5100000110001</v>
      </c>
    </row>
    <row r="24" spans="2:11">
      <c r="B24" s="51"/>
    </row>
    <row r="25" spans="2:11" ht="15.5">
      <c r="C25" s="55">
        <f>C23/$K$23</f>
        <v>0.34622330636356924</v>
      </c>
      <c r="D25" s="55">
        <f t="shared" ref="D25:J25" si="2">D23/$K$23</f>
        <v>0.27799107801638073</v>
      </c>
      <c r="E25" s="55">
        <f t="shared" si="2"/>
        <v>0.18143382023621885</v>
      </c>
      <c r="F25" s="55">
        <f t="shared" si="2"/>
        <v>7.6951956626742063E-2</v>
      </c>
      <c r="G25" s="55">
        <f t="shared" si="2"/>
        <v>3.4545307463030951E-2</v>
      </c>
      <c r="H25" s="55">
        <f t="shared" si="2"/>
        <v>1.8088691416162862E-2</v>
      </c>
      <c r="I25" s="55">
        <f t="shared" si="2"/>
        <v>6.3737711900659452E-2</v>
      </c>
      <c r="J25" s="55">
        <f t="shared" si="2"/>
        <v>1.0281279772357413E-3</v>
      </c>
    </row>
    <row r="27" spans="2:11">
      <c r="C27" s="56"/>
      <c r="D27" s="57">
        <f>C25+G25+J25+H25</f>
        <v>0.39988543321999881</v>
      </c>
      <c r="I27" s="58" t="s">
        <v>54</v>
      </c>
      <c r="J27" s="59">
        <v>58558267</v>
      </c>
    </row>
    <row r="28" spans="2:11">
      <c r="I28" s="58" t="s">
        <v>55</v>
      </c>
      <c r="J28" s="59">
        <f>K23/J27</f>
        <v>1.3721546780252224E-5</v>
      </c>
      <c r="K28" s="52" t="s">
        <v>56</v>
      </c>
    </row>
    <row r="29" spans="2:11">
      <c r="I29" s="58" t="s">
        <v>55</v>
      </c>
      <c r="J29" s="59">
        <f>J28*1000000</f>
        <v>13.721546780252224</v>
      </c>
      <c r="K29" s="52" t="s">
        <v>57</v>
      </c>
    </row>
    <row r="30" spans="2:11">
      <c r="I30" s="5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9"/>
  <sheetViews>
    <sheetView zoomScale="70" zoomScaleNormal="70" workbookViewId="0"/>
  </sheetViews>
  <sheetFormatPr baseColWidth="10" defaultRowHeight="15.5"/>
  <sheetData>
    <row r="2" spans="1:10">
      <c r="A2" s="19"/>
      <c r="B2" s="19" t="s">
        <v>58</v>
      </c>
      <c r="C2" s="19" t="s">
        <v>59</v>
      </c>
      <c r="D2" s="19" t="s">
        <v>60</v>
      </c>
      <c r="E2" s="19" t="s">
        <v>61</v>
      </c>
      <c r="F2" s="19" t="s">
        <v>38</v>
      </c>
      <c r="G2" s="19" t="s">
        <v>39</v>
      </c>
      <c r="H2" s="19" t="s">
        <v>62</v>
      </c>
    </row>
    <row r="3" spans="1:10">
      <c r="A3" s="19"/>
      <c r="B3" s="60">
        <v>0.37</v>
      </c>
      <c r="C3" s="60">
        <v>7.0000000000000007E-2</v>
      </c>
      <c r="D3" s="60">
        <v>0.03</v>
      </c>
      <c r="E3" s="60">
        <v>7.0000000000000007E-2</v>
      </c>
      <c r="F3" s="60">
        <v>0.14000000000000001</v>
      </c>
      <c r="G3" s="60">
        <v>0.32</v>
      </c>
      <c r="H3" s="60">
        <f>SUM(B3:G3)</f>
        <v>1</v>
      </c>
    </row>
    <row r="4" spans="1:10">
      <c r="A4" s="19">
        <v>2030</v>
      </c>
      <c r="B4" s="60">
        <v>0.43</v>
      </c>
      <c r="C4" s="60">
        <v>7.0000000000000007E-2</v>
      </c>
      <c r="D4" s="60">
        <v>0.03</v>
      </c>
      <c r="E4" s="60">
        <v>0.09</v>
      </c>
      <c r="F4" s="60">
        <v>0.08</v>
      </c>
      <c r="G4" s="60">
        <v>0.3</v>
      </c>
      <c r="H4" s="60">
        <f t="shared" ref="H4:H5" si="0">SUM(B4:G4)</f>
        <v>1</v>
      </c>
    </row>
    <row r="5" spans="1:10">
      <c r="A5" s="19">
        <v>2050</v>
      </c>
      <c r="B5" s="60">
        <v>0.51</v>
      </c>
      <c r="C5" s="60">
        <v>7.0000000000000007E-2</v>
      </c>
      <c r="D5" s="60">
        <v>0.02</v>
      </c>
      <c r="E5" s="60">
        <v>0.1</v>
      </c>
      <c r="F5" s="60">
        <v>0.06</v>
      </c>
      <c r="G5" s="60">
        <v>0.24</v>
      </c>
      <c r="H5" s="60">
        <f t="shared" si="0"/>
        <v>1</v>
      </c>
    </row>
    <row r="7" spans="1:10">
      <c r="A7" s="61"/>
      <c r="B7" s="23" t="s">
        <v>40</v>
      </c>
      <c r="C7" s="23" t="s">
        <v>61</v>
      </c>
      <c r="D7" s="23" t="s">
        <v>38</v>
      </c>
      <c r="E7" s="23" t="s">
        <v>39</v>
      </c>
      <c r="F7" s="24" t="s">
        <v>62</v>
      </c>
    </row>
    <row r="8" spans="1:10">
      <c r="A8" s="62">
        <v>2020</v>
      </c>
      <c r="B8" s="63">
        <f>B3+C3+D3</f>
        <v>0.47</v>
      </c>
      <c r="C8" s="63">
        <v>7.0000000000000007E-2</v>
      </c>
      <c r="D8" s="63">
        <v>0.14000000000000001</v>
      </c>
      <c r="E8" s="63">
        <v>0.32</v>
      </c>
      <c r="F8" s="64">
        <f>SUM(B8:E8)</f>
        <v>1</v>
      </c>
    </row>
    <row r="9" spans="1:10">
      <c r="A9" s="62">
        <v>2030</v>
      </c>
      <c r="B9" s="63">
        <f>B4+C4+D4</f>
        <v>0.53</v>
      </c>
      <c r="C9" s="63">
        <v>0.09</v>
      </c>
      <c r="D9" s="63">
        <v>0.08</v>
      </c>
      <c r="E9" s="63">
        <v>0.3</v>
      </c>
      <c r="F9" s="64">
        <v>1</v>
      </c>
    </row>
    <row r="10" spans="1:10">
      <c r="A10" s="65">
        <v>2050</v>
      </c>
      <c r="B10" s="66">
        <f t="shared" ref="B10" si="1">B5+C5+D5</f>
        <v>0.60000000000000009</v>
      </c>
      <c r="C10" s="66">
        <v>0.1</v>
      </c>
      <c r="D10" s="66">
        <v>0.06</v>
      </c>
      <c r="E10" s="66">
        <v>0.24</v>
      </c>
      <c r="F10" s="67">
        <v>1</v>
      </c>
    </row>
    <row r="11" spans="1:10">
      <c r="A11" s="68"/>
      <c r="B11" s="68"/>
      <c r="C11" s="68"/>
      <c r="D11" s="68"/>
      <c r="E11" s="68"/>
      <c r="F11" s="68"/>
    </row>
    <row r="12" spans="1:10">
      <c r="A12" s="22"/>
      <c r="B12" s="23" t="s">
        <v>40</v>
      </c>
      <c r="C12" s="23" t="s">
        <v>61</v>
      </c>
      <c r="D12" s="23" t="s">
        <v>38</v>
      </c>
      <c r="E12" s="23" t="s">
        <v>39</v>
      </c>
      <c r="F12" s="24" t="s">
        <v>62</v>
      </c>
    </row>
    <row r="13" spans="1:10">
      <c r="A13" s="62">
        <v>2020</v>
      </c>
      <c r="B13" s="69">
        <f>'[1]Demand Total'!Q12</f>
        <v>321.2894948227331</v>
      </c>
      <c r="C13" s="69">
        <f>'[1]Demand Total'!U12</f>
        <v>104.94203226035638</v>
      </c>
      <c r="D13" s="69">
        <f>'[1]Demand Total'!T12</f>
        <v>65.583208535694283</v>
      </c>
      <c r="E13" s="69">
        <f>'[1]Demand Total'!S12</f>
        <v>297.74272214094543</v>
      </c>
      <c r="F13" s="70">
        <f>SUM(B13:E13)</f>
        <v>789.55745775972923</v>
      </c>
      <c r="H13" t="s">
        <v>63</v>
      </c>
      <c r="I13" s="29">
        <f>'[1]Demand Total'!W12</f>
        <v>789.55745775972935</v>
      </c>
    </row>
    <row r="14" spans="1:10">
      <c r="A14" s="62">
        <v>2030</v>
      </c>
      <c r="B14" s="69">
        <f>B9*$I$14</f>
        <v>601.28500000000008</v>
      </c>
      <c r="C14" s="69">
        <f>C9*$I$14</f>
        <v>102.10499999999999</v>
      </c>
      <c r="D14" s="69">
        <f>D9*$I$14</f>
        <v>90.76</v>
      </c>
      <c r="E14" s="69">
        <f>E9*$I$14</f>
        <v>340.34999999999997</v>
      </c>
      <c r="F14" s="70">
        <f>F9*$I$14</f>
        <v>1134.5</v>
      </c>
      <c r="H14" t="s">
        <v>64</v>
      </c>
      <c r="I14">
        <v>1134.5</v>
      </c>
      <c r="J14" s="29"/>
    </row>
    <row r="15" spans="1:10">
      <c r="A15" s="65">
        <v>2050</v>
      </c>
      <c r="B15" s="71">
        <f>B10*$I$15</f>
        <v>1358.46</v>
      </c>
      <c r="C15" s="71">
        <f>C10*$I$15</f>
        <v>226.41</v>
      </c>
      <c r="D15" s="71">
        <f>D10*$I$15</f>
        <v>135.846</v>
      </c>
      <c r="E15" s="71">
        <f>E10*$I$15</f>
        <v>543.38400000000001</v>
      </c>
      <c r="F15" s="72">
        <f>F10*$I$15</f>
        <v>2264.1</v>
      </c>
      <c r="H15" t="s">
        <v>65</v>
      </c>
      <c r="I15">
        <v>2264.1</v>
      </c>
      <c r="J15" s="73"/>
    </row>
    <row r="16" spans="1:10">
      <c r="B16" s="74"/>
    </row>
    <row r="17" spans="1:9">
      <c r="B17" s="29">
        <f>B15/$F$15</f>
        <v>0.60000000000000009</v>
      </c>
      <c r="C17" s="29">
        <f t="shared" ref="C17:F17" si="2">C15/$F$15</f>
        <v>0.1</v>
      </c>
      <c r="D17" s="29">
        <f t="shared" si="2"/>
        <v>6.0000000000000005E-2</v>
      </c>
      <c r="E17" s="75">
        <f t="shared" si="2"/>
        <v>0.24000000000000002</v>
      </c>
      <c r="F17" s="29">
        <f t="shared" si="2"/>
        <v>1</v>
      </c>
      <c r="H17" t="s">
        <v>66</v>
      </c>
      <c r="I17" s="29">
        <f>'[1]Demand Total'!W22</f>
        <v>761.87835003647058</v>
      </c>
    </row>
    <row r="18" spans="1:9">
      <c r="D18" s="29"/>
      <c r="E18" s="29"/>
      <c r="F18" s="29"/>
      <c r="H18" t="s">
        <v>67</v>
      </c>
      <c r="I18" s="29">
        <f>'[1]Demand Total'!W42</f>
        <v>675.97673034381512</v>
      </c>
    </row>
    <row r="20" spans="1:9">
      <c r="A20" s="22"/>
      <c r="B20" s="23" t="s">
        <v>12</v>
      </c>
      <c r="C20" s="23" t="s">
        <v>33</v>
      </c>
      <c r="D20" s="23" t="s">
        <v>30</v>
      </c>
      <c r="E20" s="23" t="s">
        <v>35</v>
      </c>
      <c r="F20" s="23" t="s">
        <v>68</v>
      </c>
      <c r="G20" s="76" t="s">
        <v>22</v>
      </c>
    </row>
    <row r="21" spans="1:9">
      <c r="A21" s="62">
        <v>2020</v>
      </c>
      <c r="B21" s="69">
        <v>735.3</v>
      </c>
      <c r="C21" s="69">
        <v>588.20000000000005</v>
      </c>
      <c r="D21" s="69">
        <v>902</v>
      </c>
      <c r="E21" s="69">
        <v>147.1</v>
      </c>
      <c r="F21" s="77"/>
      <c r="G21" s="78">
        <v>108</v>
      </c>
      <c r="H21" s="79"/>
    </row>
    <row r="22" spans="1:9">
      <c r="A22" s="62">
        <v>2030</v>
      </c>
      <c r="B22" s="69">
        <v>1303.9000000000001</v>
      </c>
      <c r="C22" s="69">
        <v>902</v>
      </c>
      <c r="D22" s="69">
        <v>1539.2</v>
      </c>
      <c r="E22" s="69">
        <v>230.4</v>
      </c>
      <c r="F22" s="77"/>
      <c r="G22" s="78">
        <v>20</v>
      </c>
    </row>
    <row r="23" spans="1:9">
      <c r="A23" s="65">
        <v>2050</v>
      </c>
      <c r="B23" s="71">
        <v>2431.4</v>
      </c>
      <c r="C23" s="71">
        <v>1451</v>
      </c>
      <c r="D23" s="71">
        <v>2715.7</v>
      </c>
      <c r="E23" s="71">
        <v>460.8</v>
      </c>
      <c r="F23" s="80"/>
      <c r="G23" s="81">
        <v>0</v>
      </c>
    </row>
    <row r="26" spans="1:9">
      <c r="A26" s="22"/>
      <c r="B26" s="23" t="s">
        <v>12</v>
      </c>
      <c r="C26" s="23" t="s">
        <v>33</v>
      </c>
      <c r="D26" s="23" t="s">
        <v>30</v>
      </c>
      <c r="E26" s="23" t="s">
        <v>35</v>
      </c>
      <c r="F26" s="23" t="s">
        <v>68</v>
      </c>
      <c r="G26" s="76" t="s">
        <v>22</v>
      </c>
    </row>
    <row r="27" spans="1:9">
      <c r="A27" s="62">
        <v>2020</v>
      </c>
      <c r="B27" s="69">
        <f>B21*1000/3600</f>
        <v>204.25</v>
      </c>
      <c r="C27" s="69">
        <f t="shared" ref="C27:G27" si="3">C21*1000/3600</f>
        <v>163.38888888888889</v>
      </c>
      <c r="D27" s="69">
        <f t="shared" si="3"/>
        <v>250.55555555555554</v>
      </c>
      <c r="E27" s="69">
        <f>E21*1000/3600</f>
        <v>40.861111111111114</v>
      </c>
      <c r="F27" s="69">
        <f>H27-B27-C27-D27-E27-G27</f>
        <v>164.70444444444442</v>
      </c>
      <c r="G27" s="82">
        <f t="shared" si="3"/>
        <v>30</v>
      </c>
      <c r="H27" s="79">
        <v>853.76</v>
      </c>
    </row>
    <row r="28" spans="1:9">
      <c r="A28" s="62">
        <v>2030</v>
      </c>
      <c r="B28" s="69">
        <f t="shared" ref="B28:G29" si="4">B22*1000/3600</f>
        <v>362.19444444444446</v>
      </c>
      <c r="C28" s="69">
        <f t="shared" si="4"/>
        <v>250.55555555555554</v>
      </c>
      <c r="D28" s="69">
        <f t="shared" si="4"/>
        <v>427.55555555555554</v>
      </c>
      <c r="E28" s="69">
        <f t="shared" si="4"/>
        <v>64</v>
      </c>
      <c r="F28" s="69">
        <v>200</v>
      </c>
      <c r="G28" s="82">
        <f t="shared" si="4"/>
        <v>5.5555555555555554</v>
      </c>
      <c r="H28">
        <f>I14</f>
        <v>1134.5</v>
      </c>
    </row>
    <row r="29" spans="1:9">
      <c r="A29" s="65">
        <v>2050</v>
      </c>
      <c r="B29" s="71">
        <f t="shared" si="4"/>
        <v>675.38888888888891</v>
      </c>
      <c r="C29" s="71">
        <f t="shared" si="4"/>
        <v>403.05555555555554</v>
      </c>
      <c r="D29" s="71">
        <f t="shared" si="4"/>
        <v>754.36111111111109</v>
      </c>
      <c r="E29" s="71">
        <f t="shared" si="4"/>
        <v>128</v>
      </c>
      <c r="F29" s="71">
        <f t="shared" ref="F29" si="5">H29-B29-C29-D29-E29-G29</f>
        <v>303.29444444444448</v>
      </c>
      <c r="G29" s="83">
        <f t="shared" si="4"/>
        <v>0</v>
      </c>
      <c r="H29">
        <f>I15</f>
        <v>2264.1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2"/>
  <sheetViews>
    <sheetView zoomScale="40" zoomScaleNormal="40" workbookViewId="0"/>
  </sheetViews>
  <sheetFormatPr baseColWidth="10" defaultColWidth="11" defaultRowHeight="15.5"/>
  <cols>
    <col min="4" max="4" width="12.5" customWidth="1"/>
    <col min="5" max="5" width="15.4140625" customWidth="1"/>
  </cols>
  <sheetData>
    <row r="1" spans="1:5" ht="47.5" customHeight="1">
      <c r="A1" s="34" t="s">
        <v>0</v>
      </c>
      <c r="B1" s="33" t="s">
        <v>40</v>
      </c>
      <c r="C1" s="32" t="s">
        <v>39</v>
      </c>
      <c r="D1" s="31" t="s">
        <v>38</v>
      </c>
      <c r="E1" s="30" t="s">
        <v>37</v>
      </c>
    </row>
    <row r="2" spans="1:5">
      <c r="A2">
        <v>2020</v>
      </c>
      <c r="B2" s="48">
        <v>321.2894948227331</v>
      </c>
      <c r="C2" s="48">
        <v>297.74272214094543</v>
      </c>
      <c r="D2" s="48">
        <v>65.583208535694283</v>
      </c>
      <c r="E2" s="48">
        <v>104.94203226035638</v>
      </c>
    </row>
    <row r="3" spans="1:5">
      <c r="A3">
        <v>2021</v>
      </c>
      <c r="B3" s="48">
        <v>323.81928539794882</v>
      </c>
      <c r="C3" s="48">
        <v>292.56757652281112</v>
      </c>
      <c r="D3" s="48">
        <v>65.279835791351402</v>
      </c>
      <c r="E3" s="48">
        <v>106.79875249154823</v>
      </c>
    </row>
    <row r="4" spans="1:5">
      <c r="A4">
        <v>2022</v>
      </c>
      <c r="B4" s="48">
        <v>326.21840837119157</v>
      </c>
      <c r="C4" s="48">
        <v>287.27971878721746</v>
      </c>
      <c r="D4" s="48">
        <v>65.013736344044105</v>
      </c>
      <c r="E4" s="48">
        <v>108.70710254683078</v>
      </c>
    </row>
    <row r="5" spans="1:5">
      <c r="A5">
        <v>2023</v>
      </c>
      <c r="B5" s="48">
        <v>328.49467449861697</v>
      </c>
      <c r="C5" s="48">
        <v>282.40363895088672</v>
      </c>
      <c r="D5" s="48">
        <v>64.793731555217448</v>
      </c>
      <c r="E5" s="48">
        <v>110.63600743815358</v>
      </c>
    </row>
    <row r="6" spans="1:5">
      <c r="A6">
        <v>2024</v>
      </c>
      <c r="B6" s="48">
        <v>330.64748621823367</v>
      </c>
      <c r="C6" s="48">
        <v>277.27697418730656</v>
      </c>
      <c r="D6" s="48">
        <v>64.61539202774685</v>
      </c>
      <c r="E6" s="48">
        <v>112.55679333785049</v>
      </c>
    </row>
    <row r="7" spans="1:5">
      <c r="A7">
        <v>2025</v>
      </c>
      <c r="B7" s="48">
        <v>332.98584683213676</v>
      </c>
      <c r="C7" s="48">
        <v>271.92277554407173</v>
      </c>
      <c r="D7" s="48">
        <v>64.455438026115445</v>
      </c>
      <c r="E7" s="48">
        <v>114.62493550723447</v>
      </c>
    </row>
    <row r="8" spans="1:5">
      <c r="A8">
        <v>2026</v>
      </c>
      <c r="B8" s="48">
        <v>334.88588149479313</v>
      </c>
      <c r="C8" s="48">
        <v>266.36637408619208</v>
      </c>
      <c r="D8" s="48">
        <v>64.360550473622766</v>
      </c>
      <c r="E8" s="48">
        <v>116.47565721702442</v>
      </c>
    </row>
    <row r="9" spans="1:5">
      <c r="A9">
        <v>2027</v>
      </c>
      <c r="B9" s="48">
        <v>336.66097049382086</v>
      </c>
      <c r="C9" s="48">
        <v>260.63310095340159</v>
      </c>
      <c r="D9" s="48">
        <v>64.307471513068776</v>
      </c>
      <c r="E9" s="48">
        <v>118.28681103385117</v>
      </c>
    </row>
    <row r="10" spans="1:5">
      <c r="A10">
        <v>2028</v>
      </c>
      <c r="B10" s="48">
        <v>338.31063074415101</v>
      </c>
      <c r="C10" s="48">
        <v>254.74828725553587</v>
      </c>
      <c r="D10" s="48">
        <v>64.286291340088681</v>
      </c>
      <c r="E10" s="48">
        <v>120.04275709408228</v>
      </c>
    </row>
    <row r="11" spans="1:5" ht="15.5" customHeight="1">
      <c r="A11">
        <v>2029</v>
      </c>
      <c r="B11" s="48">
        <v>339.83440438110313</v>
      </c>
      <c r="C11" s="48">
        <v>248.7372641022572</v>
      </c>
      <c r="D11" s="48">
        <v>64.317121706678464</v>
      </c>
      <c r="E11" s="48">
        <v>121.75934015548356</v>
      </c>
    </row>
    <row r="12" spans="1:5">
      <c r="A12">
        <v>2030</v>
      </c>
      <c r="B12" s="48">
        <v>333.17502543040155</v>
      </c>
      <c r="C12" s="48">
        <v>242.6253625884944</v>
      </c>
      <c r="D12" s="48">
        <v>63.099171590712004</v>
      </c>
      <c r="E12" s="48">
        <v>122.97879042686263</v>
      </c>
    </row>
    <row r="13" spans="1:5">
      <c r="A13">
        <v>2031</v>
      </c>
      <c r="B13" s="48">
        <v>334.54822405316321</v>
      </c>
      <c r="C13" s="48">
        <v>236.43791386888842</v>
      </c>
      <c r="D13" s="48">
        <v>63.223627387442448</v>
      </c>
      <c r="E13" s="48">
        <v>124.60688326571868</v>
      </c>
    </row>
    <row r="14" spans="1:5">
      <c r="A14">
        <v>2032</v>
      </c>
      <c r="B14" s="48">
        <v>335.79172393034708</v>
      </c>
      <c r="C14" s="48">
        <v>230.2002490233865</v>
      </c>
      <c r="D14" s="48">
        <v>63.381524653933234</v>
      </c>
      <c r="E14" s="48">
        <v>126.16595714972243</v>
      </c>
    </row>
    <row r="15" spans="1:5">
      <c r="A15">
        <v>2033</v>
      </c>
      <c r="B15" s="48">
        <v>336.90524880904252</v>
      </c>
      <c r="C15" s="48">
        <v>223.93769913201629</v>
      </c>
      <c r="D15" s="48">
        <v>63.59299758443909</v>
      </c>
      <c r="E15" s="48">
        <v>127.67487456906301</v>
      </c>
    </row>
    <row r="16" spans="1:5">
      <c r="A16">
        <v>2034</v>
      </c>
      <c r="B16" s="48">
        <v>337.88853597507892</v>
      </c>
      <c r="C16" s="48">
        <v>217.67559539396939</v>
      </c>
      <c r="D16" s="48">
        <v>63.848189726070018</v>
      </c>
      <c r="E16" s="48">
        <v>129.12272450127492</v>
      </c>
    </row>
    <row r="17" spans="1:5">
      <c r="A17">
        <v>2035</v>
      </c>
      <c r="B17" s="48">
        <v>329.96169538441109</v>
      </c>
      <c r="C17" s="48">
        <v>211.43926882967585</v>
      </c>
      <c r="D17" s="48">
        <v>62.736419511255697</v>
      </c>
      <c r="E17" s="48">
        <v>130.01913904104612</v>
      </c>
    </row>
    <row r="18" spans="1:5">
      <c r="A18">
        <v>2036</v>
      </c>
      <c r="B18" s="48">
        <v>330.78876435142905</v>
      </c>
      <c r="C18" s="48">
        <v>205.25405059364698</v>
      </c>
      <c r="D18" s="48">
        <v>63.094915917972564</v>
      </c>
      <c r="E18" s="48">
        <v>131.35631250516892</v>
      </c>
    </row>
    <row r="19" spans="1:5">
      <c r="A19">
        <v>2037</v>
      </c>
      <c r="B19" s="48">
        <v>331.4823992014384</v>
      </c>
      <c r="C19" s="48">
        <v>199.14527181061987</v>
      </c>
      <c r="D19" s="48">
        <v>63.498413056387506</v>
      </c>
      <c r="E19" s="48">
        <v>132.62917159786488</v>
      </c>
    </row>
    <row r="20" spans="1:5">
      <c r="A20">
        <v>2038</v>
      </c>
      <c r="B20" s="48">
        <v>332.04247069714836</v>
      </c>
      <c r="C20" s="48">
        <v>193.13826356057129</v>
      </c>
      <c r="D20" s="48">
        <v>63.937009430700996</v>
      </c>
      <c r="E20" s="48">
        <v>133.82746431733941</v>
      </c>
    </row>
    <row r="21" spans="1:5">
      <c r="A21">
        <v>2039</v>
      </c>
      <c r="B21" s="48">
        <v>332.46885556915316</v>
      </c>
      <c r="C21" s="48">
        <v>187.25835696823071</v>
      </c>
      <c r="D21" s="48">
        <v>64.43080445529921</v>
      </c>
      <c r="E21" s="48">
        <v>134.97097980323343</v>
      </c>
    </row>
    <row r="22" spans="1:5">
      <c r="A22">
        <v>2040</v>
      </c>
      <c r="B22" s="48">
        <v>329.46639517096162</v>
      </c>
      <c r="C22" s="48">
        <v>181.5308831732159</v>
      </c>
      <c r="D22" s="48">
        <v>64.451639225404335</v>
      </c>
      <c r="E22" s="48">
        <v>135.87668838863308</v>
      </c>
    </row>
    <row r="23" spans="1:5">
      <c r="A23">
        <v>2041</v>
      </c>
      <c r="B23" s="48">
        <v>329.66224111746635</v>
      </c>
      <c r="C23" s="48">
        <v>175.98117327050622</v>
      </c>
      <c r="D23" s="48">
        <v>65.033526899420323</v>
      </c>
      <c r="E23" s="48">
        <v>136.88334997352683</v>
      </c>
    </row>
    <row r="24" spans="1:5">
      <c r="A24">
        <v>2042</v>
      </c>
      <c r="B24" s="48">
        <v>329.72323337380749</v>
      </c>
      <c r="C24" s="48">
        <v>170.6345583103182</v>
      </c>
      <c r="D24" s="48">
        <v>65.67109661851805</v>
      </c>
      <c r="E24" s="48">
        <v>137.83444579190481</v>
      </c>
    </row>
    <row r="25" spans="1:5">
      <c r="A25">
        <v>2043</v>
      </c>
      <c r="B25" s="48">
        <v>329.64929682903414</v>
      </c>
      <c r="C25" s="48">
        <v>165.5163694916701</v>
      </c>
      <c r="D25" s="48">
        <v>66.354418271118249</v>
      </c>
      <c r="E25" s="48">
        <v>138.71989569974963</v>
      </c>
    </row>
    <row r="26" spans="1:5">
      <c r="A26">
        <v>2044</v>
      </c>
      <c r="B26" s="48">
        <v>329.44035965151556</v>
      </c>
      <c r="C26" s="48">
        <v>160.65193789477155</v>
      </c>
      <c r="D26" s="48">
        <v>67.083559792937393</v>
      </c>
      <c r="E26" s="48">
        <v>139.53963132377135</v>
      </c>
    </row>
    <row r="27" spans="1:5">
      <c r="A27">
        <v>2045</v>
      </c>
      <c r="B27" s="48">
        <v>326.32196781510947</v>
      </c>
      <c r="C27" s="48">
        <v>156.0665946144041</v>
      </c>
      <c r="D27" s="48">
        <v>67.489437553037561</v>
      </c>
      <c r="E27" s="48">
        <v>140.16752111933454</v>
      </c>
    </row>
    <row r="28" spans="1:5">
      <c r="A28">
        <v>2046</v>
      </c>
      <c r="B28" s="48">
        <v>325.87246084628691</v>
      </c>
      <c r="C28" s="48">
        <v>151.78567079033806</v>
      </c>
      <c r="D28" s="48">
        <v>68.316640257800671</v>
      </c>
      <c r="E28" s="48">
        <v>140.85706675655061</v>
      </c>
    </row>
    <row r="29" spans="1:5">
      <c r="A29">
        <v>2047</v>
      </c>
      <c r="B29" s="48">
        <v>325.28712931185868</v>
      </c>
      <c r="C29" s="48">
        <v>147.83449748751769</v>
      </c>
      <c r="D29" s="48">
        <v>69.189905003159097</v>
      </c>
      <c r="E29" s="48">
        <v>141.48056784971632</v>
      </c>
    </row>
    <row r="30" spans="1:5">
      <c r="A30">
        <v>2048</v>
      </c>
      <c r="B30" s="48">
        <v>324.5659324893561</v>
      </c>
      <c r="C30" s="48">
        <v>144.23840587550728</v>
      </c>
      <c r="D30" s="48">
        <v>70.109272920802866</v>
      </c>
      <c r="E30" s="48">
        <v>142.03799848588284</v>
      </c>
    </row>
    <row r="31" spans="1:5">
      <c r="A31">
        <v>2049</v>
      </c>
      <c r="B31" s="48">
        <v>323.7088313416931</v>
      </c>
      <c r="C31" s="48">
        <v>141.02272703425405</v>
      </c>
      <c r="D31" s="48">
        <v>71.074782823172725</v>
      </c>
      <c r="E31" s="48">
        <v>142.52933686833939</v>
      </c>
    </row>
    <row r="32" spans="1:5">
      <c r="A32">
        <v>2050</v>
      </c>
      <c r="B32" s="48">
        <v>322.70709202674334</v>
      </c>
      <c r="C32" s="48">
        <v>138.22340046332846</v>
      </c>
      <c r="D32" s="48">
        <v>72.091672983420509</v>
      </c>
      <c r="E32" s="48">
        <v>142.95456487032277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2"/>
  <sheetViews>
    <sheetView zoomScale="55" zoomScaleNormal="55" workbookViewId="0"/>
  </sheetViews>
  <sheetFormatPr baseColWidth="10" defaultRowHeight="15.5"/>
  <sheetData>
    <row r="1" spans="1:10">
      <c r="A1" s="22" t="s">
        <v>0</v>
      </c>
      <c r="B1" s="22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12</v>
      </c>
      <c r="H1" s="23" t="s">
        <v>35</v>
      </c>
      <c r="I1" s="24" t="s">
        <v>22</v>
      </c>
      <c r="J1" s="24" t="s">
        <v>36</v>
      </c>
    </row>
    <row r="2" spans="1:10">
      <c r="A2" s="25">
        <v>2020</v>
      </c>
      <c r="B2" s="25">
        <v>260.95321908990354</v>
      </c>
      <c r="C2" s="20">
        <v>0</v>
      </c>
      <c r="D2" s="20">
        <v>29.774272214094545</v>
      </c>
      <c r="E2" s="20">
        <v>210.08689464736398</v>
      </c>
      <c r="F2" s="20">
        <v>154.82621551329163</v>
      </c>
      <c r="G2" s="20">
        <v>80.20578974210413</v>
      </c>
      <c r="H2" s="20">
        <v>45.076189152971423</v>
      </c>
      <c r="I2" s="26">
        <v>8.6348773999999935</v>
      </c>
      <c r="J2" s="26">
        <v>789.55745775972923</v>
      </c>
    </row>
    <row r="3" spans="1:10">
      <c r="A3" s="25">
        <v>2021</v>
      </c>
      <c r="B3" s="25">
        <v>268.61608420077823</v>
      </c>
      <c r="C3" s="20">
        <v>1.5162438000002112</v>
      </c>
      <c r="D3" s="20">
        <v>30.081443629999967</v>
      </c>
      <c r="E3" s="20">
        <v>203.09508468179976</v>
      </c>
      <c r="F3" s="20">
        <v>149.42176410999673</v>
      </c>
      <c r="G3" s="20">
        <v>78.677699494995494</v>
      </c>
      <c r="H3" s="20">
        <v>48.643417286089189</v>
      </c>
      <c r="I3" s="26">
        <v>8.4137129999999729</v>
      </c>
      <c r="J3" s="26">
        <v>788.46545020365966</v>
      </c>
    </row>
    <row r="4" spans="1:10">
      <c r="A4" s="25">
        <v>2022</v>
      </c>
      <c r="B4" s="25">
        <v>276.16962663772642</v>
      </c>
      <c r="C4" s="20">
        <v>3.0324973100000534</v>
      </c>
      <c r="D4" s="20">
        <v>30.388613759999998</v>
      </c>
      <c r="E4" s="20">
        <v>196.11336753994067</v>
      </c>
      <c r="F4" s="20">
        <v>144.04370035999455</v>
      </c>
      <c r="G4" s="20">
        <v>77.297468984113323</v>
      </c>
      <c r="H4" s="20">
        <v>51.981142857508871</v>
      </c>
      <c r="I4" s="26">
        <v>8.1925486000000092</v>
      </c>
      <c r="J4" s="26">
        <v>787.21896604928395</v>
      </c>
    </row>
    <row r="5" spans="1:10">
      <c r="A5" s="25">
        <v>2023</v>
      </c>
      <c r="B5" s="25">
        <v>284.13829940558435</v>
      </c>
      <c r="C5" s="20">
        <v>4.5487508199998956</v>
      </c>
      <c r="D5" s="20">
        <v>30.69578389000003</v>
      </c>
      <c r="E5" s="20">
        <v>189.16053259815459</v>
      </c>
      <c r="F5" s="20">
        <v>138.68172398999013</v>
      </c>
      <c r="G5" s="20">
        <v>76.023878761182814</v>
      </c>
      <c r="H5" s="20">
        <v>55.107698777962923</v>
      </c>
      <c r="I5" s="26">
        <v>7.9713841999999886</v>
      </c>
      <c r="J5" s="26">
        <v>786.32805244287465</v>
      </c>
    </row>
    <row r="6" spans="1:10">
      <c r="A6" s="25">
        <v>2024</v>
      </c>
      <c r="B6" s="25">
        <v>291.85973967787379</v>
      </c>
      <c r="C6" s="20">
        <v>6.0650043300001926</v>
      </c>
      <c r="D6" s="20">
        <v>31.002954020000061</v>
      </c>
      <c r="E6" s="20">
        <v>182.23657985620864</v>
      </c>
      <c r="F6" s="20">
        <v>133.33583500000532</v>
      </c>
      <c r="G6" s="20">
        <v>74.831480477141199</v>
      </c>
      <c r="H6" s="20">
        <v>58.014832609908382</v>
      </c>
      <c r="I6" s="26">
        <v>7.750219799999968</v>
      </c>
      <c r="J6" s="26">
        <v>785.09664577113756</v>
      </c>
    </row>
    <row r="7" spans="1:10">
      <c r="A7" s="25">
        <v>2025</v>
      </c>
      <c r="B7" s="25">
        <v>299.35699850224228</v>
      </c>
      <c r="C7" s="20">
        <v>7.5812578400000348</v>
      </c>
      <c r="D7" s="20">
        <v>31.310124149999979</v>
      </c>
      <c r="E7" s="20">
        <v>175.34150931442301</v>
      </c>
      <c r="F7" s="20">
        <v>128.00603339000372</v>
      </c>
      <c r="G7" s="20">
        <v>74.490476262308661</v>
      </c>
      <c r="H7" s="20">
        <v>60.373541050580656</v>
      </c>
      <c r="I7" s="26">
        <v>7.5290554000000043</v>
      </c>
      <c r="J7" s="26">
        <v>783.9889959095583</v>
      </c>
    </row>
    <row r="8" spans="1:10">
      <c r="A8" s="25">
        <v>2026</v>
      </c>
      <c r="B8" s="25">
        <v>306.65540694368553</v>
      </c>
      <c r="C8" s="20">
        <v>9.097511349999877</v>
      </c>
      <c r="D8" s="20">
        <v>31.61729428000001</v>
      </c>
      <c r="E8" s="20">
        <v>168.47532097256482</v>
      </c>
      <c r="F8" s="20">
        <v>122.6923191599999</v>
      </c>
      <c r="G8" s="20">
        <v>73.395020619083539</v>
      </c>
      <c r="H8" s="20">
        <v>62.847698946298749</v>
      </c>
      <c r="I8" s="26">
        <v>7.3078909999999837</v>
      </c>
      <c r="J8" s="26">
        <v>782.08846327163224</v>
      </c>
    </row>
    <row r="9" spans="1:10">
      <c r="A9" s="25">
        <v>2027</v>
      </c>
      <c r="B9" s="25">
        <v>313.78029614186244</v>
      </c>
      <c r="C9" s="20">
        <v>10.613764860000174</v>
      </c>
      <c r="D9" s="20">
        <v>31.924464410000041</v>
      </c>
      <c r="E9" s="20">
        <v>161.63801483075054</v>
      </c>
      <c r="F9" s="20">
        <v>117.39469230999384</v>
      </c>
      <c r="G9" s="20">
        <v>72.346468832556496</v>
      </c>
      <c r="H9" s="20">
        <v>65.103926008978931</v>
      </c>
      <c r="I9" s="26">
        <v>7.0867265999999631</v>
      </c>
      <c r="J9" s="26">
        <v>779.88835399414256</v>
      </c>
    </row>
    <row r="10" spans="1:10">
      <c r="A10" s="25">
        <v>2028</v>
      </c>
      <c r="B10" s="25">
        <v>320.75699720660316</v>
      </c>
      <c r="C10" s="20">
        <v>12.130018370000016</v>
      </c>
      <c r="D10" s="20">
        <v>32.231634540000073</v>
      </c>
      <c r="E10" s="20">
        <v>154.8295908889219</v>
      </c>
      <c r="F10" s="20">
        <v>112.11315284000739</v>
      </c>
      <c r="G10" s="20">
        <v>71.338305064867924</v>
      </c>
      <c r="H10" s="20">
        <v>67.122705323457339</v>
      </c>
      <c r="I10" s="26">
        <v>6.8655621999999994</v>
      </c>
      <c r="J10" s="26">
        <v>777.38796643385774</v>
      </c>
    </row>
    <row r="11" spans="1:10">
      <c r="A11" s="25">
        <v>2029</v>
      </c>
      <c r="B11" s="25">
        <v>327.61084124767979</v>
      </c>
      <c r="C11" s="20">
        <v>13.646271879999858</v>
      </c>
      <c r="D11" s="20">
        <v>32.53880466999999</v>
      </c>
      <c r="E11" s="20">
        <v>148.05004914707894</v>
      </c>
      <c r="F11" s="20">
        <v>106.84770075000415</v>
      </c>
      <c r="G11" s="20">
        <v>70.365570095763246</v>
      </c>
      <c r="H11" s="20">
        <v>68.944494754996384</v>
      </c>
      <c r="I11" s="26">
        <v>6.6443977999999788</v>
      </c>
      <c r="J11" s="26">
        <v>774.64813034552242</v>
      </c>
    </row>
    <row r="12" spans="1:10">
      <c r="A12" s="25">
        <v>2030</v>
      </c>
      <c r="B12" s="25">
        <v>334.36715936003316</v>
      </c>
      <c r="C12" s="20">
        <v>15.162525390000155</v>
      </c>
      <c r="D12" s="20">
        <v>32.845974800000022</v>
      </c>
      <c r="E12" s="20">
        <v>141.29938960522168</v>
      </c>
      <c r="F12" s="20">
        <v>101.59833603999869</v>
      </c>
      <c r="G12" s="20">
        <v>51.575171163781704</v>
      </c>
      <c r="H12" s="20">
        <v>78.606560277435264</v>
      </c>
      <c r="I12" s="26">
        <v>6.4232333999999582</v>
      </c>
      <c r="J12" s="26">
        <v>761.87835003647069</v>
      </c>
    </row>
    <row r="13" spans="1:10">
      <c r="A13" s="25">
        <v>2031</v>
      </c>
      <c r="B13" s="25">
        <v>341.0512826980659</v>
      </c>
      <c r="C13" s="20">
        <v>16.678778899999998</v>
      </c>
      <c r="D13" s="20">
        <v>33.153144930000053</v>
      </c>
      <c r="E13" s="20">
        <v>134.57761226337919</v>
      </c>
      <c r="F13" s="20">
        <v>96.365058709998266</v>
      </c>
      <c r="G13" s="20">
        <v>50.895530343792231</v>
      </c>
      <c r="H13" s="20">
        <v>79.893171729977126</v>
      </c>
      <c r="I13" s="26">
        <v>6.2020689999999945</v>
      </c>
      <c r="J13" s="26">
        <v>758.81664857521264</v>
      </c>
    </row>
    <row r="14" spans="1:10">
      <c r="A14" s="25">
        <v>2032</v>
      </c>
      <c r="B14" s="25">
        <v>347.68854234206799</v>
      </c>
      <c r="C14" s="20">
        <v>18.19503240999984</v>
      </c>
      <c r="D14" s="20">
        <v>33.460315059999971</v>
      </c>
      <c r="E14" s="20">
        <v>127.88471712149325</v>
      </c>
      <c r="F14" s="20">
        <v>91.147868759995617</v>
      </c>
      <c r="G14" s="20">
        <v>50.235469032460557</v>
      </c>
      <c r="H14" s="20">
        <v>80.946605431372021</v>
      </c>
      <c r="I14" s="26">
        <v>5.9809045999999739</v>
      </c>
      <c r="J14" s="26">
        <v>755.53945475738919</v>
      </c>
    </row>
    <row r="15" spans="1:10">
      <c r="A15" s="25">
        <v>2033</v>
      </c>
      <c r="B15" s="25">
        <v>354.30426937180255</v>
      </c>
      <c r="C15" s="20">
        <v>19.711285920000137</v>
      </c>
      <c r="D15" s="20">
        <v>33.767485190000002</v>
      </c>
      <c r="E15" s="20">
        <v>121.220704179593</v>
      </c>
      <c r="F15" s="20">
        <v>85.946766190005292</v>
      </c>
      <c r="G15" s="20">
        <v>49.593431408629321</v>
      </c>
      <c r="H15" s="20">
        <v>81.807137634530562</v>
      </c>
      <c r="I15" s="26">
        <v>5.7597402000000102</v>
      </c>
      <c r="J15" s="26">
        <v>752.11082009456084</v>
      </c>
    </row>
    <row r="16" spans="1:10">
      <c r="A16" s="25">
        <v>2034</v>
      </c>
      <c r="B16" s="25">
        <v>360.92379498660864</v>
      </c>
      <c r="C16" s="20">
        <v>21.227539429999979</v>
      </c>
      <c r="D16" s="20">
        <v>34.074655320000033</v>
      </c>
      <c r="E16" s="20">
        <v>114.58557343776573</v>
      </c>
      <c r="F16" s="20">
        <v>80.761750999998185</v>
      </c>
      <c r="G16" s="20">
        <v>48.968124567960828</v>
      </c>
      <c r="H16" s="20">
        <v>82.455031054059873</v>
      </c>
      <c r="I16" s="26">
        <v>5.5385757999999896</v>
      </c>
      <c r="J16" s="26">
        <v>748.53504559639327</v>
      </c>
    </row>
    <row r="17" spans="1:10">
      <c r="A17" s="25">
        <v>2035</v>
      </c>
      <c r="B17" s="25">
        <v>367.57245020683672</v>
      </c>
      <c r="C17" s="20">
        <v>22.743792939999821</v>
      </c>
      <c r="D17" s="20">
        <v>34.381825450000065</v>
      </c>
      <c r="E17" s="20">
        <v>107.97932489592414</v>
      </c>
      <c r="F17" s="20">
        <v>75.592823189996125</v>
      </c>
      <c r="G17" s="20">
        <v>28.918718950266946</v>
      </c>
      <c r="H17" s="20">
        <v>91.650175733364932</v>
      </c>
      <c r="I17" s="26">
        <v>5.317411399999969</v>
      </c>
      <c r="J17" s="26">
        <v>734.15652276638866</v>
      </c>
    </row>
    <row r="18" spans="1:10">
      <c r="A18" s="25">
        <v>2036</v>
      </c>
      <c r="B18" s="25">
        <v>374.27556618707604</v>
      </c>
      <c r="C18" s="20">
        <v>24.260046450000118</v>
      </c>
      <c r="D18" s="20">
        <v>34.688995579999983</v>
      </c>
      <c r="E18" s="20">
        <v>101.40195855406822</v>
      </c>
      <c r="F18" s="20">
        <v>70.439982759991835</v>
      </c>
      <c r="G18" s="20">
        <v>28.562712478385325</v>
      </c>
      <c r="H18" s="20">
        <v>91.768534358695973</v>
      </c>
      <c r="I18" s="26">
        <v>5.0962470000000053</v>
      </c>
      <c r="J18" s="26">
        <v>730.49404336821749</v>
      </c>
    </row>
    <row r="19" spans="1:10">
      <c r="A19" s="25">
        <v>2037</v>
      </c>
      <c r="B19" s="25">
        <v>381.05847405197062</v>
      </c>
      <c r="C19" s="20">
        <v>25.77629995999996</v>
      </c>
      <c r="D19" s="20">
        <v>34.996165710000014</v>
      </c>
      <c r="E19" s="20">
        <v>94.853474412197968</v>
      </c>
      <c r="F19" s="20">
        <v>65.303229710007145</v>
      </c>
      <c r="G19" s="20">
        <v>28.215078617969699</v>
      </c>
      <c r="H19" s="20">
        <v>91.677450604165301</v>
      </c>
      <c r="I19" s="26">
        <v>4.8750825999999847</v>
      </c>
      <c r="J19" s="26">
        <v>726.75525566631063</v>
      </c>
    </row>
    <row r="20" spans="1:10">
      <c r="A20" s="25">
        <v>2038</v>
      </c>
      <c r="B20" s="25">
        <v>387.9465048814028</v>
      </c>
      <c r="C20" s="20">
        <v>27.292553470000257</v>
      </c>
      <c r="D20" s="20">
        <v>35.303335840000045</v>
      </c>
      <c r="E20" s="20">
        <v>88.333872470342499</v>
      </c>
      <c r="F20" s="20">
        <v>60.182564040005673</v>
      </c>
      <c r="G20" s="20">
        <v>27.87540539653763</v>
      </c>
      <c r="H20" s="20">
        <v>91.357053707471238</v>
      </c>
      <c r="I20" s="26">
        <v>4.6539181999999641</v>
      </c>
      <c r="J20" s="26">
        <v>722.94520800576015</v>
      </c>
    </row>
    <row r="21" spans="1:10">
      <c r="A21" s="25">
        <v>2039</v>
      </c>
      <c r="B21" s="25">
        <v>394.96498980034858</v>
      </c>
      <c r="C21" s="20">
        <v>28.808806980000099</v>
      </c>
      <c r="D21" s="20">
        <v>35.610505969999963</v>
      </c>
      <c r="E21" s="20">
        <v>81.843152728501806</v>
      </c>
      <c r="F21" s="20">
        <v>55.077985750001972</v>
      </c>
      <c r="G21" s="20">
        <v>27.543334829102928</v>
      </c>
      <c r="H21" s="20">
        <v>90.847466937961215</v>
      </c>
      <c r="I21" s="26">
        <v>4.4327538000000004</v>
      </c>
      <c r="J21" s="26">
        <v>719.12899679591658</v>
      </c>
    </row>
    <row r="22" spans="1:10">
      <c r="A22" s="25">
        <v>2040</v>
      </c>
      <c r="B22" s="25">
        <v>402.13925994838235</v>
      </c>
      <c r="C22" s="20">
        <v>30.325060489999942</v>
      </c>
      <c r="D22" s="20">
        <v>35.917676099999994</v>
      </c>
      <c r="E22" s="20">
        <v>75.381315186617684</v>
      </c>
      <c r="F22" s="20">
        <v>49.989494839996041</v>
      </c>
      <c r="G22" s="20">
        <v>19.937361051383554</v>
      </c>
      <c r="H22" s="20">
        <v>93.423848941835445</v>
      </c>
      <c r="I22" s="26">
        <v>4.2115893999999798</v>
      </c>
      <c r="J22" s="26">
        <v>711.32560595821496</v>
      </c>
    </row>
    <row r="23" spans="1:10">
      <c r="A23" s="25">
        <v>2041</v>
      </c>
      <c r="B23" s="25">
        <v>409.49464642033126</v>
      </c>
      <c r="C23" s="20">
        <v>31.841314000000239</v>
      </c>
      <c r="D23" s="20">
        <v>36.224846230000026</v>
      </c>
      <c r="E23" s="20">
        <v>68.948359844806532</v>
      </c>
      <c r="F23" s="20">
        <v>44.917091309995158</v>
      </c>
      <c r="G23" s="20">
        <v>19.704560351177758</v>
      </c>
      <c r="H23" s="20">
        <v>92.439048104608801</v>
      </c>
      <c r="I23" s="26">
        <v>3.9904249999999593</v>
      </c>
      <c r="J23" s="26">
        <v>707.56029126091971</v>
      </c>
    </row>
    <row r="24" spans="1:10">
      <c r="A24" s="25">
        <v>2042</v>
      </c>
      <c r="B24" s="25">
        <v>417.05648026644724</v>
      </c>
      <c r="C24" s="20">
        <v>33.357567510000081</v>
      </c>
      <c r="D24" s="20">
        <v>36.532016360000057</v>
      </c>
      <c r="E24" s="20">
        <v>62.544286703039283</v>
      </c>
      <c r="F24" s="20">
        <v>39.860775160006597</v>
      </c>
      <c r="G24" s="20">
        <v>19.476723034263546</v>
      </c>
      <c r="H24" s="20">
        <v>91.26622446079179</v>
      </c>
      <c r="I24" s="26">
        <v>3.7692605999999955</v>
      </c>
      <c r="J24" s="26">
        <v>703.86333409454846</v>
      </c>
    </row>
    <row r="25" spans="1:10">
      <c r="A25" s="25">
        <v>2043</v>
      </c>
      <c r="B25" s="25">
        <v>424.8500926858656</v>
      </c>
      <c r="C25" s="20">
        <v>34.873821019999923</v>
      </c>
      <c r="D25" s="20">
        <v>36.839186489999975</v>
      </c>
      <c r="E25" s="20">
        <v>56.169095761083078</v>
      </c>
      <c r="F25" s="20">
        <v>34.820546390001255</v>
      </c>
      <c r="G25" s="20">
        <v>19.253688623054007</v>
      </c>
      <c r="H25" s="20">
        <v>89.88545312156829</v>
      </c>
      <c r="I25" s="26">
        <v>3.5480961999999749</v>
      </c>
      <c r="J25" s="26">
        <v>700.23998029157201</v>
      </c>
    </row>
    <row r="26" spans="1:10">
      <c r="A26" s="25">
        <v>2044</v>
      </c>
      <c r="B26" s="25">
        <v>432.90081475870159</v>
      </c>
      <c r="C26" s="20">
        <v>36.39007453000022</v>
      </c>
      <c r="D26" s="20">
        <v>37.146356620000006</v>
      </c>
      <c r="E26" s="20">
        <v>49.822787019287169</v>
      </c>
      <c r="F26" s="20">
        <v>29.796405000000959</v>
      </c>
      <c r="G26" s="20">
        <v>19.03531301637879</v>
      </c>
      <c r="H26" s="20">
        <v>88.296805918627115</v>
      </c>
      <c r="I26" s="26">
        <v>3.3269318000000112</v>
      </c>
      <c r="J26" s="26">
        <v>696.71548866299588</v>
      </c>
    </row>
    <row r="27" spans="1:10">
      <c r="A27" s="25">
        <v>2045</v>
      </c>
      <c r="B27" s="25">
        <v>441.23397757973595</v>
      </c>
      <c r="C27" s="20">
        <v>37.906328040000062</v>
      </c>
      <c r="D27" s="20">
        <v>37.453526750000037</v>
      </c>
      <c r="E27" s="20">
        <v>43.505360477418726</v>
      </c>
      <c r="F27" s="20">
        <v>24.788350989991159</v>
      </c>
      <c r="G27" s="20">
        <v>12.777472987065716</v>
      </c>
      <c r="H27" s="20">
        <v>89.274736877674044</v>
      </c>
      <c r="I27" s="26">
        <v>3.1057673999999906</v>
      </c>
      <c r="J27" s="26">
        <v>690.0455211018857</v>
      </c>
    </row>
    <row r="28" spans="1:10">
      <c r="A28" s="25">
        <v>2046</v>
      </c>
      <c r="B28" s="25">
        <v>449.87491228874671</v>
      </c>
      <c r="C28" s="20">
        <v>39.422581549999904</v>
      </c>
      <c r="D28" s="20">
        <v>37.760696880000069</v>
      </c>
      <c r="E28" s="20">
        <v>37.21681613553595</v>
      </c>
      <c r="F28" s="20">
        <v>19.796384360008233</v>
      </c>
      <c r="G28" s="20">
        <v>12.634937963865227</v>
      </c>
      <c r="H28" s="20">
        <v>87.240906472820157</v>
      </c>
      <c r="I28" s="26">
        <v>2.8846029999999701</v>
      </c>
      <c r="J28" s="26">
        <v>686.83183865097624</v>
      </c>
    </row>
    <row r="29" spans="1:10">
      <c r="A29" s="25">
        <v>2047</v>
      </c>
      <c r="B29" s="25">
        <v>458.84894995086069</v>
      </c>
      <c r="C29" s="20">
        <v>40.938835060000201</v>
      </c>
      <c r="D29" s="20">
        <v>38.067867009999986</v>
      </c>
      <c r="E29" s="20">
        <v>30.957153993667962</v>
      </c>
      <c r="F29" s="20">
        <v>14.82050511000125</v>
      </c>
      <c r="G29" s="20">
        <v>12.495325791049197</v>
      </c>
      <c r="H29" s="20">
        <v>85.000024136672494</v>
      </c>
      <c r="I29" s="26">
        <v>2.6634386000000063</v>
      </c>
      <c r="J29" s="26">
        <v>683.79209965225164</v>
      </c>
    </row>
    <row r="30" spans="1:10">
      <c r="A30" s="25">
        <v>2048</v>
      </c>
      <c r="B30" s="25">
        <v>468.18142173533533</v>
      </c>
      <c r="C30" s="20">
        <v>42.455088570000044</v>
      </c>
      <c r="D30" s="20">
        <v>38.375037140000018</v>
      </c>
      <c r="E30" s="20">
        <v>24.726374051843848</v>
      </c>
      <c r="F30" s="20">
        <v>9.8607132399993134</v>
      </c>
      <c r="G30" s="20">
        <v>12.35857024205959</v>
      </c>
      <c r="H30" s="20">
        <v>82.552130592310959</v>
      </c>
      <c r="I30" s="26">
        <v>2.4422741999999857</v>
      </c>
      <c r="J30" s="26">
        <v>680.9516097715491</v>
      </c>
    </row>
    <row r="31" spans="1:10">
      <c r="A31" s="25">
        <v>2049</v>
      </c>
      <c r="B31" s="25">
        <v>477.89765872225672</v>
      </c>
      <c r="C31" s="20">
        <v>43.971342079999886</v>
      </c>
      <c r="D31" s="20">
        <v>38.682207270000049</v>
      </c>
      <c r="E31" s="20">
        <v>18.524476310034515</v>
      </c>
      <c r="F31" s="20">
        <v>4.9170087499951478</v>
      </c>
      <c r="G31" s="20">
        <v>12.224610258729744</v>
      </c>
      <c r="H31" s="20">
        <v>79.897264876443259</v>
      </c>
      <c r="I31" s="26">
        <v>2.2211097999999652</v>
      </c>
      <c r="J31" s="26">
        <v>678.33567806745918</v>
      </c>
    </row>
    <row r="32" spans="1:10">
      <c r="A32" s="27">
        <v>2050</v>
      </c>
      <c r="B32" s="27">
        <v>488.02299205134472</v>
      </c>
      <c r="C32" s="21">
        <v>45.487595590000183</v>
      </c>
      <c r="D32" s="21">
        <v>38.989377399999967</v>
      </c>
      <c r="E32" s="21">
        <v>12.347966215235243</v>
      </c>
      <c r="F32" s="21">
        <v>0</v>
      </c>
      <c r="G32" s="21">
        <v>12.093389260895831</v>
      </c>
      <c r="H32" s="21">
        <v>77.035464426339175</v>
      </c>
      <c r="I32" s="28">
        <v>1.9999454000000014</v>
      </c>
      <c r="J32" s="28">
        <v>675.97673034381523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68"/>
  <sheetViews>
    <sheetView zoomScale="40" zoomScaleNormal="40" workbookViewId="0"/>
  </sheetViews>
  <sheetFormatPr baseColWidth="10" defaultColWidth="8.6640625" defaultRowHeight="15.5"/>
  <cols>
    <col min="1" max="1" width="10.75" customWidth="1"/>
    <col min="2" max="2" width="10.6640625" customWidth="1"/>
    <col min="3" max="3" width="9.6640625" customWidth="1"/>
    <col min="4" max="4" width="9.83203125" customWidth="1"/>
    <col min="6" max="6" width="12.5" customWidth="1"/>
    <col min="7" max="7" width="14" customWidth="1"/>
    <col min="8" max="8" width="11.33203125" customWidth="1"/>
    <col min="11" max="11" width="8.5" customWidth="1"/>
    <col min="12" max="12" width="15.83203125" customWidth="1"/>
  </cols>
  <sheetData>
    <row r="1" spans="1:11" ht="47.25" customHeight="1">
      <c r="A1" s="47" t="s">
        <v>44</v>
      </c>
      <c r="B1" s="47" t="s">
        <v>43</v>
      </c>
      <c r="C1" s="34" t="s">
        <v>0</v>
      </c>
      <c r="D1" s="34" t="s">
        <v>40</v>
      </c>
      <c r="E1" s="34" t="s">
        <v>39</v>
      </c>
      <c r="F1" s="34" t="s">
        <v>38</v>
      </c>
      <c r="G1" s="34" t="s">
        <v>42</v>
      </c>
      <c r="H1" s="19"/>
      <c r="I1" s="19"/>
      <c r="K1" s="5"/>
    </row>
    <row r="2" spans="1:11">
      <c r="A2" s="39">
        <v>259.601</v>
      </c>
      <c r="B2" s="39">
        <v>259.601</v>
      </c>
      <c r="C2" s="38">
        <v>2010</v>
      </c>
      <c r="D2" s="37">
        <v>162.73489150137254</v>
      </c>
      <c r="E2" s="37">
        <v>6.6616996761500928</v>
      </c>
      <c r="F2" s="37">
        <v>52.238342055672582</v>
      </c>
      <c r="G2" s="37">
        <v>37.966066766804772</v>
      </c>
      <c r="H2" s="45"/>
    </row>
    <row r="3" spans="1:11">
      <c r="A3" s="39">
        <v>262.53800000000001</v>
      </c>
      <c r="B3" s="39">
        <v>262.53800000000001</v>
      </c>
      <c r="C3" s="38">
        <v>2011</v>
      </c>
      <c r="D3" s="37">
        <v>164.76644133060853</v>
      </c>
      <c r="E3" s="37">
        <v>6.9139573932796505</v>
      </c>
      <c r="F3" s="37">
        <v>52.616188355411531</v>
      </c>
      <c r="G3" s="37">
        <v>38.241412920700313</v>
      </c>
      <c r="H3" s="45"/>
    </row>
    <row r="4" spans="1:11">
      <c r="A4" s="39">
        <v>257.91899999999998</v>
      </c>
      <c r="B4" s="39">
        <v>257.91899999999998</v>
      </c>
      <c r="C4" s="38">
        <v>2012</v>
      </c>
      <c r="D4" s="37">
        <v>162.40244118637835</v>
      </c>
      <c r="E4" s="37">
        <v>7.0089714690351936</v>
      </c>
      <c r="F4" s="37">
        <v>51.255524842305604</v>
      </c>
      <c r="G4" s="37">
        <v>37.25206250228085</v>
      </c>
      <c r="H4" s="45"/>
    </row>
    <row r="5" spans="1:11">
      <c r="A5" s="39">
        <v>256.07299999999998</v>
      </c>
      <c r="B5" s="39">
        <v>256.07299999999998</v>
      </c>
      <c r="C5" s="38">
        <v>2013</v>
      </c>
      <c r="D5" s="37">
        <v>161.29555012604197</v>
      </c>
      <c r="E5" s="37">
        <v>6.8726454917049393</v>
      </c>
      <c r="F5" s="46">
        <v>50.906370072294187</v>
      </c>
      <c r="G5" s="46">
        <v>36.998434309958867</v>
      </c>
    </row>
    <row r="6" spans="1:11">
      <c r="A6" s="39">
        <v>252.578</v>
      </c>
      <c r="B6" s="39">
        <v>252.578</v>
      </c>
      <c r="C6" s="38">
        <v>2014</v>
      </c>
      <c r="D6" s="37">
        <v>159.09948212106272</v>
      </c>
      <c r="E6" s="37">
        <v>6.7707786626353155</v>
      </c>
      <c r="F6" s="39">
        <v>50.213288877648594</v>
      </c>
      <c r="G6" s="37">
        <v>36.494450338653373</v>
      </c>
    </row>
    <row r="7" spans="1:11">
      <c r="A7" s="39">
        <v>249.655</v>
      </c>
      <c r="B7" s="39">
        <v>249.655</v>
      </c>
      <c r="C7" s="38">
        <v>2015</v>
      </c>
      <c r="D7" s="37">
        <v>152.75240245825236</v>
      </c>
      <c r="E7" s="37">
        <v>6.5075827620350122</v>
      </c>
      <c r="F7" s="39">
        <v>52.772168443716588</v>
      </c>
      <c r="G7" s="37">
        <v>37.622846335996009</v>
      </c>
    </row>
    <row r="8" spans="1:11">
      <c r="A8" s="39">
        <v>252.74700000000001</v>
      </c>
      <c r="B8" s="39">
        <v>252.74700000000001</v>
      </c>
      <c r="C8" s="38">
        <v>2016</v>
      </c>
      <c r="D8" s="37">
        <v>141.44703747262949</v>
      </c>
      <c r="E8" s="37">
        <v>5.5332216933496614</v>
      </c>
      <c r="F8" s="39">
        <v>60.008677286856589</v>
      </c>
      <c r="G8" s="37">
        <v>45.758063547164276</v>
      </c>
    </row>
    <row r="9" spans="1:11">
      <c r="A9" s="39">
        <v>255.13432</v>
      </c>
      <c r="B9" s="39">
        <v>255.13432</v>
      </c>
      <c r="C9" s="38">
        <v>2017</v>
      </c>
      <c r="D9" s="37">
        <v>154.49464752133929</v>
      </c>
      <c r="E9" s="37">
        <v>6.7032444199439007</v>
      </c>
      <c r="F9" s="39">
        <v>54.839496439111315</v>
      </c>
      <c r="G9" s="39">
        <v>39.096931619605478</v>
      </c>
    </row>
    <row r="10" spans="1:11">
      <c r="A10" s="39">
        <v>256.39722799999998</v>
      </c>
      <c r="B10" s="39">
        <v>256.39722799999998</v>
      </c>
      <c r="C10" s="38">
        <v>2018</v>
      </c>
      <c r="D10" s="37">
        <v>155.55080419827814</v>
      </c>
      <c r="E10" s="37">
        <v>6.2682063598183362</v>
      </c>
      <c r="F10" s="39">
        <v>55.214270274585381</v>
      </c>
      <c r="G10" s="37">
        <v>39.36394716731813</v>
      </c>
      <c r="H10" s="29"/>
    </row>
    <row r="11" spans="1:11">
      <c r="A11" s="39">
        <v>252.639321</v>
      </c>
      <c r="B11" s="39">
        <v>252.639321</v>
      </c>
      <c r="C11" s="38">
        <v>2019</v>
      </c>
      <c r="D11" s="37">
        <v>153.42082493200166</v>
      </c>
      <c r="E11" s="37">
        <v>5.9348544428189092</v>
      </c>
      <c r="F11" s="37">
        <v>54.458458371424371</v>
      </c>
      <c r="G11" s="37">
        <v>38.825183253755043</v>
      </c>
      <c r="H11" s="45"/>
    </row>
    <row r="12" spans="1:11">
      <c r="A12" s="39">
        <v>239.459</v>
      </c>
      <c r="B12" s="39">
        <v>239.459</v>
      </c>
      <c r="C12" s="38">
        <v>2020</v>
      </c>
      <c r="D12" s="37">
        <v>160.22063930160039</v>
      </c>
      <c r="E12" s="37">
        <v>5.9548544428189087</v>
      </c>
      <c r="F12" s="37">
        <v>51.682879978063283</v>
      </c>
      <c r="G12" s="37">
        <v>21.600626277517392</v>
      </c>
      <c r="H12" s="45"/>
    </row>
    <row r="13" spans="1:11">
      <c r="A13" s="39">
        <v>250.06863199587895</v>
      </c>
      <c r="B13" s="39">
        <v>250.9670509389461</v>
      </c>
      <c r="C13" s="38">
        <v>2021</v>
      </c>
      <c r="D13" s="37">
        <v>162.55555683300008</v>
      </c>
      <c r="E13" s="37">
        <v>5.9648544428189094</v>
      </c>
      <c r="F13" s="37">
        <v>51.597533929758356</v>
      </c>
      <c r="G13" s="37">
        <v>31.16530989547698</v>
      </c>
      <c r="H13" s="45"/>
    </row>
    <row r="14" spans="1:11">
      <c r="A14" s="39">
        <v>257.12489547070788</v>
      </c>
      <c r="B14" s="44">
        <v>260.22156182746699</v>
      </c>
      <c r="C14" s="38">
        <v>2022</v>
      </c>
      <c r="D14" s="37">
        <v>164.89047436439978</v>
      </c>
      <c r="E14" s="37">
        <v>5.9771344372517969</v>
      </c>
      <c r="F14" s="37">
        <v>51.55838794563897</v>
      </c>
      <c r="G14" s="37">
        <v>36.745065142024373</v>
      </c>
      <c r="H14" s="36"/>
      <c r="I14" s="41"/>
      <c r="J14" s="43"/>
      <c r="K14" s="29"/>
    </row>
    <row r="15" spans="1:11">
      <c r="A15" s="39">
        <v>271.19224229731549</v>
      </c>
      <c r="B15" s="39">
        <v>270.08215530133458</v>
      </c>
      <c r="C15" s="38">
        <v>2023</v>
      </c>
      <c r="D15" s="37">
        <v>167.22539189580039</v>
      </c>
      <c r="E15" s="37">
        <v>6.5161474308947414</v>
      </c>
      <c r="F15" s="37">
        <v>51.565442025763332</v>
      </c>
      <c r="G15" s="37">
        <v>41.794395103256647</v>
      </c>
      <c r="H15" s="36"/>
      <c r="K15" s="29"/>
    </row>
    <row r="16" spans="1:11">
      <c r="A16" s="39">
        <v>280.12608556045916</v>
      </c>
      <c r="B16" s="39">
        <v>275.15433608211458</v>
      </c>
      <c r="C16" s="38">
        <v>2024</v>
      </c>
      <c r="D16" s="37">
        <v>169.56030942720008</v>
      </c>
      <c r="E16" s="37">
        <v>6.9195305973295635</v>
      </c>
      <c r="F16" s="37">
        <v>51.618696170131443</v>
      </c>
      <c r="G16" s="37">
        <v>50.086584547932091</v>
      </c>
      <c r="H16" s="36"/>
      <c r="I16" s="41"/>
      <c r="K16" s="29"/>
    </row>
    <row r="17" spans="1:12">
      <c r="A17" s="39">
        <v>289.6182316891036</v>
      </c>
      <c r="B17" s="39">
        <v>287.62022685898353</v>
      </c>
      <c r="C17" s="38">
        <v>2025</v>
      </c>
      <c r="D17" s="37">
        <v>171.89522695859978</v>
      </c>
      <c r="E17" s="37">
        <v>7.2103349840718174</v>
      </c>
      <c r="F17" s="37">
        <v>51.718150378757855</v>
      </c>
      <c r="G17" s="37">
        <v>54.149119647950215</v>
      </c>
      <c r="H17" s="36"/>
      <c r="I17" s="41"/>
      <c r="K17" s="29"/>
    </row>
    <row r="18" spans="1:12">
      <c r="A18" s="39">
        <v>301.28785607265007</v>
      </c>
      <c r="B18" s="39">
        <v>291.86058547462801</v>
      </c>
      <c r="C18" s="38">
        <v>2026</v>
      </c>
      <c r="D18" s="37">
        <v>174.23014449000038</v>
      </c>
      <c r="E18" s="37">
        <v>7.4138916562327655</v>
      </c>
      <c r="F18" s="37">
        <v>51.86380465158436</v>
      </c>
      <c r="G18" s="37">
        <v>60.864633057656818</v>
      </c>
      <c r="H18" s="36"/>
      <c r="I18" s="41"/>
      <c r="K18" s="29"/>
    </row>
    <row r="19" spans="1:12">
      <c r="A19" s="39">
        <v>311.45135844549458</v>
      </c>
      <c r="B19" s="39">
        <v>303.36155992893413</v>
      </c>
      <c r="C19" s="38">
        <v>2027</v>
      </c>
      <c r="D19" s="37">
        <v>176.56506202140008</v>
      </c>
      <c r="E19" s="37">
        <v>7.5555317534294755</v>
      </c>
      <c r="F19" s="37">
        <v>52.055658988654613</v>
      </c>
      <c r="G19" s="37">
        <v>68.052088813154455</v>
      </c>
      <c r="H19" s="36"/>
      <c r="I19" s="41"/>
      <c r="K19" s="29"/>
    </row>
    <row r="20" spans="1:12">
      <c r="A20" s="39">
        <v>319.93226845234841</v>
      </c>
      <c r="B20" s="39">
        <v>308.5129289326772</v>
      </c>
      <c r="C20" s="38">
        <v>2028</v>
      </c>
      <c r="D20" s="37">
        <v>178.89997955279978</v>
      </c>
      <c r="E20" s="37">
        <v>7.6605863854766962</v>
      </c>
      <c r="F20" s="37">
        <v>52.293713389983168</v>
      </c>
      <c r="G20" s="37">
        <v>72.908041266008127</v>
      </c>
      <c r="H20" s="36"/>
      <c r="I20" s="41"/>
      <c r="K20" s="29"/>
      <c r="L20" s="42"/>
    </row>
    <row r="21" spans="1:12">
      <c r="A21" s="39">
        <v>332.69231703339972</v>
      </c>
      <c r="B21" s="39">
        <v>317.32309391448024</v>
      </c>
      <c r="C21" s="38">
        <v>2029</v>
      </c>
      <c r="D21" s="37">
        <v>181.23489708420038</v>
      </c>
      <c r="E21" s="37">
        <v>7.7543866621891731</v>
      </c>
      <c r="F21" s="37">
        <v>52.577967855526367</v>
      </c>
      <c r="G21" s="37">
        <v>79.268923030694339</v>
      </c>
      <c r="H21" s="36"/>
      <c r="I21" s="41"/>
      <c r="K21" s="29"/>
      <c r="L21" s="42"/>
    </row>
    <row r="22" spans="1:12">
      <c r="A22" s="39">
        <v>339.85850062703554</v>
      </c>
      <c r="B22" s="39">
        <v>324.7240936281093</v>
      </c>
      <c r="C22" s="38">
        <v>2030</v>
      </c>
      <c r="D22" s="37">
        <v>183.56981461560008</v>
      </c>
      <c r="E22" s="37">
        <v>7.8622636784804918</v>
      </c>
      <c r="F22" s="37">
        <v>52.908422385313315</v>
      </c>
      <c r="G22" s="37">
        <v>81.959459887511173</v>
      </c>
      <c r="H22" s="36"/>
      <c r="K22" s="29"/>
    </row>
    <row r="23" spans="1:12">
      <c r="A23" s="39">
        <v>349.33701308388231</v>
      </c>
      <c r="B23" s="39">
        <v>333.78881426778179</v>
      </c>
      <c r="C23" s="38">
        <v>2031</v>
      </c>
      <c r="D23" s="37">
        <v>185.90473214699978</v>
      </c>
      <c r="E23" s="37">
        <v>8.0095485888688849</v>
      </c>
      <c r="F23" s="37">
        <v>53.285076979344012</v>
      </c>
      <c r="G23" s="37">
        <v>85.347611560480971</v>
      </c>
      <c r="H23" s="36"/>
      <c r="K23" s="29"/>
    </row>
    <row r="24" spans="1:12">
      <c r="A24" s="39">
        <v>356.68373484547709</v>
      </c>
      <c r="B24" s="39">
        <v>340.26782160953678</v>
      </c>
      <c r="C24" s="38">
        <v>2032</v>
      </c>
      <c r="D24" s="37">
        <v>188.23964967840038</v>
      </c>
      <c r="E24" s="37">
        <v>8.2215724733667734</v>
      </c>
      <c r="F24" s="37">
        <v>53.707931637603906</v>
      </c>
      <c r="G24" s="37">
        <v>89.814303806119085</v>
      </c>
      <c r="H24" s="36"/>
      <c r="K24" s="29"/>
    </row>
    <row r="25" spans="1:12">
      <c r="A25" s="39">
        <v>364.11736639063867</v>
      </c>
      <c r="B25" s="39">
        <v>345.27495115377985</v>
      </c>
      <c r="C25" s="38">
        <v>2033</v>
      </c>
      <c r="D25" s="37">
        <v>190.57456720980008</v>
      </c>
      <c r="E25" s="37">
        <v>8.5236664119865821</v>
      </c>
      <c r="F25" s="37">
        <v>54.176986360078445</v>
      </c>
      <c r="G25" s="37">
        <v>95.82279293184979</v>
      </c>
      <c r="H25" s="36"/>
      <c r="K25" s="29"/>
    </row>
    <row r="26" spans="1:12">
      <c r="A26" s="39">
        <v>372.76554868149395</v>
      </c>
      <c r="B26" s="39">
        <v>352.01303518695084</v>
      </c>
      <c r="C26" s="38">
        <v>2034</v>
      </c>
      <c r="D26" s="37">
        <v>192.90948474119978</v>
      </c>
      <c r="E26" s="37">
        <v>8.9411616039500288</v>
      </c>
      <c r="F26" s="37">
        <v>54.692241146825836</v>
      </c>
      <c r="G26" s="37">
        <v>95.543234929788696</v>
      </c>
      <c r="H26" s="36"/>
      <c r="K26" s="29"/>
    </row>
    <row r="27" spans="1:12">
      <c r="A27" s="39">
        <v>379.96480762751776</v>
      </c>
      <c r="B27" s="39">
        <v>361.17480153268212</v>
      </c>
      <c r="C27" s="38">
        <v>2035</v>
      </c>
      <c r="D27" s="37">
        <v>195.24440227260038</v>
      </c>
      <c r="E27" s="37">
        <v>9.4993890696648862</v>
      </c>
      <c r="F27" s="37">
        <v>55.253695997787872</v>
      </c>
      <c r="G27" s="37">
        <v>101.55097517146811</v>
      </c>
      <c r="H27" s="36"/>
      <c r="K27" s="29"/>
    </row>
    <row r="28" spans="1:12">
      <c r="A28" s="39">
        <v>388.87629058899711</v>
      </c>
      <c r="B28" s="39">
        <v>366.71369633629968</v>
      </c>
      <c r="C28" s="38">
        <v>2036</v>
      </c>
      <c r="D28" s="37">
        <v>197.57931980400008</v>
      </c>
      <c r="E28" s="37">
        <v>10.223679963649392</v>
      </c>
      <c r="F28" s="37">
        <v>55.861350912979105</v>
      </c>
      <c r="G28" s="37">
        <v>105.11766919345979</v>
      </c>
      <c r="H28" s="36"/>
      <c r="K28" s="29"/>
    </row>
    <row r="29" spans="1:12">
      <c r="A29" s="39">
        <v>392.86920107916268</v>
      </c>
      <c r="B29" s="39">
        <v>370.59989121257007</v>
      </c>
      <c r="C29" s="38">
        <v>2037</v>
      </c>
      <c r="D29" s="37">
        <v>199.91423733539978</v>
      </c>
      <c r="E29" s="37">
        <v>11.139365410619448</v>
      </c>
      <c r="F29" s="37">
        <v>56.515205892443191</v>
      </c>
      <c r="G29" s="37">
        <v>104.30228542649598</v>
      </c>
      <c r="H29" s="36"/>
      <c r="K29" s="29"/>
    </row>
    <row r="30" spans="1:12">
      <c r="A30" s="39">
        <v>398.16488558386231</v>
      </c>
      <c r="B30" s="39">
        <v>377.93887415977912</v>
      </c>
      <c r="C30" s="38">
        <v>2038</v>
      </c>
      <c r="D30" s="37">
        <v>202.24915486680038</v>
      </c>
      <c r="E30" s="37">
        <v>12.271776490587483</v>
      </c>
      <c r="F30" s="37">
        <v>57.21526093610737</v>
      </c>
      <c r="G30" s="37">
        <v>103.79483460389622</v>
      </c>
      <c r="H30" s="36"/>
      <c r="K30" s="29"/>
    </row>
    <row r="31" spans="1:12">
      <c r="A31" s="39">
        <v>408.56383231230842</v>
      </c>
      <c r="B31" s="39">
        <v>383.71014513723196</v>
      </c>
      <c r="C31" s="38">
        <v>2039</v>
      </c>
      <c r="D31" s="37">
        <v>204.58407239820008</v>
      </c>
      <c r="E31" s="37">
        <v>13.6462443282694</v>
      </c>
      <c r="F31" s="37">
        <v>57.961516044000746</v>
      </c>
      <c r="G31" s="37">
        <v>106.17299754834795</v>
      </c>
      <c r="H31" s="36"/>
      <c r="K31" s="29"/>
    </row>
    <row r="32" spans="1:12">
      <c r="A32" s="39">
        <v>412.75203916926489</v>
      </c>
      <c r="B32" s="39">
        <v>383.87028871620811</v>
      </c>
      <c r="C32" s="38">
        <v>2040</v>
      </c>
      <c r="D32" s="37">
        <v>206.91898992959977</v>
      </c>
      <c r="E32" s="37">
        <v>15.288100063282275</v>
      </c>
      <c r="F32" s="37">
        <v>58.75397121613787</v>
      </c>
      <c r="G32" s="37">
        <v>103.49077601976302</v>
      </c>
      <c r="H32" s="36"/>
      <c r="K32" s="29"/>
    </row>
    <row r="33" spans="1:11">
      <c r="A33" s="39">
        <v>417.48951846736213</v>
      </c>
      <c r="B33" s="39">
        <v>390.59572281350148</v>
      </c>
      <c r="C33" s="38">
        <v>2041</v>
      </c>
      <c r="D33" s="37">
        <v>209.25390746100038</v>
      </c>
      <c r="E33" s="37">
        <v>17.222674790539688</v>
      </c>
      <c r="F33" s="37">
        <v>59.592626452547847</v>
      </c>
      <c r="G33" s="37">
        <v>102.73280506459133</v>
      </c>
      <c r="H33" s="36"/>
      <c r="K33" s="29"/>
    </row>
    <row r="34" spans="1:11">
      <c r="A34" s="39">
        <v>423.71124673910208</v>
      </c>
      <c r="B34" s="39">
        <v>394.90648862461728</v>
      </c>
      <c r="C34" s="38">
        <v>2042</v>
      </c>
      <c r="D34" s="37">
        <v>211.58882499240008</v>
      </c>
      <c r="E34" s="37">
        <v>19.475299560251742</v>
      </c>
      <c r="F34" s="37">
        <v>60.477481753157917</v>
      </c>
      <c r="G34" s="37">
        <v>99.236473092611391</v>
      </c>
      <c r="H34" s="36"/>
      <c r="K34" s="29"/>
    </row>
    <row r="35" spans="1:11">
      <c r="A35" s="39">
        <v>426.53186989055752</v>
      </c>
      <c r="B35" s="39">
        <v>394.96366168494302</v>
      </c>
      <c r="C35" s="38">
        <v>2043</v>
      </c>
      <c r="D35" s="37">
        <v>213.92374252379977</v>
      </c>
      <c r="E35" s="37">
        <v>22.071305571640153</v>
      </c>
      <c r="F35" s="37">
        <v>61.408537117997184</v>
      </c>
      <c r="G35" s="37">
        <v>97.568022643093457</v>
      </c>
      <c r="H35" s="36"/>
      <c r="K35" s="29"/>
    </row>
    <row r="36" spans="1:11">
      <c r="A36" s="39">
        <v>429.10518332376444</v>
      </c>
      <c r="B36" s="39">
        <v>398.66658167534689</v>
      </c>
      <c r="C36" s="38">
        <v>2044</v>
      </c>
      <c r="D36" s="37">
        <v>216.25866005520038</v>
      </c>
      <c r="E36" s="37">
        <v>25.036023904717347</v>
      </c>
      <c r="F36" s="37">
        <v>62.385792547109304</v>
      </c>
      <c r="G36" s="37">
        <v>95.797064587761838</v>
      </c>
      <c r="H36" s="36"/>
      <c r="K36" s="29"/>
    </row>
    <row r="37" spans="1:11">
      <c r="A37" s="39">
        <v>432.90584897394137</v>
      </c>
      <c r="B37" s="39">
        <v>400.83914655942266</v>
      </c>
      <c r="C37" s="38">
        <v>2045</v>
      </c>
      <c r="D37" s="37">
        <v>218.59357758660008</v>
      </c>
      <c r="E37" s="37">
        <v>28.394785654396898</v>
      </c>
      <c r="F37" s="37">
        <v>63.409248040421517</v>
      </c>
      <c r="G37" s="37">
        <v>92.794940553654442</v>
      </c>
      <c r="H37" s="36"/>
      <c r="I37" s="41"/>
      <c r="K37" s="29"/>
    </row>
    <row r="38" spans="1:11">
      <c r="A38" s="39">
        <v>440.45847329145454</v>
      </c>
      <c r="B38" s="39">
        <v>405.22920814018505</v>
      </c>
      <c r="C38" s="38">
        <v>2046</v>
      </c>
      <c r="D38" s="37">
        <v>220.92849511799977</v>
      </c>
      <c r="E38" s="37">
        <v>32.172921960295895</v>
      </c>
      <c r="F38" s="37">
        <v>64.478903597977478</v>
      </c>
      <c r="G38" s="37">
        <v>87.256266806021529</v>
      </c>
      <c r="H38" s="36"/>
      <c r="I38" s="41"/>
      <c r="K38" s="29"/>
    </row>
    <row r="39" spans="1:11">
      <c r="A39" s="39">
        <v>443.3374005461975</v>
      </c>
      <c r="B39" s="39">
        <v>405.4840099238188</v>
      </c>
      <c r="C39" s="38">
        <v>2047</v>
      </c>
      <c r="D39" s="37">
        <v>223.26341264940038</v>
      </c>
      <c r="E39" s="37">
        <v>36.395763887525575</v>
      </c>
      <c r="F39" s="37">
        <v>65.59475921979174</v>
      </c>
      <c r="G39" s="37">
        <v>81.004143110312327</v>
      </c>
      <c r="H39" s="36"/>
      <c r="I39" s="41"/>
      <c r="K39" s="29"/>
    </row>
    <row r="40" spans="1:11">
      <c r="A40" s="39">
        <v>445.8275018061442</v>
      </c>
      <c r="B40" s="39">
        <v>407.14027806924321</v>
      </c>
      <c r="C40" s="38">
        <v>2048</v>
      </c>
      <c r="D40" s="37">
        <v>225.59833018080008</v>
      </c>
      <c r="E40" s="37">
        <v>41.088642605505356</v>
      </c>
      <c r="F40" s="37">
        <v>66.756814905820647</v>
      </c>
      <c r="G40" s="37">
        <v>71.139026426268231</v>
      </c>
      <c r="H40" s="36"/>
      <c r="I40" s="41"/>
      <c r="K40" s="29"/>
    </row>
    <row r="41" spans="1:11">
      <c r="A41" s="39">
        <v>450.77224589605692</v>
      </c>
      <c r="B41" s="39">
        <v>408.48528830126583</v>
      </c>
      <c r="C41" s="38">
        <v>2049</v>
      </c>
      <c r="D41" s="37">
        <v>227.93324771219977</v>
      </c>
      <c r="E41" s="37">
        <v>46.276889194247644</v>
      </c>
      <c r="F41" s="37">
        <v>67.965070656078751</v>
      </c>
      <c r="G41" s="37">
        <v>64.059289422323616</v>
      </c>
      <c r="H41" s="36"/>
      <c r="I41" s="41"/>
      <c r="K41" s="29"/>
    </row>
    <row r="42" spans="1:11">
      <c r="A42" s="40">
        <v>453.53427334296896</v>
      </c>
      <c r="B42" s="39">
        <v>411.9331274244924</v>
      </c>
      <c r="C42" s="38">
        <v>2050</v>
      </c>
      <c r="D42" s="37">
        <v>230.26816524360038</v>
      </c>
      <c r="E42" s="37">
        <v>51.98583479336952</v>
      </c>
      <c r="F42" s="37">
        <v>69.219526470609708</v>
      </c>
      <c r="G42" s="37">
        <v>56.562536660994851</v>
      </c>
      <c r="H42" s="36"/>
      <c r="I42" s="35"/>
      <c r="K42" s="29"/>
    </row>
    <row r="68" spans="5:5">
      <c r="E68" t="s">
        <v>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Winds of Change</vt:lpstr>
      <vt:lpstr>EPS</vt:lpstr>
      <vt:lpstr>Coal Decommision</vt:lpstr>
      <vt:lpstr>Capacity and Generation</vt:lpstr>
      <vt:lpstr>Current Demand</vt:lpstr>
      <vt:lpstr>Demand BAU</vt:lpstr>
      <vt:lpstr>Demand Total</vt:lpstr>
      <vt:lpstr>Demand Source</vt:lpstr>
      <vt:lpstr>Demand Elec</vt:lpstr>
      <vt:lpstr>Transport</vt:lpstr>
      <vt:lpstr>Industry</vt:lpstr>
      <vt:lpstr>Residential</vt:lpstr>
      <vt:lpstr>CommPublic</vt:lpstr>
      <vt:lpstr>Financial Summary</vt:lpstr>
      <vt:lpstr>Utility</vt:lpstr>
      <vt:lpstr>Demand</vt:lpstr>
      <vt:lpstr>For Transport </vt:lpstr>
      <vt:lpstr>Total per Tech</vt:lpstr>
      <vt:lpstr>Total per Fuel</vt:lpstr>
      <vt:lpstr>Decommission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Gyubin Hwang</dc:creator>
  <cp:lastModifiedBy>micaela.flores.lanza@hotmail.com</cp:lastModifiedBy>
  <dcterms:created xsi:type="dcterms:W3CDTF">2022-05-10T19:34:36Z</dcterms:created>
  <dcterms:modified xsi:type="dcterms:W3CDTF">2022-05-11T21:09:30Z</dcterms:modified>
</cp:coreProperties>
</file>