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GitHub Projects/Life Insurance Policy Optimization/"/>
    </mc:Choice>
  </mc:AlternateContent>
  <xr:revisionPtr revIDLastSave="0" documentId="8_{CDDF3328-CE16-5E4E-8311-11B714961EB8}" xr6:coauthVersionLast="47" xr6:coauthVersionMax="47" xr10:uidLastSave="{00000000-0000-0000-0000-000000000000}"/>
  <bookViews>
    <workbookView xWindow="34460" yWindow="660" windowWidth="34180" windowHeight="28000" activeTab="3" xr2:uid="{B7DCC29B-BFA0-4D8B-BD12-C1E6FDC05C64}"/>
  </bookViews>
  <sheets>
    <sheet name="33877.4296875" sheetId="1" r:id="rId1"/>
    <sheet name="Mortality" sheetId="2" r:id="rId2"/>
    <sheet name="Other factors" sheetId="4" r:id="rId3"/>
    <sheet name="Results" sheetId="3" r:id="rId4"/>
  </sheets>
  <definedNames>
    <definedName name="_xlnm._FilterDatabase" localSheetId="0" hidden="1">'33877.4296875'!$J$13:$Q$32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" l="1"/>
  <c r="H13" i="3"/>
  <c r="G20" i="3"/>
  <c r="E33" i="3"/>
  <c r="G14" i="3"/>
  <c r="G15" i="3"/>
  <c r="G16" i="3"/>
  <c r="G17" i="3"/>
  <c r="G18" i="3"/>
  <c r="G19" i="3"/>
  <c r="G21" i="3"/>
  <c r="G22" i="3"/>
  <c r="G23" i="3"/>
  <c r="G24" i="3"/>
  <c r="G25" i="3"/>
  <c r="G26" i="3"/>
  <c r="G27" i="3"/>
  <c r="G28" i="3"/>
  <c r="G29" i="3"/>
  <c r="G30" i="3"/>
  <c r="G31" i="3"/>
  <c r="G32" i="3"/>
  <c r="G13" i="3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14" i="3"/>
  <c r="F13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14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T32" i="3" l="1"/>
  <c r="S9" i="3"/>
  <c r="I32" i="3"/>
  <c r="J32" i="3" s="1"/>
  <c r="I31" i="3"/>
  <c r="T30" i="3" s="1"/>
  <c r="I30" i="3"/>
  <c r="I29" i="3"/>
  <c r="I28" i="3"/>
  <c r="T27" i="3" s="1"/>
  <c r="I27" i="3"/>
  <c r="I26" i="3"/>
  <c r="I25" i="3"/>
  <c r="T24" i="3" s="1"/>
  <c r="I24" i="3"/>
  <c r="J24" i="3" s="1"/>
  <c r="I23" i="3"/>
  <c r="T22" i="3" s="1"/>
  <c r="I22" i="3"/>
  <c r="T21" i="3" s="1"/>
  <c r="I21" i="3"/>
  <c r="I20" i="3"/>
  <c r="T19" i="3" s="1"/>
  <c r="I19" i="3"/>
  <c r="I18" i="3"/>
  <c r="I17" i="3"/>
  <c r="T16" i="3" s="1"/>
  <c r="I16" i="3"/>
  <c r="J16" i="3" s="1"/>
  <c r="I15" i="3"/>
  <c r="T14" i="3" s="1"/>
  <c r="I14" i="3"/>
  <c r="I13" i="3"/>
  <c r="H15" i="3"/>
  <c r="H14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V1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6" i="1"/>
  <c r="N26" i="1" s="1"/>
  <c r="F25" i="1"/>
  <c r="N25" i="1" s="1"/>
  <c r="F24" i="1"/>
  <c r="N24" i="1" s="1"/>
  <c r="F23" i="1"/>
  <c r="N23" i="1" s="1"/>
  <c r="F22" i="1"/>
  <c r="N22" i="1" s="1"/>
  <c r="F21" i="1"/>
  <c r="N21" i="1" s="1"/>
  <c r="F20" i="1"/>
  <c r="N20" i="1" s="1"/>
  <c r="F19" i="1"/>
  <c r="N19" i="1" s="1"/>
  <c r="F18" i="1"/>
  <c r="N18" i="1" s="1"/>
  <c r="F17" i="1"/>
  <c r="N17" i="1" s="1"/>
  <c r="F16" i="1"/>
  <c r="N16" i="1" s="1"/>
  <c r="F15" i="1"/>
  <c r="N15" i="1" s="1"/>
  <c r="F14" i="1"/>
  <c r="N14" i="1" s="1"/>
  <c r="F13" i="1"/>
  <c r="N13" i="1" s="1"/>
  <c r="M13" i="1"/>
  <c r="L13" i="1"/>
  <c r="E32" i="1"/>
  <c r="M32" i="1" s="1"/>
  <c r="E31" i="1"/>
  <c r="M31" i="1" s="1"/>
  <c r="E30" i="1"/>
  <c r="M30" i="1" s="1"/>
  <c r="E29" i="1"/>
  <c r="M29" i="1" s="1"/>
  <c r="E28" i="1"/>
  <c r="M28" i="1" s="1"/>
  <c r="E27" i="1"/>
  <c r="M27" i="1" s="1"/>
  <c r="E26" i="1"/>
  <c r="M26" i="1" s="1"/>
  <c r="E25" i="1"/>
  <c r="M25" i="1" s="1"/>
  <c r="E24" i="1"/>
  <c r="M24" i="1" s="1"/>
  <c r="E23" i="1"/>
  <c r="M23" i="1" s="1"/>
  <c r="E22" i="1"/>
  <c r="M22" i="1" s="1"/>
  <c r="E21" i="1"/>
  <c r="M21" i="1" s="1"/>
  <c r="E20" i="1"/>
  <c r="M20" i="1" s="1"/>
  <c r="E19" i="1"/>
  <c r="M19" i="1" s="1"/>
  <c r="E18" i="1"/>
  <c r="M18" i="1" s="1"/>
  <c r="E17" i="1"/>
  <c r="M17" i="1" s="1"/>
  <c r="E16" i="1"/>
  <c r="M16" i="1" s="1"/>
  <c r="E15" i="1"/>
  <c r="M15" i="1" s="1"/>
  <c r="E14" i="1"/>
  <c r="M14" i="1" s="1"/>
  <c r="D32" i="1"/>
  <c r="D31" i="1"/>
  <c r="L31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M13" i="2"/>
  <c r="K14" i="2" s="1"/>
  <c r="L1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13" i="2"/>
  <c r="J13" i="3" l="1"/>
  <c r="J21" i="3"/>
  <c r="K17" i="3"/>
  <c r="K25" i="3"/>
  <c r="M25" i="3" s="1"/>
  <c r="K29" i="3"/>
  <c r="M29" i="3" s="1"/>
  <c r="K18" i="3"/>
  <c r="K26" i="3"/>
  <c r="M26" i="3" s="1"/>
  <c r="K19" i="3"/>
  <c r="K27" i="3"/>
  <c r="M27" i="3" s="1"/>
  <c r="J18" i="3"/>
  <c r="J26" i="3"/>
  <c r="K20" i="3"/>
  <c r="K28" i="3"/>
  <c r="M28" i="3" s="1"/>
  <c r="J19" i="3"/>
  <c r="J27" i="3"/>
  <c r="K21" i="3"/>
  <c r="M21" i="3" s="1"/>
  <c r="K30" i="3"/>
  <c r="M30" i="3" s="1"/>
  <c r="K14" i="3"/>
  <c r="K22" i="3"/>
  <c r="M22" i="3" s="1"/>
  <c r="J29" i="3"/>
  <c r="K15" i="3"/>
  <c r="K23" i="3"/>
  <c r="M23" i="3" s="1"/>
  <c r="K32" i="3"/>
  <c r="M32" i="3" s="1"/>
  <c r="K16" i="3"/>
  <c r="K24" i="3"/>
  <c r="M24" i="3" s="1"/>
  <c r="L22" i="1"/>
  <c r="L30" i="1"/>
  <c r="L14" i="1"/>
  <c r="L24" i="1"/>
  <c r="L32" i="1"/>
  <c r="L20" i="1"/>
  <c r="L16" i="1"/>
  <c r="L19" i="1"/>
  <c r="K31" i="3"/>
  <c r="M31" i="3" s="1"/>
  <c r="L15" i="1"/>
  <c r="L23" i="1"/>
  <c r="L25" i="1"/>
  <c r="L17" i="1"/>
  <c r="L18" i="1"/>
  <c r="L26" i="1"/>
  <c r="L29" i="1"/>
  <c r="L21" i="1"/>
  <c r="L28" i="1"/>
  <c r="L27" i="1"/>
  <c r="J14" i="3"/>
  <c r="L14" i="3" s="1"/>
  <c r="J22" i="3"/>
  <c r="J30" i="3"/>
  <c r="T26" i="3"/>
  <c r="T13" i="3"/>
  <c r="T29" i="3"/>
  <c r="T18" i="3"/>
  <c r="J17" i="3"/>
  <c r="T17" i="3"/>
  <c r="T25" i="3"/>
  <c r="T20" i="3"/>
  <c r="T28" i="3"/>
  <c r="T15" i="3"/>
  <c r="T23" i="3"/>
  <c r="T31" i="3"/>
  <c r="J25" i="3"/>
  <c r="J15" i="3"/>
  <c r="L15" i="3" s="1"/>
  <c r="J23" i="3"/>
  <c r="J31" i="3"/>
  <c r="K13" i="3"/>
  <c r="J20" i="3"/>
  <c r="J28" i="3"/>
  <c r="L14" i="2"/>
  <c r="M14" i="2" s="1"/>
  <c r="K15" i="2" s="1"/>
  <c r="M15" i="3" l="1"/>
  <c r="O15" i="3"/>
  <c r="S15" i="3" s="1"/>
  <c r="O14" i="3"/>
  <c r="S14" i="3" s="1"/>
  <c r="K6" i="3"/>
  <c r="M16" i="3"/>
  <c r="J36" i="3"/>
  <c r="M13" i="3"/>
  <c r="M15" i="2"/>
  <c r="K16" i="2" s="1"/>
  <c r="L16" i="2" s="1"/>
  <c r="L15" i="2"/>
  <c r="M16" i="2" l="1"/>
  <c r="K17" i="2" s="1"/>
  <c r="L17" i="2" s="1"/>
  <c r="M17" i="2" l="1"/>
  <c r="K18" i="2" s="1"/>
  <c r="L18" i="2" s="1"/>
  <c r="M18" i="2" l="1"/>
  <c r="K19" i="2" s="1"/>
  <c r="L19" i="2" s="1"/>
  <c r="M19" i="2" l="1"/>
  <c r="K20" i="2" s="1"/>
  <c r="L20" i="2" s="1"/>
  <c r="M20" i="2" l="1"/>
  <c r="K21" i="2" s="1"/>
  <c r="L21" i="2" l="1"/>
  <c r="M21" i="2" s="1"/>
  <c r="K22" i="2" s="1"/>
  <c r="L22" i="2" l="1"/>
  <c r="M22" i="2" s="1"/>
  <c r="K23" i="2" s="1"/>
  <c r="L23" i="2" l="1"/>
  <c r="M23" i="2" s="1"/>
  <c r="K24" i="2" s="1"/>
  <c r="L24" i="2" l="1"/>
  <c r="M24" i="2" s="1"/>
  <c r="K25" i="2" s="1"/>
  <c r="L25" i="2" l="1"/>
  <c r="M25" i="2" s="1"/>
  <c r="K26" i="2" s="1"/>
  <c r="L26" i="2" s="1"/>
  <c r="M26" i="2" l="1"/>
  <c r="K27" i="2" s="1"/>
  <c r="L27" i="2" l="1"/>
  <c r="M27" i="2" s="1"/>
  <c r="K28" i="2" s="1"/>
  <c r="L28" i="2" s="1"/>
  <c r="M28" i="2" l="1"/>
  <c r="K29" i="2" s="1"/>
  <c r="L29" i="2" s="1"/>
  <c r="M29" i="2" l="1"/>
  <c r="K30" i="2" s="1"/>
  <c r="L30" i="2" s="1"/>
  <c r="M30" i="2" l="1"/>
  <c r="K31" i="2" s="1"/>
  <c r="L31" i="2" s="1"/>
  <c r="M31" i="2" l="1"/>
  <c r="K32" i="2" s="1"/>
  <c r="L32" i="2" s="1"/>
  <c r="M32" i="2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B14" i="1"/>
  <c r="B15" i="1" l="1"/>
  <c r="V14" i="1"/>
  <c r="B16" i="1" l="1"/>
  <c r="V15" i="1"/>
  <c r="B17" i="1" l="1"/>
  <c r="V16" i="1"/>
  <c r="B18" i="1" l="1"/>
  <c r="V17" i="1"/>
  <c r="B19" i="1" l="1"/>
  <c r="V18" i="1"/>
  <c r="B20" i="1" l="1"/>
  <c r="V19" i="1"/>
  <c r="B21" i="1" l="1"/>
  <c r="V20" i="1"/>
  <c r="B22" i="1" l="1"/>
  <c r="V21" i="1"/>
  <c r="B23" i="1" l="1"/>
  <c r="V22" i="1"/>
  <c r="B24" i="1" l="1"/>
  <c r="V23" i="1"/>
  <c r="B25" i="1" l="1"/>
  <c r="V24" i="1"/>
  <c r="B26" i="1" l="1"/>
  <c r="V25" i="1"/>
  <c r="B27" i="1" l="1"/>
  <c r="V26" i="1"/>
  <c r="B28" i="1" l="1"/>
  <c r="V27" i="1"/>
  <c r="B29" i="1" l="1"/>
  <c r="V28" i="1"/>
  <c r="B30" i="1" l="1"/>
  <c r="V29" i="1"/>
  <c r="B31" i="1" l="1"/>
  <c r="V30" i="1"/>
  <c r="B32" i="1" l="1"/>
  <c r="V32" i="1" s="1"/>
  <c r="V31" i="1"/>
  <c r="T13" i="1"/>
  <c r="O13" i="1" s="1"/>
  <c r="O13" i="3"/>
  <c r="S13" i="3" s="1"/>
  <c r="P13" i="1" l="1"/>
  <c r="Q13" i="1" s="1"/>
  <c r="J14" i="1" s="1"/>
  <c r="L13" i="3"/>
  <c r="T14" i="1" l="1"/>
  <c r="O14" i="1" s="1"/>
  <c r="P14" i="1" s="1"/>
  <c r="Q14" i="1" s="1"/>
  <c r="J15" i="1" s="1"/>
  <c r="M14" i="3"/>
  <c r="T15" i="1" l="1"/>
  <c r="O15" i="1" s="1"/>
  <c r="P15" i="1" l="1"/>
  <c r="Q15" i="1" s="1"/>
  <c r="J16" i="1" l="1"/>
  <c r="H16" i="3"/>
  <c r="T16" i="1" l="1"/>
  <c r="O16" i="1" s="1"/>
  <c r="P16" i="1" s="1"/>
  <c r="L16" i="3"/>
  <c r="O16" i="3"/>
  <c r="S16" i="3" s="1"/>
  <c r="Q16" i="1" l="1"/>
  <c r="J17" i="1" s="1"/>
  <c r="T17" i="1" s="1"/>
  <c r="O17" i="1" s="1"/>
  <c r="P17" i="1" s="1"/>
  <c r="M17" i="3"/>
  <c r="H17" i="3"/>
  <c r="O17" i="3" l="1"/>
  <c r="S17" i="3" s="1"/>
  <c r="L17" i="3"/>
  <c r="Q17" i="1"/>
  <c r="J18" i="1" l="1"/>
  <c r="M18" i="3"/>
  <c r="H18" i="3" l="1"/>
  <c r="T18" i="1"/>
  <c r="O18" i="1" s="1"/>
  <c r="P18" i="1" s="1"/>
  <c r="Q18" i="1" s="1"/>
  <c r="J19" i="1" l="1"/>
  <c r="H19" i="3"/>
  <c r="L18" i="3"/>
  <c r="O18" i="3"/>
  <c r="S18" i="3" s="1"/>
  <c r="M19" i="3" l="1"/>
  <c r="O19" i="3"/>
  <c r="S19" i="3" s="1"/>
  <c r="L19" i="3"/>
  <c r="M20" i="3" s="1"/>
  <c r="M6" i="3" s="1"/>
  <c r="T19" i="1"/>
  <c r="O19" i="1" s="1"/>
  <c r="P19" i="1" s="1"/>
  <c r="Q19" i="1" s="1"/>
  <c r="J20" i="1" l="1"/>
  <c r="H20" i="3"/>
  <c r="L20" i="3" l="1"/>
  <c r="O20" i="3"/>
  <c r="S20" i="3" s="1"/>
  <c r="T20" i="1"/>
  <c r="O20" i="1" s="1"/>
  <c r="P20" i="1" s="1"/>
  <c r="Q20" i="1" s="1"/>
  <c r="J21" i="1" l="1"/>
  <c r="H21" i="3" l="1"/>
  <c r="T21" i="1"/>
  <c r="O21" i="1" s="1"/>
  <c r="P21" i="1" s="1"/>
  <c r="Q21" i="1" l="1"/>
  <c r="J22" i="1" s="1"/>
  <c r="L21" i="3"/>
  <c r="O21" i="3"/>
  <c r="S21" i="3" s="1"/>
  <c r="H22" i="3" l="1"/>
  <c r="T22" i="1"/>
  <c r="O22" i="1" s="1"/>
  <c r="P22" i="1" s="1"/>
  <c r="Q22" i="1" s="1"/>
  <c r="J23" i="1" l="1"/>
  <c r="O22" i="3"/>
  <c r="S22" i="3" s="1"/>
  <c r="L22" i="3"/>
  <c r="H23" i="3" l="1"/>
  <c r="T23" i="1"/>
  <c r="O23" i="1" s="1"/>
  <c r="P23" i="1" s="1"/>
  <c r="Q23" i="1" l="1"/>
  <c r="J24" i="1" s="1"/>
  <c r="O23" i="3"/>
  <c r="S23" i="3" s="1"/>
  <c r="L23" i="3"/>
  <c r="H24" i="3" l="1"/>
  <c r="T24" i="1"/>
  <c r="O24" i="1" s="1"/>
  <c r="P24" i="1" s="1"/>
  <c r="Q24" i="1" s="1"/>
  <c r="J25" i="1" l="1"/>
  <c r="L24" i="3"/>
  <c r="O24" i="3"/>
  <c r="S24" i="3" s="1"/>
  <c r="H25" i="3" l="1"/>
  <c r="T25" i="1"/>
  <c r="O25" i="1" s="1"/>
  <c r="P25" i="1" s="1"/>
  <c r="Q25" i="1" s="1"/>
  <c r="J26" i="1" l="1"/>
  <c r="L25" i="3"/>
  <c r="O25" i="3"/>
  <c r="S25" i="3" s="1"/>
  <c r="H26" i="3" l="1"/>
  <c r="T26" i="1"/>
  <c r="O26" i="1" s="1"/>
  <c r="P26" i="1" s="1"/>
  <c r="Q26" i="1" s="1"/>
  <c r="J27" i="1" l="1"/>
  <c r="L26" i="3"/>
  <c r="O26" i="3"/>
  <c r="S26" i="3" s="1"/>
  <c r="H27" i="3" l="1"/>
  <c r="T27" i="1"/>
  <c r="O27" i="1" s="1"/>
  <c r="P27" i="1" s="1"/>
  <c r="Q27" i="1" s="1"/>
  <c r="J28" i="1" l="1"/>
  <c r="H28" i="3"/>
  <c r="L27" i="3"/>
  <c r="O27" i="3"/>
  <c r="S27" i="3" s="1"/>
  <c r="L28" i="3" l="1"/>
  <c r="O28" i="3"/>
  <c r="S28" i="3" s="1"/>
  <c r="T28" i="1"/>
  <c r="O28" i="1" s="1"/>
  <c r="P28" i="1" s="1"/>
  <c r="Q28" i="1" s="1"/>
  <c r="J29" i="1" l="1"/>
  <c r="H29" i="3" l="1"/>
  <c r="T29" i="1"/>
  <c r="O29" i="1" s="1"/>
  <c r="P29" i="1" s="1"/>
  <c r="Q29" i="1" s="1"/>
  <c r="J30" i="1" l="1"/>
  <c r="H30" i="3"/>
  <c r="L29" i="3"/>
  <c r="O29" i="3"/>
  <c r="S29" i="3" s="1"/>
  <c r="L30" i="3" l="1"/>
  <c r="O30" i="3"/>
  <c r="S30" i="3" s="1"/>
  <c r="T30" i="1"/>
  <c r="O30" i="1" s="1"/>
  <c r="P30" i="1" s="1"/>
  <c r="Q30" i="1" s="1"/>
  <c r="J31" i="1" l="1"/>
  <c r="H31" i="3" l="1"/>
  <c r="T31" i="1"/>
  <c r="O31" i="1" s="1"/>
  <c r="P31" i="1" s="1"/>
  <c r="Q31" i="1" s="1"/>
  <c r="J32" i="1" l="1"/>
  <c r="L31" i="3"/>
  <c r="O31" i="3"/>
  <c r="S31" i="3" s="1"/>
  <c r="H32" i="3" l="1"/>
  <c r="T32" i="1"/>
  <c r="O32" i="1" s="1"/>
  <c r="P32" i="1" s="1"/>
  <c r="Q32" i="1" s="1"/>
  <c r="L32" i="3" l="1"/>
  <c r="O32" i="3"/>
  <c r="S32" i="3" s="1"/>
  <c r="O7" i="3" s="1"/>
  <c r="L6" i="3" l="1"/>
  <c r="M3" i="3" s="1"/>
</calcChain>
</file>

<file path=xl/sharedStrings.xml><?xml version="1.0" encoding="utf-8"?>
<sst xmlns="http://schemas.openxmlformats.org/spreadsheetml/2006/main" count="134" uniqueCount="68">
  <si>
    <t>Year</t>
  </si>
  <si>
    <t>BOY = beginning of year; EOY = end of year</t>
  </si>
  <si>
    <t>Age</t>
  </si>
  <si>
    <t>BOY</t>
  </si>
  <si>
    <t>Base</t>
  </si>
  <si>
    <t>mortality</t>
  </si>
  <si>
    <t>Annual</t>
  </si>
  <si>
    <t>improvement</t>
  </si>
  <si>
    <t>factor</t>
  </si>
  <si>
    <t>Shock</t>
  </si>
  <si>
    <t>rate (per 1.000)</t>
  </si>
  <si>
    <t>Adjusted</t>
  </si>
  <si>
    <t>rate #1</t>
  </si>
  <si>
    <t>Mortality Rates</t>
  </si>
  <si>
    <t>Survivors</t>
  </si>
  <si>
    <t>per 1.000</t>
  </si>
  <si>
    <t>Deaths</t>
  </si>
  <si>
    <t>EOY</t>
  </si>
  <si>
    <t>rate #2</t>
  </si>
  <si>
    <t>Base mortality rate is 80% of 2015 Valuation Basic Table, Select &amp; Ultimate, Male Nonsmoker</t>
  </si>
  <si>
    <t>Cumulative</t>
  </si>
  <si>
    <t>Policy Values</t>
  </si>
  <si>
    <t>TBD</t>
  </si>
  <si>
    <t>Other Factors</t>
  </si>
  <si>
    <t>Premium</t>
  </si>
  <si>
    <t>charge</t>
  </si>
  <si>
    <t>Per-$1000</t>
  </si>
  <si>
    <t>Policy fee</t>
  </si>
  <si>
    <t>COI rate</t>
  </si>
  <si>
    <t>per 1000</t>
  </si>
  <si>
    <t>COI rate = Cost of insurance rate</t>
  </si>
  <si>
    <t>Interest</t>
  </si>
  <si>
    <t>rate</t>
  </si>
  <si>
    <t>Beginning</t>
  </si>
  <si>
    <t>balance</t>
  </si>
  <si>
    <t>Ending</t>
  </si>
  <si>
    <t>Death benefit</t>
  </si>
  <si>
    <t>Cost of</t>
  </si>
  <si>
    <t>insurance</t>
  </si>
  <si>
    <t>Net amount</t>
  </si>
  <si>
    <t>at risk</t>
  </si>
  <si>
    <t>Face amount</t>
  </si>
  <si>
    <t>Calculation of cash value</t>
  </si>
  <si>
    <t>Results</t>
  </si>
  <si>
    <t>------------ Policy values -------------</t>
  </si>
  <si>
    <t>----- Actuarial factors -----</t>
  </si>
  <si>
    <t>Survival</t>
  </si>
  <si>
    <t>Death</t>
  </si>
  <si>
    <t>Net</t>
  </si>
  <si>
    <t>checksum</t>
  </si>
  <si>
    <t>Net present value</t>
  </si>
  <si>
    <t>minus premiums</t>
  </si>
  <si>
    <t>of death benefit</t>
  </si>
  <si>
    <t>-------------------- Expected cash flows --------------------</t>
  </si>
  <si>
    <t>----------------- Expected present values -----------------</t>
  </si>
  <si>
    <t>For VLOOKUP of probability</t>
  </si>
  <si>
    <t>Threshold</t>
  </si>
  <si>
    <t>of NPV &gt; Threshold</t>
  </si>
  <si>
    <t>probability</t>
  </si>
  <si>
    <t>of death</t>
  </si>
  <si>
    <t>Probability of</t>
  </si>
  <si>
    <t>NPV &gt; Threshold</t>
  </si>
  <si>
    <t>------ Discount factors ------</t>
  </si>
  <si>
    <t>discount rate</t>
  </si>
  <si>
    <t>Minimum Payments</t>
  </si>
  <si>
    <t>Most upfront payemnts</t>
  </si>
  <si>
    <t>Value</t>
  </si>
  <si>
    <t>Constant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</si>
</sst>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&quot;$&quot;#,##0.0000"/>
    <numFmt numFmtId="167" formatCode="&quot;$&quot;#,##0.00"/>
    <numFmt numFmtId="168" formatCode="&quot;$&quot;#,##0"/>
    <numFmt numFmtId="169" formatCode="0.0%"/>
  </numFmts>
  <fonts count="12" x14ac:knownFonts="1">
    <font>
      <sz val="11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4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</font>
    <font>
      <b/>
      <sz val="12"/>
      <color rgb="FF4472C4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indent="1"/>
    </xf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165" fontId="4" fillId="0" borderId="0" xfId="0" applyNumberFormat="1" applyFo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10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5" fontId="1" fillId="2" borderId="0" xfId="0" applyNumberFormat="1" applyFont="1" applyFill="1" applyAlignment="1">
      <alignment horizontal="center"/>
    </xf>
    <xf numFmtId="168" fontId="4" fillId="0" borderId="0" xfId="0" applyNumberFormat="1" applyFont="1"/>
    <xf numFmtId="37" fontId="1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indent="1"/>
    </xf>
    <xf numFmtId="37" fontId="1" fillId="0" borderId="0" xfId="0" applyNumberFormat="1" applyFont="1"/>
    <xf numFmtId="0" fontId="6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37" fontId="4" fillId="0" borderId="0" xfId="0" applyNumberFormat="1" applyFont="1"/>
    <xf numFmtId="10" fontId="4" fillId="0" borderId="0" xfId="0" applyNumberFormat="1" applyFont="1" applyAlignment="1">
      <alignment horizontal="right" indent="1"/>
    </xf>
    <xf numFmtId="0" fontId="1" fillId="5" borderId="0" xfId="0" applyFont="1" applyFill="1" applyAlignment="1">
      <alignment horizontal="center"/>
    </xf>
    <xf numFmtId="37" fontId="1" fillId="5" borderId="0" xfId="0" applyNumberFormat="1" applyFont="1" applyFill="1" applyAlignment="1">
      <alignment horizontal="right" indent="1"/>
    </xf>
    <xf numFmtId="0" fontId="1" fillId="5" borderId="0" xfId="0" applyFont="1" applyFill="1"/>
    <xf numFmtId="169" fontId="5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37" fontId="1" fillId="0" borderId="0" xfId="0" applyNumberFormat="1" applyFont="1" applyAlignment="1">
      <alignment horizontal="right" indent="1"/>
    </xf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37" fontId="1" fillId="3" borderId="0" xfId="0" applyNumberFormat="1" applyFont="1" applyFill="1" applyAlignment="1">
      <alignment horizontal="right" indent="1"/>
    </xf>
    <xf numFmtId="165" fontId="1" fillId="4" borderId="0" xfId="0" applyNumberFormat="1" applyFont="1" applyFill="1" applyAlignment="1">
      <alignment horizontal="right" indent="1"/>
    </xf>
    <xf numFmtId="37" fontId="1" fillId="6" borderId="0" xfId="0" applyNumberFormat="1" applyFont="1" applyFill="1" applyAlignment="1">
      <alignment horizontal="right" indent="1"/>
    </xf>
    <xf numFmtId="0" fontId="1" fillId="4" borderId="0" xfId="0" applyFont="1" applyFill="1" applyAlignment="1">
      <alignment horizontal="right" indent="1"/>
    </xf>
    <xf numFmtId="0" fontId="1" fillId="5" borderId="0" xfId="0" applyFont="1" applyFill="1" applyAlignment="1">
      <alignment horizontal="right" inden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 indent="1"/>
    </xf>
    <xf numFmtId="37" fontId="8" fillId="0" borderId="0" xfId="0" applyNumberFormat="1" applyFont="1" applyAlignment="1">
      <alignment horizontal="right" indent="1"/>
    </xf>
    <xf numFmtId="165" fontId="8" fillId="0" borderId="0" xfId="0" applyNumberFormat="1" applyFont="1"/>
    <xf numFmtId="165" fontId="1" fillId="0" borderId="0" xfId="0" applyNumberFormat="1" applyFont="1" applyAlignment="1">
      <alignment horizontal="right" indent="1"/>
    </xf>
    <xf numFmtId="0" fontId="1" fillId="0" borderId="0" xfId="0" quotePrefix="1" applyFont="1"/>
    <xf numFmtId="0" fontId="9" fillId="0" borderId="0" xfId="0" applyFont="1" applyAlignment="1">
      <alignment horizontal="right" indent="1"/>
    </xf>
    <xf numFmtId="37" fontId="9" fillId="0" borderId="0" xfId="0" applyNumberFormat="1" applyFont="1" applyAlignment="1">
      <alignment horizontal="right" indent="1"/>
    </xf>
    <xf numFmtId="165" fontId="9" fillId="0" borderId="0" xfId="0" applyNumberFormat="1" applyFont="1" applyAlignment="1">
      <alignment horizontal="right" indent="1"/>
    </xf>
    <xf numFmtId="37" fontId="5" fillId="5" borderId="0" xfId="0" applyNumberFormat="1" applyFont="1" applyFill="1" applyAlignment="1">
      <alignment horizontal="right" inden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7" fontId="10" fillId="0" borderId="0" xfId="0" applyNumberFormat="1" applyFont="1"/>
    <xf numFmtId="37" fontId="11" fillId="7" borderId="0" xfId="0" applyNumberFormat="1" applyFont="1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E8F7-753D-43A8-83A8-C40EC45FAB47}">
  <dimension ref="B2:W64"/>
  <sheetViews>
    <sheetView topLeftCell="H2" zoomScale="107" zoomScaleNormal="223" workbookViewId="0">
      <selection activeCell="K13" sqref="K13"/>
    </sheetView>
  </sheetViews>
  <sheetFormatPr baseColWidth="10" defaultColWidth="9.1640625" defaultRowHeight="16" x14ac:dyDescent="0.2"/>
  <cols>
    <col min="1" max="1" width="9.1640625" style="1"/>
    <col min="2" max="3" width="9.6640625" style="1" customWidth="1"/>
    <col min="4" max="8" width="18.6640625" style="1" customWidth="1"/>
    <col min="9" max="9" width="10.6640625" style="1" customWidth="1"/>
    <col min="10" max="15" width="18.6640625" style="1" customWidth="1"/>
    <col min="16" max="17" width="16.5" style="1" customWidth="1"/>
    <col min="18" max="18" width="10.6640625" style="1" customWidth="1"/>
    <col min="19" max="20" width="18.6640625" style="1" customWidth="1"/>
    <col min="21" max="21" width="9.1640625" style="1"/>
    <col min="22" max="22" width="9.6640625" style="1" customWidth="1"/>
    <col min="23" max="23" width="18.6640625" style="1" customWidth="1"/>
    <col min="24" max="16384" width="9.1640625" style="1"/>
  </cols>
  <sheetData>
    <row r="2" spans="2:23" ht="19" x14ac:dyDescent="0.25">
      <c r="B2" s="5" t="s">
        <v>21</v>
      </c>
      <c r="M2" s="30"/>
    </row>
    <row r="3" spans="2:23" x14ac:dyDescent="0.2">
      <c r="J3" s="23" t="s">
        <v>41</v>
      </c>
      <c r="M3" s="30"/>
    </row>
    <row r="4" spans="2:23" x14ac:dyDescent="0.2">
      <c r="J4" s="20">
        <v>1000000</v>
      </c>
      <c r="M4" s="25"/>
    </row>
    <row r="7" spans="2:23" x14ac:dyDescent="0.2">
      <c r="B7" s="2" t="s">
        <v>1</v>
      </c>
      <c r="J7" s="22" t="s">
        <v>42</v>
      </c>
    </row>
    <row r="9" spans="2:23" x14ac:dyDescent="0.2">
      <c r="D9" s="3"/>
      <c r="E9" s="3"/>
      <c r="F9" s="3"/>
      <c r="H9" s="3"/>
      <c r="J9" s="12" t="s">
        <v>3</v>
      </c>
      <c r="K9" s="4" t="s">
        <v>3</v>
      </c>
      <c r="L9" s="12" t="s">
        <v>3</v>
      </c>
      <c r="M9" s="12" t="s">
        <v>3</v>
      </c>
      <c r="N9" s="12" t="s">
        <v>3</v>
      </c>
      <c r="O9" s="12" t="s">
        <v>3</v>
      </c>
      <c r="P9" s="12" t="s">
        <v>17</v>
      </c>
      <c r="Q9" s="12" t="s">
        <v>17</v>
      </c>
      <c r="S9" s="12" t="s">
        <v>3</v>
      </c>
      <c r="T9" s="12" t="s">
        <v>3</v>
      </c>
    </row>
    <row r="10" spans="2:23" x14ac:dyDescent="0.2">
      <c r="B10" s="4" t="s">
        <v>3</v>
      </c>
      <c r="C10" s="4" t="s">
        <v>3</v>
      </c>
      <c r="D10" s="3" t="s">
        <v>24</v>
      </c>
      <c r="E10" s="3" t="s">
        <v>26</v>
      </c>
      <c r="F10" s="3"/>
      <c r="G10" s="3" t="s">
        <v>28</v>
      </c>
      <c r="H10" s="3" t="s">
        <v>31</v>
      </c>
      <c r="J10" s="13" t="s">
        <v>33</v>
      </c>
      <c r="K10" s="3"/>
      <c r="L10" s="13" t="s">
        <v>24</v>
      </c>
      <c r="M10" s="13" t="s">
        <v>26</v>
      </c>
      <c r="N10" s="13"/>
      <c r="O10" s="13" t="s">
        <v>37</v>
      </c>
      <c r="P10" s="14"/>
      <c r="Q10" s="13" t="s">
        <v>35</v>
      </c>
      <c r="S10" s="15"/>
      <c r="T10" s="19" t="s">
        <v>39</v>
      </c>
      <c r="V10" s="4" t="s">
        <v>3</v>
      </c>
      <c r="W10" s="3"/>
    </row>
    <row r="11" spans="2:23" x14ac:dyDescent="0.2">
      <c r="B11" s="3" t="s">
        <v>0</v>
      </c>
      <c r="C11" s="3" t="s">
        <v>2</v>
      </c>
      <c r="D11" s="3" t="s">
        <v>25</v>
      </c>
      <c r="E11" s="3" t="s">
        <v>25</v>
      </c>
      <c r="F11" s="3" t="s">
        <v>27</v>
      </c>
      <c r="G11" s="3" t="s">
        <v>29</v>
      </c>
      <c r="H11" s="3" t="s">
        <v>32</v>
      </c>
      <c r="J11" s="13" t="s">
        <v>34</v>
      </c>
      <c r="K11" s="3" t="s">
        <v>24</v>
      </c>
      <c r="L11" s="13" t="s">
        <v>25</v>
      </c>
      <c r="M11" s="13" t="s">
        <v>25</v>
      </c>
      <c r="N11" s="13" t="s">
        <v>27</v>
      </c>
      <c r="O11" s="13" t="s">
        <v>38</v>
      </c>
      <c r="P11" s="13" t="s">
        <v>31</v>
      </c>
      <c r="Q11" s="13" t="s">
        <v>34</v>
      </c>
      <c r="S11" s="13" t="s">
        <v>36</v>
      </c>
      <c r="T11" s="13" t="s">
        <v>40</v>
      </c>
      <c r="V11" s="3" t="s">
        <v>0</v>
      </c>
      <c r="W11" s="3"/>
    </row>
    <row r="12" spans="2:23" x14ac:dyDescent="0.2">
      <c r="J12" s="14"/>
      <c r="L12" s="14"/>
      <c r="M12" s="14"/>
      <c r="N12" s="14"/>
      <c r="O12" s="14"/>
      <c r="P12" s="14"/>
      <c r="Q12" s="14"/>
      <c r="S12" s="14"/>
      <c r="T12" s="14"/>
    </row>
    <row r="13" spans="2:23" x14ac:dyDescent="0.2">
      <c r="B13" s="9">
        <v>21</v>
      </c>
      <c r="C13" s="9">
        <v>80</v>
      </c>
      <c r="D13" s="16">
        <v>0.02</v>
      </c>
      <c r="E13" s="17">
        <v>0</v>
      </c>
      <c r="F13" s="18">
        <f>12.5*12</f>
        <v>150</v>
      </c>
      <c r="G13" s="11">
        <v>25.383541035969568</v>
      </c>
      <c r="H13" s="16">
        <v>5.6399999999999999E-2</v>
      </c>
      <c r="J13" s="21">
        <v>209000</v>
      </c>
      <c r="K13" s="30">
        <v>93725.19</v>
      </c>
      <c r="L13" s="21">
        <f>-K13*D13</f>
        <v>-1874.5038000000002</v>
      </c>
      <c r="M13" s="21">
        <f t="shared" ref="M13:M32" si="0">-($J$4/1000)*E13</f>
        <v>0</v>
      </c>
      <c r="N13" s="21">
        <f>-F13</f>
        <v>-150</v>
      </c>
      <c r="O13" s="21">
        <f>-G13*(T13/1000)</f>
        <v>-17750.69282826766</v>
      </c>
      <c r="P13" s="21">
        <f>SUM(J13:O13)*H13</f>
        <v>15958.379626165704</v>
      </c>
      <c r="Q13" s="21">
        <f>SUM(J13:P13)</f>
        <v>298908.37299789808</v>
      </c>
      <c r="R13" s="25"/>
      <c r="S13" s="21">
        <v>1000000</v>
      </c>
      <c r="T13" s="21">
        <f>S13-SUM(J13:N13)</f>
        <v>699299.3138</v>
      </c>
      <c r="V13" s="26">
        <f>B13</f>
        <v>21</v>
      </c>
    </row>
    <row r="14" spans="2:23" x14ac:dyDescent="0.2">
      <c r="B14" s="1">
        <f>B13+1</f>
        <v>22</v>
      </c>
      <c r="C14" s="1">
        <f>C13+1</f>
        <v>81</v>
      </c>
      <c r="D14" s="16">
        <f>$D$13</f>
        <v>0.02</v>
      </c>
      <c r="E14" s="17">
        <f>$E$13</f>
        <v>0</v>
      </c>
      <c r="F14" s="18">
        <f t="shared" ref="F14:F32" si="1">12.5*12</f>
        <v>150</v>
      </c>
      <c r="G14" s="11">
        <v>28.767618047127172</v>
      </c>
      <c r="H14" s="16">
        <v>5.6399999999999999E-2</v>
      </c>
      <c r="J14" s="21">
        <f>Q13</f>
        <v>298908.37299789808</v>
      </c>
      <c r="K14" s="30">
        <v>84857.21</v>
      </c>
      <c r="L14" s="21">
        <f t="shared" ref="L14:L32" si="2">-K14*D14</f>
        <v>-1697.1442000000002</v>
      </c>
      <c r="M14" s="21">
        <f t="shared" si="0"/>
        <v>0</v>
      </c>
      <c r="N14" s="21">
        <f t="shared" ref="N14:N32" si="3">-F14</f>
        <v>-150</v>
      </c>
      <c r="O14" s="21">
        <f t="shared" ref="O14:O32" si="4">-G14*(T14/1000)</f>
        <v>-17780.734274634124</v>
      </c>
      <c r="P14" s="21">
        <f t="shared" ref="P14:P32" si="5">SUM(J14:O14)*H14</f>
        <v>20537.366535112091</v>
      </c>
      <c r="Q14" s="21">
        <f t="shared" ref="Q14:Q32" si="6">SUM(J14:P14)</f>
        <v>384675.07105837611</v>
      </c>
      <c r="R14" s="25"/>
      <c r="S14" s="21">
        <v>1000000</v>
      </c>
      <c r="T14" s="21">
        <f t="shared" ref="T14:T32" si="7">S14-SUM(J14:N14)</f>
        <v>618081.56120210188</v>
      </c>
      <c r="V14" s="26">
        <f t="shared" ref="V14:V32" si="8">B14</f>
        <v>22</v>
      </c>
    </row>
    <row r="15" spans="2:23" x14ac:dyDescent="0.2">
      <c r="B15" s="1">
        <f t="shared" ref="B15:B32" si="9">B14+1</f>
        <v>23</v>
      </c>
      <c r="C15" s="1">
        <f t="shared" ref="C15:C32" si="10">C14+1</f>
        <v>82</v>
      </c>
      <c r="D15" s="16">
        <f t="shared" ref="D15:D32" si="11">$D$13</f>
        <v>0.02</v>
      </c>
      <c r="E15" s="17">
        <f t="shared" ref="E15:E32" si="12">$E$13</f>
        <v>0</v>
      </c>
      <c r="F15" s="18">
        <f t="shared" si="1"/>
        <v>150</v>
      </c>
      <c r="G15" s="11">
        <v>32.284083350261774</v>
      </c>
      <c r="H15" s="16">
        <v>5.6399999999999999E-2</v>
      </c>
      <c r="J15" s="21">
        <f t="shared" ref="J15:J32" si="13">Q14</f>
        <v>384675.07105837611</v>
      </c>
      <c r="K15" s="30">
        <v>27488.98</v>
      </c>
      <c r="L15" s="21">
        <f t="shared" si="2"/>
        <v>-549.77959999999996</v>
      </c>
      <c r="M15" s="21">
        <f t="shared" si="0"/>
        <v>0</v>
      </c>
      <c r="N15" s="21">
        <f t="shared" si="3"/>
        <v>-150</v>
      </c>
      <c r="O15" s="21">
        <f t="shared" si="4"/>
        <v>-19000.336514844825</v>
      </c>
      <c r="P15" s="21">
        <f t="shared" si="5"/>
        <v>22134.96593081516</v>
      </c>
      <c r="Q15" s="21">
        <f t="shared" si="6"/>
        <v>414598.90087434638</v>
      </c>
      <c r="R15" s="25"/>
      <c r="S15" s="21">
        <v>1000000</v>
      </c>
      <c r="T15" s="21">
        <f t="shared" si="7"/>
        <v>588535.72854162392</v>
      </c>
      <c r="V15" s="26">
        <f t="shared" si="8"/>
        <v>23</v>
      </c>
    </row>
    <row r="16" spans="2:23" x14ac:dyDescent="0.2">
      <c r="B16" s="1">
        <f t="shared" si="9"/>
        <v>24</v>
      </c>
      <c r="C16" s="1">
        <f t="shared" si="10"/>
        <v>83</v>
      </c>
      <c r="D16" s="16">
        <f t="shared" si="11"/>
        <v>0.02</v>
      </c>
      <c r="E16" s="17">
        <f t="shared" si="12"/>
        <v>0</v>
      </c>
      <c r="F16" s="18">
        <f t="shared" si="1"/>
        <v>150</v>
      </c>
      <c r="G16" s="11">
        <v>36.107963944098586</v>
      </c>
      <c r="H16" s="16">
        <v>5.6399999999999999E-2</v>
      </c>
      <c r="J16" s="21">
        <f t="shared" si="13"/>
        <v>414598.90087434638</v>
      </c>
      <c r="K16" s="30">
        <v>7035.36</v>
      </c>
      <c r="L16" s="21">
        <f t="shared" si="2"/>
        <v>-140.7072</v>
      </c>
      <c r="M16" s="21">
        <f t="shared" si="0"/>
        <v>0</v>
      </c>
      <c r="N16" s="21">
        <f t="shared" si="3"/>
        <v>-150</v>
      </c>
      <c r="O16" s="21">
        <f t="shared" si="4"/>
        <v>-20894.106099946923</v>
      </c>
      <c r="P16" s="21">
        <f t="shared" si="5"/>
        <v>22585.348843196127</v>
      </c>
      <c r="Q16" s="21">
        <f t="shared" si="6"/>
        <v>423034.79641759553</v>
      </c>
      <c r="R16" s="25"/>
      <c r="S16" s="21">
        <v>1000000</v>
      </c>
      <c r="T16" s="21">
        <f t="shared" si="7"/>
        <v>578656.4463256537</v>
      </c>
      <c r="V16" s="26">
        <f t="shared" si="8"/>
        <v>24</v>
      </c>
    </row>
    <row r="17" spans="2:22" x14ac:dyDescent="0.2">
      <c r="B17" s="1">
        <f t="shared" si="9"/>
        <v>25</v>
      </c>
      <c r="C17" s="1">
        <f t="shared" si="10"/>
        <v>84</v>
      </c>
      <c r="D17" s="16">
        <f t="shared" si="11"/>
        <v>0.02</v>
      </c>
      <c r="E17" s="17">
        <f t="shared" si="12"/>
        <v>0</v>
      </c>
      <c r="F17" s="18">
        <f t="shared" si="1"/>
        <v>150</v>
      </c>
      <c r="G17" s="11">
        <v>40.056118589484363</v>
      </c>
      <c r="H17" s="16">
        <v>5.6399999999999999E-2</v>
      </c>
      <c r="J17" s="21">
        <f t="shared" si="13"/>
        <v>423034.79641759553</v>
      </c>
      <c r="K17" s="30">
        <v>0</v>
      </c>
      <c r="L17" s="21">
        <f t="shared" si="2"/>
        <v>0</v>
      </c>
      <c r="M17" s="21">
        <f t="shared" si="0"/>
        <v>0</v>
      </c>
      <c r="N17" s="21">
        <f t="shared" si="3"/>
        <v>-150</v>
      </c>
      <c r="O17" s="21">
        <f t="shared" si="4"/>
        <v>-23116.995034491203</v>
      </c>
      <c r="P17" s="21">
        <f t="shared" si="5"/>
        <v>22546.903998007085</v>
      </c>
      <c r="Q17" s="21">
        <f t="shared" si="6"/>
        <v>422314.70538111142</v>
      </c>
      <c r="R17" s="25"/>
      <c r="S17" s="21">
        <v>1000000</v>
      </c>
      <c r="T17" s="21">
        <f t="shared" si="7"/>
        <v>577115.20358240441</v>
      </c>
      <c r="V17" s="26">
        <f t="shared" si="8"/>
        <v>25</v>
      </c>
    </row>
    <row r="18" spans="2:22" x14ac:dyDescent="0.2">
      <c r="B18" s="1">
        <f t="shared" si="9"/>
        <v>26</v>
      </c>
      <c r="C18" s="1">
        <f t="shared" si="10"/>
        <v>85</v>
      </c>
      <c r="D18" s="16">
        <f t="shared" si="11"/>
        <v>0.02</v>
      </c>
      <c r="E18" s="17">
        <f t="shared" si="12"/>
        <v>0</v>
      </c>
      <c r="F18" s="18">
        <f t="shared" si="1"/>
        <v>150</v>
      </c>
      <c r="G18" s="11">
        <v>44.928400952631129</v>
      </c>
      <c r="H18" s="16">
        <v>5.6399999999999999E-2</v>
      </c>
      <c r="J18" s="21">
        <f t="shared" si="13"/>
        <v>422314.70538111142</v>
      </c>
      <c r="K18" s="30">
        <v>0</v>
      </c>
      <c r="L18" s="21">
        <f t="shared" si="2"/>
        <v>0</v>
      </c>
      <c r="M18" s="21">
        <f t="shared" si="0"/>
        <v>0</v>
      </c>
      <c r="N18" s="21">
        <f t="shared" si="3"/>
        <v>-150</v>
      </c>
      <c r="O18" s="21">
        <f t="shared" si="4"/>
        <v>-25961.215801219158</v>
      </c>
      <c r="P18" s="21">
        <f t="shared" si="5"/>
        <v>22345.876812305924</v>
      </c>
      <c r="Q18" s="21">
        <f t="shared" si="6"/>
        <v>418549.36639219819</v>
      </c>
      <c r="R18" s="25"/>
      <c r="S18" s="21">
        <v>1000000</v>
      </c>
      <c r="T18" s="21">
        <f t="shared" si="7"/>
        <v>577835.29461888853</v>
      </c>
      <c r="V18" s="26">
        <f t="shared" si="8"/>
        <v>26</v>
      </c>
    </row>
    <row r="19" spans="2:22" x14ac:dyDescent="0.2">
      <c r="B19" s="1">
        <f t="shared" si="9"/>
        <v>27</v>
      </c>
      <c r="C19" s="1">
        <f t="shared" si="10"/>
        <v>86</v>
      </c>
      <c r="D19" s="16">
        <f t="shared" si="11"/>
        <v>0.02</v>
      </c>
      <c r="E19" s="17">
        <f t="shared" si="12"/>
        <v>0</v>
      </c>
      <c r="F19" s="18">
        <f t="shared" si="1"/>
        <v>150</v>
      </c>
      <c r="G19" s="11">
        <v>49.749724942808022</v>
      </c>
      <c r="H19" s="16">
        <v>5.6399999999999999E-2</v>
      </c>
      <c r="J19" s="21">
        <f t="shared" si="13"/>
        <v>418549.36639219819</v>
      </c>
      <c r="K19" s="30">
        <v>0</v>
      </c>
      <c r="L19" s="21">
        <f>-K19*D19</f>
        <v>0</v>
      </c>
      <c r="M19" s="21">
        <f t="shared" si="0"/>
        <v>0</v>
      </c>
      <c r="N19" s="21">
        <f t="shared" si="3"/>
        <v>-150</v>
      </c>
      <c r="O19" s="21">
        <f t="shared" si="4"/>
        <v>-28934.471548551006</v>
      </c>
      <c r="P19" s="21">
        <f t="shared" si="5"/>
        <v>21965.8200691817</v>
      </c>
      <c r="Q19" s="21">
        <f t="shared" si="6"/>
        <v>411430.71491282887</v>
      </c>
      <c r="R19" s="25"/>
      <c r="S19" s="21">
        <v>1000000</v>
      </c>
      <c r="T19" s="21">
        <f t="shared" si="7"/>
        <v>581600.63360780175</v>
      </c>
      <c r="V19" s="26">
        <f t="shared" si="8"/>
        <v>27</v>
      </c>
    </row>
    <row r="20" spans="2:22" x14ac:dyDescent="0.2">
      <c r="B20" s="1">
        <f t="shared" si="9"/>
        <v>28</v>
      </c>
      <c r="C20" s="1">
        <f t="shared" si="10"/>
        <v>87</v>
      </c>
      <c r="D20" s="16">
        <f t="shared" si="11"/>
        <v>0.02</v>
      </c>
      <c r="E20" s="17">
        <f t="shared" si="12"/>
        <v>0</v>
      </c>
      <c r="F20" s="18">
        <f t="shared" si="1"/>
        <v>150</v>
      </c>
      <c r="G20" s="11">
        <v>56.758530756624133</v>
      </c>
      <c r="H20" s="16">
        <v>5.6399999999999999E-2</v>
      </c>
      <c r="J20" s="21">
        <f t="shared" si="13"/>
        <v>411430.71491282887</v>
      </c>
      <c r="K20" s="30">
        <v>0</v>
      </c>
      <c r="L20" s="21">
        <f>-K20*D20</f>
        <v>0</v>
      </c>
      <c r="M20" s="21">
        <f t="shared" si="0"/>
        <v>0</v>
      </c>
      <c r="N20" s="21">
        <f t="shared" si="3"/>
        <v>-150</v>
      </c>
      <c r="O20" s="21">
        <f t="shared" si="4"/>
        <v>-33414.841649637972</v>
      </c>
      <c r="P20" s="21">
        <f t="shared" si="5"/>
        <v>21311.635252043965</v>
      </c>
      <c r="Q20" s="21">
        <f t="shared" si="6"/>
        <v>399177.50851523486</v>
      </c>
      <c r="R20" s="25"/>
      <c r="S20" s="21">
        <v>1000000</v>
      </c>
      <c r="T20" s="21">
        <f t="shared" si="7"/>
        <v>588719.28508717113</v>
      </c>
      <c r="V20" s="26">
        <f t="shared" si="8"/>
        <v>28</v>
      </c>
    </row>
    <row r="21" spans="2:22" x14ac:dyDescent="0.2">
      <c r="B21" s="1">
        <f t="shared" si="9"/>
        <v>29</v>
      </c>
      <c r="C21" s="1">
        <f t="shared" si="10"/>
        <v>88</v>
      </c>
      <c r="D21" s="16">
        <f t="shared" si="11"/>
        <v>0.02</v>
      </c>
      <c r="E21" s="17">
        <f t="shared" si="12"/>
        <v>0</v>
      </c>
      <c r="F21" s="18">
        <f t="shared" si="1"/>
        <v>150</v>
      </c>
      <c r="G21" s="11">
        <v>65.814042410918603</v>
      </c>
      <c r="H21" s="16">
        <v>5.6399999999999999E-2</v>
      </c>
      <c r="J21" s="21">
        <f t="shared" si="13"/>
        <v>399177.50851523486</v>
      </c>
      <c r="K21" s="30">
        <v>0</v>
      </c>
      <c r="L21" s="21">
        <f t="shared" si="2"/>
        <v>0</v>
      </c>
      <c r="M21" s="21">
        <f t="shared" si="0"/>
        <v>0</v>
      </c>
      <c r="N21" s="21">
        <f t="shared" si="3"/>
        <v>-150</v>
      </c>
      <c r="O21" s="21">
        <f t="shared" si="4"/>
        <v>-39552.429042373755</v>
      </c>
      <c r="P21" s="21">
        <f t="shared" si="5"/>
        <v>20274.394482269367</v>
      </c>
      <c r="Q21" s="21">
        <f t="shared" si="6"/>
        <v>379749.4739551305</v>
      </c>
      <c r="R21" s="25"/>
      <c r="S21" s="21">
        <v>1000000</v>
      </c>
      <c r="T21" s="21">
        <f t="shared" si="7"/>
        <v>600972.4914847652</v>
      </c>
      <c r="V21" s="26">
        <f t="shared" si="8"/>
        <v>29</v>
      </c>
    </row>
    <row r="22" spans="2:22" x14ac:dyDescent="0.2">
      <c r="B22" s="1">
        <f t="shared" si="9"/>
        <v>30</v>
      </c>
      <c r="C22" s="1">
        <f t="shared" si="10"/>
        <v>89</v>
      </c>
      <c r="D22" s="16">
        <f t="shared" si="11"/>
        <v>0.02</v>
      </c>
      <c r="E22" s="17">
        <f t="shared" si="12"/>
        <v>0</v>
      </c>
      <c r="F22" s="18">
        <f t="shared" si="1"/>
        <v>150</v>
      </c>
      <c r="G22" s="11">
        <v>75.90539039640143</v>
      </c>
      <c r="H22" s="16">
        <v>5.6399999999999999E-2</v>
      </c>
      <c r="J22" s="21">
        <f t="shared" si="13"/>
        <v>379749.4739551305</v>
      </c>
      <c r="K22" s="30">
        <v>0</v>
      </c>
      <c r="L22" s="21">
        <f t="shared" si="2"/>
        <v>0</v>
      </c>
      <c r="M22" s="21">
        <f t="shared" si="0"/>
        <v>0</v>
      </c>
      <c r="N22" s="21">
        <f t="shared" si="3"/>
        <v>-150</v>
      </c>
      <c r="O22" s="21">
        <f t="shared" si="4"/>
        <v>-47091.744131568637</v>
      </c>
      <c r="P22" s="21">
        <f t="shared" si="5"/>
        <v>18753.435962048887</v>
      </c>
      <c r="Q22" s="21">
        <f t="shared" si="6"/>
        <v>351261.16578561073</v>
      </c>
      <c r="R22" s="25"/>
      <c r="S22" s="21">
        <v>1000000</v>
      </c>
      <c r="T22" s="21">
        <f t="shared" si="7"/>
        <v>620400.52604486956</v>
      </c>
      <c r="V22" s="26">
        <f t="shared" si="8"/>
        <v>30</v>
      </c>
    </row>
    <row r="23" spans="2:22" x14ac:dyDescent="0.2">
      <c r="B23" s="1">
        <f t="shared" si="9"/>
        <v>31</v>
      </c>
      <c r="C23" s="1">
        <f t="shared" si="10"/>
        <v>90</v>
      </c>
      <c r="D23" s="16">
        <f t="shared" si="11"/>
        <v>0.02</v>
      </c>
      <c r="E23" s="17">
        <f t="shared" si="12"/>
        <v>0</v>
      </c>
      <c r="F23" s="18">
        <f t="shared" si="1"/>
        <v>150</v>
      </c>
      <c r="G23" s="11">
        <v>86.850174717630694</v>
      </c>
      <c r="H23" s="16">
        <v>5.6399999999999999E-2</v>
      </c>
      <c r="J23" s="21">
        <f t="shared" si="13"/>
        <v>351261.16578561073</v>
      </c>
      <c r="K23" s="30">
        <v>0</v>
      </c>
      <c r="L23" s="21">
        <f t="shared" si="2"/>
        <v>0</v>
      </c>
      <c r="M23" s="21">
        <f t="shared" si="0"/>
        <v>0</v>
      </c>
      <c r="N23" s="21">
        <f t="shared" si="3"/>
        <v>-150</v>
      </c>
      <c r="O23" s="21">
        <f t="shared" si="4"/>
        <v>-56356.108623839413</v>
      </c>
      <c r="P23" s="21">
        <f t="shared" si="5"/>
        <v>16624.185223923905</v>
      </c>
      <c r="Q23" s="21">
        <f t="shared" si="6"/>
        <v>311379.24238569522</v>
      </c>
      <c r="R23" s="25"/>
      <c r="S23" s="21">
        <v>1000000</v>
      </c>
      <c r="T23" s="21">
        <f t="shared" si="7"/>
        <v>648888.83421438932</v>
      </c>
      <c r="V23" s="26">
        <f t="shared" si="8"/>
        <v>31</v>
      </c>
    </row>
    <row r="24" spans="2:22" x14ac:dyDescent="0.2">
      <c r="B24" s="1">
        <f t="shared" si="9"/>
        <v>32</v>
      </c>
      <c r="C24" s="1">
        <f t="shared" si="10"/>
        <v>91</v>
      </c>
      <c r="D24" s="16">
        <f t="shared" si="11"/>
        <v>0.02</v>
      </c>
      <c r="E24" s="17">
        <f t="shared" si="12"/>
        <v>0</v>
      </c>
      <c r="F24" s="18">
        <f t="shared" si="1"/>
        <v>150</v>
      </c>
      <c r="G24" s="11">
        <v>98.590725774819134</v>
      </c>
      <c r="H24" s="16">
        <v>5.6399999999999999E-2</v>
      </c>
      <c r="J24" s="21">
        <f t="shared" si="13"/>
        <v>311379.24238569522</v>
      </c>
      <c r="K24" s="30">
        <v>0</v>
      </c>
      <c r="L24" s="21">
        <f t="shared" si="2"/>
        <v>0</v>
      </c>
      <c r="M24" s="21">
        <f t="shared" si="0"/>
        <v>0</v>
      </c>
      <c r="N24" s="21">
        <f t="shared" si="3"/>
        <v>-150</v>
      </c>
      <c r="O24" s="21">
        <f t="shared" si="4"/>
        <v>-67906.408885666344</v>
      </c>
      <c r="P24" s="21">
        <f t="shared" si="5"/>
        <v>13723.407809401628</v>
      </c>
      <c r="Q24" s="21">
        <f t="shared" si="6"/>
        <v>257046.24130943051</v>
      </c>
      <c r="R24" s="25"/>
      <c r="S24" s="21">
        <v>1000000</v>
      </c>
      <c r="T24" s="21">
        <f t="shared" si="7"/>
        <v>688770.75761430478</v>
      </c>
      <c r="V24" s="26">
        <f t="shared" si="8"/>
        <v>32</v>
      </c>
    </row>
    <row r="25" spans="2:22" x14ac:dyDescent="0.2">
      <c r="B25" s="1">
        <f t="shared" si="9"/>
        <v>33</v>
      </c>
      <c r="C25" s="1">
        <f t="shared" si="10"/>
        <v>92</v>
      </c>
      <c r="D25" s="16">
        <f t="shared" si="11"/>
        <v>0.02</v>
      </c>
      <c r="E25" s="17">
        <f t="shared" si="12"/>
        <v>0</v>
      </c>
      <c r="F25" s="18">
        <f t="shared" si="1"/>
        <v>150</v>
      </c>
      <c r="G25" s="11">
        <v>110.71267119076612</v>
      </c>
      <c r="H25" s="16">
        <v>5.6399999999999999E-2</v>
      </c>
      <c r="J25" s="21">
        <f t="shared" si="13"/>
        <v>257046.24130943051</v>
      </c>
      <c r="K25" s="30">
        <v>0</v>
      </c>
      <c r="L25" s="21">
        <f t="shared" si="2"/>
        <v>0</v>
      </c>
      <c r="M25" s="21">
        <f t="shared" si="0"/>
        <v>0</v>
      </c>
      <c r="N25" s="21">
        <f t="shared" si="3"/>
        <v>-150</v>
      </c>
      <c r="O25" s="21">
        <f t="shared" si="4"/>
        <v>-82271.002096531432</v>
      </c>
      <c r="P25" s="21">
        <f t="shared" si="5"/>
        <v>9848.8634916075061</v>
      </c>
      <c r="Q25" s="21">
        <f t="shared" si="6"/>
        <v>184474.10270450657</v>
      </c>
      <c r="R25" s="25"/>
      <c r="S25" s="21">
        <v>1000000</v>
      </c>
      <c r="T25" s="21">
        <f t="shared" si="7"/>
        <v>743103.75869056955</v>
      </c>
      <c r="V25" s="26">
        <f t="shared" si="8"/>
        <v>33</v>
      </c>
    </row>
    <row r="26" spans="2:22" x14ac:dyDescent="0.2">
      <c r="B26" s="1">
        <f t="shared" si="9"/>
        <v>34</v>
      </c>
      <c r="C26" s="1">
        <f t="shared" si="10"/>
        <v>93</v>
      </c>
      <c r="D26" s="16">
        <f t="shared" si="11"/>
        <v>0.02</v>
      </c>
      <c r="E26" s="17">
        <f t="shared" si="12"/>
        <v>0</v>
      </c>
      <c r="F26" s="18">
        <f t="shared" si="1"/>
        <v>150</v>
      </c>
      <c r="G26" s="11">
        <v>123.05293551715033</v>
      </c>
      <c r="H26" s="16">
        <v>5.6399999999999999E-2</v>
      </c>
      <c r="J26" s="21">
        <f t="shared" si="13"/>
        <v>184474.10270450657</v>
      </c>
      <c r="K26" s="30">
        <v>13313.55</v>
      </c>
      <c r="L26" s="21">
        <f t="shared" si="2"/>
        <v>-266.27100000000002</v>
      </c>
      <c r="M26" s="21">
        <f t="shared" si="0"/>
        <v>0</v>
      </c>
      <c r="N26" s="21">
        <f t="shared" si="3"/>
        <v>-150</v>
      </c>
      <c r="O26" s="21">
        <f t="shared" si="4"/>
        <v>-98765.807611334822</v>
      </c>
      <c r="P26" s="21">
        <f t="shared" si="5"/>
        <v>5561.354378854885</v>
      </c>
      <c r="Q26" s="21">
        <f t="shared" si="6"/>
        <v>104166.92847202662</v>
      </c>
      <c r="R26" s="25"/>
      <c r="S26" s="21">
        <v>1000000</v>
      </c>
      <c r="T26" s="21">
        <f t="shared" si="7"/>
        <v>802628.61829549342</v>
      </c>
      <c r="V26" s="26">
        <f t="shared" si="8"/>
        <v>34</v>
      </c>
    </row>
    <row r="27" spans="2:22" x14ac:dyDescent="0.2">
      <c r="B27" s="1">
        <f t="shared" si="9"/>
        <v>35</v>
      </c>
      <c r="C27" s="1">
        <f t="shared" si="10"/>
        <v>94</v>
      </c>
      <c r="D27" s="16">
        <f t="shared" si="11"/>
        <v>0.02</v>
      </c>
      <c r="E27" s="17">
        <f t="shared" si="12"/>
        <v>0</v>
      </c>
      <c r="F27" s="18">
        <f t="shared" si="1"/>
        <v>150</v>
      </c>
      <c r="G27" s="11">
        <v>134.74291299576186</v>
      </c>
      <c r="H27" s="16">
        <v>5.6399999999999999E-2</v>
      </c>
      <c r="J27" s="21">
        <f t="shared" si="13"/>
        <v>104166.92847202662</v>
      </c>
      <c r="K27" s="30">
        <v>54829.45</v>
      </c>
      <c r="L27" s="21">
        <f t="shared" si="2"/>
        <v>-1096.5889999999999</v>
      </c>
      <c r="M27" s="21">
        <f t="shared" si="0"/>
        <v>0</v>
      </c>
      <c r="N27" s="21">
        <f t="shared" si="3"/>
        <v>-150</v>
      </c>
      <c r="O27" s="21">
        <f t="shared" si="4"/>
        <v>-113487.24683783283</v>
      </c>
      <c r="P27" s="21">
        <f t="shared" si="5"/>
        <v>2496.4074045685288</v>
      </c>
      <c r="Q27" s="21">
        <f t="shared" si="6"/>
        <v>46758.950038762297</v>
      </c>
      <c r="R27" s="25"/>
      <c r="S27" s="21">
        <v>1000000</v>
      </c>
      <c r="T27" s="21">
        <f t="shared" si="7"/>
        <v>842250.21052797337</v>
      </c>
      <c r="V27" s="26">
        <f t="shared" si="8"/>
        <v>35</v>
      </c>
    </row>
    <row r="28" spans="2:22" x14ac:dyDescent="0.2">
      <c r="B28" s="1">
        <f t="shared" si="9"/>
        <v>36</v>
      </c>
      <c r="C28" s="1">
        <f t="shared" si="10"/>
        <v>95</v>
      </c>
      <c r="D28" s="16">
        <f t="shared" si="11"/>
        <v>0.02</v>
      </c>
      <c r="E28" s="17">
        <f t="shared" si="12"/>
        <v>0</v>
      </c>
      <c r="F28" s="18">
        <f t="shared" si="1"/>
        <v>150</v>
      </c>
      <c r="G28" s="11">
        <v>155.61087311662118</v>
      </c>
      <c r="H28" s="16">
        <v>5.6399999999999999E-2</v>
      </c>
      <c r="J28" s="21">
        <f t="shared" si="13"/>
        <v>46758.950038762297</v>
      </c>
      <c r="K28" s="30">
        <v>101742.62</v>
      </c>
      <c r="L28" s="21">
        <f t="shared" si="2"/>
        <v>-2034.8524</v>
      </c>
      <c r="M28" s="21">
        <f t="shared" si="0"/>
        <v>0</v>
      </c>
      <c r="N28" s="21">
        <f t="shared" si="3"/>
        <v>-150</v>
      </c>
      <c r="O28" s="21">
        <f t="shared" si="4"/>
        <v>-132842.40093329526</v>
      </c>
      <c r="P28" s="21">
        <f t="shared" si="5"/>
        <v>759.95146218834066</v>
      </c>
      <c r="Q28" s="21">
        <f t="shared" si="6"/>
        <v>14234.268167655375</v>
      </c>
      <c r="R28" s="25"/>
      <c r="S28" s="21">
        <v>1000000</v>
      </c>
      <c r="T28" s="21">
        <f t="shared" si="7"/>
        <v>853683.28236123768</v>
      </c>
      <c r="V28" s="26">
        <f t="shared" si="8"/>
        <v>36</v>
      </c>
    </row>
    <row r="29" spans="2:22" x14ac:dyDescent="0.2">
      <c r="B29" s="1">
        <f t="shared" si="9"/>
        <v>37</v>
      </c>
      <c r="C29" s="1">
        <f t="shared" si="10"/>
        <v>96</v>
      </c>
      <c r="D29" s="16">
        <f t="shared" si="11"/>
        <v>0.02</v>
      </c>
      <c r="E29" s="17">
        <f t="shared" si="12"/>
        <v>0</v>
      </c>
      <c r="F29" s="18">
        <f t="shared" si="1"/>
        <v>150</v>
      </c>
      <c r="G29" s="11">
        <v>175.69532643627275</v>
      </c>
      <c r="H29" s="16">
        <v>5.6399999999999999E-2</v>
      </c>
      <c r="J29" s="21">
        <f t="shared" si="13"/>
        <v>14234.268167655375</v>
      </c>
      <c r="K29" s="30">
        <v>141815.95000000001</v>
      </c>
      <c r="L29" s="21">
        <f t="shared" si="2"/>
        <v>-2836.3190000000004</v>
      </c>
      <c r="M29" s="21">
        <f t="shared" si="0"/>
        <v>0</v>
      </c>
      <c r="N29" s="21">
        <f t="shared" si="3"/>
        <v>-150</v>
      </c>
      <c r="O29" s="21">
        <f t="shared" si="4"/>
        <v>-148802.7147064028</v>
      </c>
      <c r="P29" s="21">
        <f t="shared" si="5"/>
        <v>240.33080361464602</v>
      </c>
      <c r="Q29" s="21">
        <f t="shared" si="6"/>
        <v>4501.5152648672356</v>
      </c>
      <c r="R29" s="25"/>
      <c r="S29" s="21">
        <v>1000000</v>
      </c>
      <c r="T29" s="21">
        <f t="shared" si="7"/>
        <v>846936.10083234461</v>
      </c>
      <c r="V29" s="26">
        <f t="shared" si="8"/>
        <v>37</v>
      </c>
    </row>
    <row r="30" spans="2:22" x14ac:dyDescent="0.2">
      <c r="B30" s="1">
        <f t="shared" si="9"/>
        <v>38</v>
      </c>
      <c r="C30" s="1">
        <f t="shared" si="10"/>
        <v>97</v>
      </c>
      <c r="D30" s="16">
        <f t="shared" si="11"/>
        <v>0.02</v>
      </c>
      <c r="E30" s="17">
        <f t="shared" si="12"/>
        <v>0</v>
      </c>
      <c r="F30" s="18">
        <f t="shared" si="1"/>
        <v>150</v>
      </c>
      <c r="G30" s="11">
        <v>198.00223004750887</v>
      </c>
      <c r="H30" s="16">
        <v>5.6399999999999999E-2</v>
      </c>
      <c r="J30" s="21">
        <f t="shared" si="13"/>
        <v>4501.5152648672356</v>
      </c>
      <c r="K30" s="30">
        <v>176011.53</v>
      </c>
      <c r="L30" s="21">
        <f t="shared" si="2"/>
        <v>-3520.2305999999999</v>
      </c>
      <c r="M30" s="21">
        <f t="shared" si="0"/>
        <v>0</v>
      </c>
      <c r="N30" s="21">
        <f t="shared" si="3"/>
        <v>-150</v>
      </c>
      <c r="O30" s="21">
        <f t="shared" si="4"/>
        <v>-162986.95837598687</v>
      </c>
      <c r="P30" s="21">
        <f t="shared" si="5"/>
        <v>781.47029469285133</v>
      </c>
      <c r="Q30" s="21">
        <f t="shared" si="6"/>
        <v>14637.326583573195</v>
      </c>
      <c r="R30" s="25"/>
      <c r="S30" s="21">
        <v>1000000</v>
      </c>
      <c r="T30" s="21">
        <f t="shared" si="7"/>
        <v>823157.18533513276</v>
      </c>
      <c r="V30" s="26">
        <f t="shared" si="8"/>
        <v>38</v>
      </c>
    </row>
    <row r="31" spans="2:22" x14ac:dyDescent="0.2">
      <c r="B31" s="1">
        <f t="shared" si="9"/>
        <v>39</v>
      </c>
      <c r="C31" s="1">
        <f t="shared" si="10"/>
        <v>98</v>
      </c>
      <c r="D31" s="16">
        <f t="shared" si="11"/>
        <v>0.02</v>
      </c>
      <c r="E31" s="17">
        <f t="shared" si="12"/>
        <v>0</v>
      </c>
      <c r="F31" s="18">
        <f t="shared" si="1"/>
        <v>150</v>
      </c>
      <c r="G31" s="11">
        <v>222.6517391616967</v>
      </c>
      <c r="H31" s="16">
        <v>5.6399999999999999E-2</v>
      </c>
      <c r="J31" s="21">
        <f t="shared" si="13"/>
        <v>14637.326583573195</v>
      </c>
      <c r="K31" s="30">
        <v>171574.17</v>
      </c>
      <c r="L31" s="21">
        <f t="shared" si="2"/>
        <v>-3431.4834000000005</v>
      </c>
      <c r="M31" s="21">
        <f t="shared" si="0"/>
        <v>0</v>
      </c>
      <c r="N31" s="21">
        <f t="shared" si="3"/>
        <v>-150</v>
      </c>
      <c r="O31" s="21">
        <f t="shared" si="4"/>
        <v>-181988.84910325051</v>
      </c>
      <c r="P31" s="21">
        <f t="shared" si="5"/>
        <v>36.161654130199771</v>
      </c>
      <c r="Q31" s="21">
        <f t="shared" si="6"/>
        <v>677.32573445289074</v>
      </c>
      <c r="R31" s="25"/>
      <c r="S31" s="21">
        <v>1000000</v>
      </c>
      <c r="T31" s="21">
        <f t="shared" si="7"/>
        <v>817369.98681642674</v>
      </c>
      <c r="V31" s="26">
        <f t="shared" si="8"/>
        <v>39</v>
      </c>
    </row>
    <row r="32" spans="2:22" x14ac:dyDescent="0.2">
      <c r="B32" s="1">
        <f t="shared" si="9"/>
        <v>40</v>
      </c>
      <c r="C32" s="1">
        <f t="shared" si="10"/>
        <v>99</v>
      </c>
      <c r="D32" s="16">
        <f t="shared" si="11"/>
        <v>0.02</v>
      </c>
      <c r="E32" s="17">
        <f t="shared" si="12"/>
        <v>0</v>
      </c>
      <c r="F32" s="18">
        <f t="shared" si="1"/>
        <v>150</v>
      </c>
      <c r="G32" s="11">
        <v>249.76878569265389</v>
      </c>
      <c r="H32" s="16">
        <v>5.6399999999999999E-2</v>
      </c>
      <c r="J32" s="21">
        <f t="shared" si="13"/>
        <v>677.32573445289074</v>
      </c>
      <c r="K32" s="30">
        <v>203483.45</v>
      </c>
      <c r="L32" s="21">
        <f t="shared" si="2"/>
        <v>-4069.6690000000003</v>
      </c>
      <c r="M32" s="21">
        <f t="shared" si="0"/>
        <v>0</v>
      </c>
      <c r="N32" s="21">
        <f t="shared" si="3"/>
        <v>-150</v>
      </c>
      <c r="O32" s="21">
        <f t="shared" si="4"/>
        <v>-199829.73825354429</v>
      </c>
      <c r="P32" s="21">
        <f t="shared" si="5"/>
        <v>6.2811823232465187</v>
      </c>
      <c r="Q32" s="21">
        <f t="shared" si="6"/>
        <v>117.64966323187275</v>
      </c>
      <c r="R32" s="25"/>
      <c r="S32" s="21">
        <v>1000000</v>
      </c>
      <c r="T32" s="21">
        <f t="shared" si="7"/>
        <v>800058.89326554711</v>
      </c>
      <c r="V32" s="26">
        <f t="shared" si="8"/>
        <v>40</v>
      </c>
    </row>
    <row r="36" spans="2:10" x14ac:dyDescent="0.2">
      <c r="B36" s="1" t="s">
        <v>30</v>
      </c>
    </row>
    <row r="41" spans="2:10" x14ac:dyDescent="0.2">
      <c r="F41" s="1" t="s">
        <v>67</v>
      </c>
      <c r="H41" s="1" t="s">
        <v>64</v>
      </c>
      <c r="J41" s="1" t="s">
        <v>65</v>
      </c>
    </row>
    <row r="42" spans="2:10" x14ac:dyDescent="0.2">
      <c r="F42" s="30">
        <v>33632</v>
      </c>
      <c r="H42" s="67">
        <v>0</v>
      </c>
      <c r="J42" s="30">
        <v>299193.8</v>
      </c>
    </row>
    <row r="43" spans="2:10" x14ac:dyDescent="0.2">
      <c r="F43" s="30">
        <v>33632</v>
      </c>
      <c r="H43" s="67">
        <v>0</v>
      </c>
      <c r="J43" s="30">
        <v>0</v>
      </c>
    </row>
    <row r="44" spans="2:10" x14ac:dyDescent="0.2">
      <c r="F44" s="30">
        <v>33632</v>
      </c>
      <c r="H44" s="67">
        <v>0</v>
      </c>
      <c r="J44" s="30">
        <v>0</v>
      </c>
    </row>
    <row r="45" spans="2:10" x14ac:dyDescent="0.2">
      <c r="F45" s="30">
        <v>33632</v>
      </c>
      <c r="H45" s="67">
        <v>0</v>
      </c>
      <c r="J45" s="30">
        <v>0</v>
      </c>
    </row>
    <row r="46" spans="2:10" x14ac:dyDescent="0.2">
      <c r="F46" s="30">
        <v>33632</v>
      </c>
      <c r="H46" s="67">
        <v>0</v>
      </c>
      <c r="J46" s="30">
        <v>0</v>
      </c>
    </row>
    <row r="47" spans="2:10" x14ac:dyDescent="0.2">
      <c r="F47" s="30">
        <v>33632</v>
      </c>
      <c r="H47" s="67">
        <v>0</v>
      </c>
      <c r="J47" s="30">
        <v>0</v>
      </c>
    </row>
    <row r="48" spans="2:10" x14ac:dyDescent="0.2">
      <c r="F48" s="30">
        <v>33632</v>
      </c>
      <c r="H48" s="67">
        <v>0</v>
      </c>
      <c r="J48" s="30">
        <v>0</v>
      </c>
    </row>
    <row r="49" spans="6:10" x14ac:dyDescent="0.2">
      <c r="F49" s="30">
        <v>33632</v>
      </c>
      <c r="H49" s="67">
        <v>14800</v>
      </c>
      <c r="J49" s="30">
        <v>0</v>
      </c>
    </row>
    <row r="50" spans="6:10" x14ac:dyDescent="0.2">
      <c r="F50" s="30">
        <v>33632</v>
      </c>
      <c r="H50" s="67">
        <v>63165</v>
      </c>
      <c r="J50" s="30">
        <v>0</v>
      </c>
    </row>
    <row r="51" spans="6:10" x14ac:dyDescent="0.2">
      <c r="F51" s="30">
        <v>33632</v>
      </c>
      <c r="H51" s="67">
        <v>73165</v>
      </c>
      <c r="J51" s="30">
        <v>0</v>
      </c>
    </row>
    <row r="52" spans="6:10" x14ac:dyDescent="0.2">
      <c r="F52" s="30">
        <v>33632</v>
      </c>
      <c r="H52" s="67">
        <v>85000</v>
      </c>
      <c r="J52" s="30">
        <v>0</v>
      </c>
    </row>
    <row r="53" spans="6:10" x14ac:dyDescent="0.2">
      <c r="F53" s="30">
        <v>33632</v>
      </c>
      <c r="H53" s="67">
        <v>87000</v>
      </c>
      <c r="J53" s="30">
        <v>0</v>
      </c>
    </row>
    <row r="54" spans="6:10" x14ac:dyDescent="0.2">
      <c r="F54" s="30">
        <v>33632</v>
      </c>
      <c r="H54" s="67">
        <v>102000</v>
      </c>
      <c r="J54" s="30">
        <v>0</v>
      </c>
    </row>
    <row r="55" spans="6:10" x14ac:dyDescent="0.2">
      <c r="F55" s="30">
        <v>33632</v>
      </c>
      <c r="H55" s="67">
        <v>120000</v>
      </c>
      <c r="J55" s="30">
        <v>0</v>
      </c>
    </row>
    <row r="56" spans="6:10" x14ac:dyDescent="0.2">
      <c r="F56" s="30">
        <v>33632</v>
      </c>
      <c r="H56" s="67">
        <v>120000</v>
      </c>
      <c r="J56" s="30">
        <v>0</v>
      </c>
    </row>
    <row r="57" spans="6:10" x14ac:dyDescent="0.2">
      <c r="F57" s="30">
        <v>33632</v>
      </c>
      <c r="H57" s="67">
        <v>130000</v>
      </c>
      <c r="J57" s="30">
        <v>0</v>
      </c>
    </row>
    <row r="58" spans="6:10" x14ac:dyDescent="0.2">
      <c r="F58" s="30">
        <v>33632</v>
      </c>
      <c r="H58" s="67">
        <v>160000</v>
      </c>
      <c r="J58" s="30">
        <v>0</v>
      </c>
    </row>
    <row r="59" spans="6:10" x14ac:dyDescent="0.2">
      <c r="F59" s="30">
        <v>33632</v>
      </c>
      <c r="H59" s="67">
        <v>160000</v>
      </c>
      <c r="J59" s="30">
        <v>0</v>
      </c>
    </row>
    <row r="60" spans="6:10" x14ac:dyDescent="0.2">
      <c r="F60" s="30">
        <v>33632</v>
      </c>
      <c r="H60" s="67">
        <v>180000</v>
      </c>
      <c r="J60" s="30">
        <v>0</v>
      </c>
    </row>
    <row r="61" spans="6:10" x14ac:dyDescent="0.2">
      <c r="F61" s="30">
        <v>33632</v>
      </c>
      <c r="H61" s="67">
        <v>203056</v>
      </c>
      <c r="J61" s="30">
        <v>0</v>
      </c>
    </row>
    <row r="63" spans="6:10" x14ac:dyDescent="0.2">
      <c r="F63" s="1" t="s">
        <v>66</v>
      </c>
      <c r="H63" s="1" t="s">
        <v>66</v>
      </c>
      <c r="J63" s="1" t="s">
        <v>66</v>
      </c>
    </row>
    <row r="64" spans="6:10" x14ac:dyDescent="0.2">
      <c r="F64" s="58">
        <v>195677</v>
      </c>
      <c r="H64" s="68">
        <v>181317</v>
      </c>
      <c r="J64" s="58">
        <v>229414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C8D-6F92-48D4-9D8B-0894671DC3BF}">
  <dimension ref="B2:M35"/>
  <sheetViews>
    <sheetView zoomScale="125" workbookViewId="0">
      <selection activeCell="M13" sqref="M13"/>
    </sheetView>
  </sheetViews>
  <sheetFormatPr baseColWidth="10" defaultColWidth="9.1640625" defaultRowHeight="16" x14ac:dyDescent="0.2"/>
  <cols>
    <col min="1" max="1" width="9.1640625" style="1"/>
    <col min="2" max="3" width="9.6640625" style="1" customWidth="1"/>
    <col min="4" max="9" width="18.6640625" style="1" customWidth="1"/>
    <col min="10" max="10" width="8.6640625" style="1" customWidth="1"/>
    <col min="11" max="11" width="18.6640625" style="1" customWidth="1"/>
    <col min="12" max="13" width="16.5" style="1" customWidth="1"/>
    <col min="14" max="14" width="14.83203125" style="1" customWidth="1"/>
    <col min="15" max="16384" width="9.1640625" style="1"/>
  </cols>
  <sheetData>
    <row r="2" spans="2:13" ht="19" x14ac:dyDescent="0.25">
      <c r="B2" s="5" t="s">
        <v>13</v>
      </c>
    </row>
    <row r="7" spans="2:13" x14ac:dyDescent="0.2">
      <c r="B7" s="2" t="s">
        <v>1</v>
      </c>
    </row>
    <row r="9" spans="2:13" x14ac:dyDescent="0.2">
      <c r="D9" s="3" t="s">
        <v>4</v>
      </c>
      <c r="E9" s="3" t="s">
        <v>6</v>
      </c>
      <c r="F9" s="3" t="s">
        <v>20</v>
      </c>
      <c r="G9" s="3"/>
      <c r="H9" s="3"/>
      <c r="K9" s="12" t="s">
        <v>3</v>
      </c>
      <c r="L9" s="12" t="s">
        <v>17</v>
      </c>
      <c r="M9" s="12" t="s">
        <v>17</v>
      </c>
    </row>
    <row r="10" spans="2:13" x14ac:dyDescent="0.2">
      <c r="B10" s="4" t="s">
        <v>3</v>
      </c>
      <c r="C10" s="4" t="s">
        <v>3</v>
      </c>
      <c r="D10" s="3" t="s">
        <v>5</v>
      </c>
      <c r="E10" s="3" t="s">
        <v>7</v>
      </c>
      <c r="F10" s="3" t="s">
        <v>7</v>
      </c>
      <c r="G10" s="3" t="s">
        <v>11</v>
      </c>
      <c r="H10" s="3" t="s">
        <v>9</v>
      </c>
      <c r="I10" s="3" t="s">
        <v>11</v>
      </c>
      <c r="J10" s="3"/>
      <c r="K10" s="13" t="s">
        <v>14</v>
      </c>
      <c r="L10" s="14"/>
      <c r="M10" s="13" t="s">
        <v>14</v>
      </c>
    </row>
    <row r="11" spans="2:13" x14ac:dyDescent="0.2">
      <c r="B11" s="3" t="s">
        <v>0</v>
      </c>
      <c r="C11" s="3" t="s">
        <v>2</v>
      </c>
      <c r="D11" s="3" t="s">
        <v>10</v>
      </c>
      <c r="E11" s="3" t="s">
        <v>8</v>
      </c>
      <c r="F11" s="3" t="s">
        <v>8</v>
      </c>
      <c r="G11" s="3" t="s">
        <v>12</v>
      </c>
      <c r="H11" s="3" t="s">
        <v>8</v>
      </c>
      <c r="I11" s="3" t="s">
        <v>18</v>
      </c>
      <c r="J11" s="3"/>
      <c r="K11" s="13" t="s">
        <v>15</v>
      </c>
      <c r="L11" s="13" t="s">
        <v>16</v>
      </c>
      <c r="M11" s="13" t="s">
        <v>15</v>
      </c>
    </row>
    <row r="12" spans="2:13" x14ac:dyDescent="0.2">
      <c r="K12" s="14"/>
      <c r="L12" s="14"/>
      <c r="M12" s="14"/>
    </row>
    <row r="13" spans="2:13" x14ac:dyDescent="0.2">
      <c r="B13" s="24">
        <v>21</v>
      </c>
      <c r="C13" s="24">
        <v>80</v>
      </c>
      <c r="D13" s="8">
        <v>4.0559999999999997E-3</v>
      </c>
      <c r="E13" s="11">
        <v>0.01</v>
      </c>
      <c r="F13" s="10">
        <f>1-E13</f>
        <v>0.99</v>
      </c>
      <c r="G13" s="7">
        <f>D13*F13</f>
        <v>4.0154399999999995E-3</v>
      </c>
      <c r="H13" s="11">
        <v>0</v>
      </c>
      <c r="I13" s="7">
        <f>G13*(1+H13)</f>
        <v>4.0154399999999995E-3</v>
      </c>
      <c r="K13" s="15">
        <v>1</v>
      </c>
      <c r="L13" s="15">
        <f>K13*I13</f>
        <v>4.0154399999999995E-3</v>
      </c>
      <c r="M13" s="15">
        <f>K13-L13</f>
        <v>0.99598456000000002</v>
      </c>
    </row>
    <row r="14" spans="2:13" x14ac:dyDescent="0.2">
      <c r="B14" s="6">
        <f>B13+1</f>
        <v>22</v>
      </c>
      <c r="C14" s="6">
        <f>C13+1</f>
        <v>81</v>
      </c>
      <c r="D14" s="8">
        <v>6.6720000000000008E-3</v>
      </c>
      <c r="E14" s="11">
        <v>0.01</v>
      </c>
      <c r="F14" s="10">
        <f>F13*(1-E14)</f>
        <v>0.98009999999999997</v>
      </c>
      <c r="G14" s="7">
        <f t="shared" ref="G14:G32" si="0">D14*F14</f>
        <v>6.5392272000000008E-3</v>
      </c>
      <c r="H14" s="11">
        <v>0</v>
      </c>
      <c r="I14" s="7">
        <f t="shared" ref="I14:I32" si="1">G14*(1+H14)</f>
        <v>6.5392272000000008E-3</v>
      </c>
      <c r="K14" s="15">
        <f>M13</f>
        <v>0.99598456000000002</v>
      </c>
      <c r="L14" s="15">
        <f t="shared" ref="L14:L32" si="2">K14*I14</f>
        <v>6.5129693255320332E-3</v>
      </c>
      <c r="M14" s="15">
        <f t="shared" ref="M14:M32" si="3">K14-L14</f>
        <v>0.98947159067446799</v>
      </c>
    </row>
    <row r="15" spans="2:13" x14ac:dyDescent="0.2">
      <c r="B15" s="6">
        <f t="shared" ref="B15:C32" si="4">B14+1</f>
        <v>23</v>
      </c>
      <c r="C15" s="6">
        <f t="shared" si="4"/>
        <v>82</v>
      </c>
      <c r="D15" s="8">
        <v>1.1776000000000002E-2</v>
      </c>
      <c r="E15" s="11">
        <v>0.01</v>
      </c>
      <c r="F15" s="10">
        <f t="shared" ref="F15:F32" si="5">F14*(1-E15)</f>
        <v>0.97029899999999991</v>
      </c>
      <c r="G15" s="7">
        <f t="shared" si="0"/>
        <v>1.1426241024E-2</v>
      </c>
      <c r="H15" s="11">
        <v>0</v>
      </c>
      <c r="I15" s="7">
        <f t="shared" si="1"/>
        <v>1.1426241024E-2</v>
      </c>
      <c r="K15" s="15">
        <f t="shared" ref="K15:K32" si="6">M14</f>
        <v>0.98947159067446799</v>
      </c>
      <c r="L15" s="15">
        <f t="shared" si="2"/>
        <v>1.1305940881447141E-2</v>
      </c>
      <c r="M15" s="15">
        <f t="shared" si="3"/>
        <v>0.9781656497930209</v>
      </c>
    </row>
    <row r="16" spans="2:13" x14ac:dyDescent="0.2">
      <c r="B16" s="6">
        <f t="shared" si="4"/>
        <v>24</v>
      </c>
      <c r="C16" s="6">
        <f t="shared" si="4"/>
        <v>83</v>
      </c>
      <c r="D16" s="8">
        <v>1.7520000000000001E-2</v>
      </c>
      <c r="E16" s="11">
        <v>0.01</v>
      </c>
      <c r="F16" s="10">
        <f t="shared" si="5"/>
        <v>0.96059600999999994</v>
      </c>
      <c r="G16" s="7">
        <f t="shared" si="0"/>
        <v>1.6829642095199999E-2</v>
      </c>
      <c r="H16" s="11">
        <v>0</v>
      </c>
      <c r="I16" s="7">
        <f t="shared" si="1"/>
        <v>1.6829642095199999E-2</v>
      </c>
      <c r="K16" s="15">
        <f t="shared" si="6"/>
        <v>0.9781656497930209</v>
      </c>
      <c r="L16" s="15">
        <f t="shared" si="2"/>
        <v>1.6462177795835285E-2</v>
      </c>
      <c r="M16" s="15">
        <f t="shared" si="3"/>
        <v>0.96170347199718564</v>
      </c>
    </row>
    <row r="17" spans="2:13" x14ac:dyDescent="0.2">
      <c r="B17" s="6">
        <f t="shared" si="4"/>
        <v>25</v>
      </c>
      <c r="C17" s="6">
        <f t="shared" si="4"/>
        <v>84</v>
      </c>
      <c r="D17" s="8">
        <v>2.2664E-2</v>
      </c>
      <c r="E17" s="11">
        <v>0.01</v>
      </c>
      <c r="F17" s="10">
        <f t="shared" si="5"/>
        <v>0.95099004989999991</v>
      </c>
      <c r="G17" s="7">
        <f t="shared" si="0"/>
        <v>2.1553238490933598E-2</v>
      </c>
      <c r="H17" s="11">
        <v>0</v>
      </c>
      <c r="I17" s="7">
        <f t="shared" si="1"/>
        <v>2.1553238490933598E-2</v>
      </c>
      <c r="K17" s="15">
        <f t="shared" si="6"/>
        <v>0.96170347199718564</v>
      </c>
      <c r="L17" s="15">
        <f t="shared" si="2"/>
        <v>2.0727824289514224E-2</v>
      </c>
      <c r="M17" s="15">
        <f t="shared" si="3"/>
        <v>0.94097564770767139</v>
      </c>
    </row>
    <row r="18" spans="2:13" x14ac:dyDescent="0.2">
      <c r="B18" s="6">
        <f t="shared" si="4"/>
        <v>26</v>
      </c>
      <c r="C18" s="6">
        <f t="shared" si="4"/>
        <v>85</v>
      </c>
      <c r="D18" s="8">
        <v>2.8983999999999999E-2</v>
      </c>
      <c r="E18" s="11">
        <v>0.01</v>
      </c>
      <c r="F18" s="10">
        <f t="shared" si="5"/>
        <v>0.94148014940099989</v>
      </c>
      <c r="G18" s="7">
        <f t="shared" si="0"/>
        <v>2.7287860650238579E-2</v>
      </c>
      <c r="H18" s="11">
        <v>0</v>
      </c>
      <c r="I18" s="7">
        <f t="shared" si="1"/>
        <v>2.7287860650238579E-2</v>
      </c>
      <c r="K18" s="15">
        <f t="shared" si="6"/>
        <v>0.94097564770767139</v>
      </c>
      <c r="L18" s="15">
        <f t="shared" si="2"/>
        <v>2.5677212349914925E-2</v>
      </c>
      <c r="M18" s="15">
        <f t="shared" si="3"/>
        <v>0.91529843535775646</v>
      </c>
    </row>
    <row r="19" spans="2:13" x14ac:dyDescent="0.2">
      <c r="B19" s="6">
        <f t="shared" si="4"/>
        <v>27</v>
      </c>
      <c r="C19" s="6">
        <f t="shared" si="4"/>
        <v>86</v>
      </c>
      <c r="D19" s="8">
        <v>3.7968000000000002E-2</v>
      </c>
      <c r="E19" s="11">
        <v>0.01</v>
      </c>
      <c r="F19" s="10">
        <f t="shared" si="5"/>
        <v>0.93206534790698992</v>
      </c>
      <c r="G19" s="7">
        <f t="shared" si="0"/>
        <v>3.5388657129332597E-2</v>
      </c>
      <c r="H19" s="11">
        <v>0</v>
      </c>
      <c r="I19" s="7">
        <f t="shared" si="1"/>
        <v>3.5388657129332597E-2</v>
      </c>
      <c r="K19" s="15">
        <f t="shared" si="6"/>
        <v>0.91529843535775646</v>
      </c>
      <c r="L19" s="15">
        <f t="shared" si="2"/>
        <v>3.2391182499890238E-2</v>
      </c>
      <c r="M19" s="15">
        <f t="shared" si="3"/>
        <v>0.8829072528578662</v>
      </c>
    </row>
    <row r="20" spans="2:13" x14ac:dyDescent="0.2">
      <c r="B20" s="6">
        <f t="shared" si="4"/>
        <v>28</v>
      </c>
      <c r="C20" s="6">
        <f t="shared" si="4"/>
        <v>87</v>
      </c>
      <c r="D20" s="8">
        <v>4.9360000000000001E-2</v>
      </c>
      <c r="E20" s="11">
        <v>0.01</v>
      </c>
      <c r="F20" s="10">
        <f t="shared" si="5"/>
        <v>0.92274469442791995</v>
      </c>
      <c r="G20" s="7">
        <f t="shared" si="0"/>
        <v>4.5546678116962128E-2</v>
      </c>
      <c r="H20" s="11">
        <v>0</v>
      </c>
      <c r="I20" s="7">
        <f t="shared" si="1"/>
        <v>4.5546678116962128E-2</v>
      </c>
      <c r="K20" s="15">
        <f t="shared" si="6"/>
        <v>0.8829072528578662</v>
      </c>
      <c r="L20" s="15">
        <f t="shared" si="2"/>
        <v>4.0213492453048526E-2</v>
      </c>
      <c r="M20" s="15">
        <f t="shared" si="3"/>
        <v>0.84269376040481769</v>
      </c>
    </row>
    <row r="21" spans="2:13" x14ac:dyDescent="0.2">
      <c r="B21" s="6">
        <f t="shared" si="4"/>
        <v>29</v>
      </c>
      <c r="C21" s="6">
        <f t="shared" si="4"/>
        <v>88</v>
      </c>
      <c r="D21" s="8">
        <v>6.4032000000000006E-2</v>
      </c>
      <c r="E21" s="11">
        <v>0.01</v>
      </c>
      <c r="F21" s="10">
        <f t="shared" si="5"/>
        <v>0.91351724748364072</v>
      </c>
      <c r="G21" s="7">
        <f t="shared" si="0"/>
        <v>5.8494336390872488E-2</v>
      </c>
      <c r="H21" s="11">
        <v>0</v>
      </c>
      <c r="I21" s="7">
        <f t="shared" si="1"/>
        <v>5.8494336390872488E-2</v>
      </c>
      <c r="K21" s="15">
        <f t="shared" si="6"/>
        <v>0.84269376040481769</v>
      </c>
      <c r="L21" s="15">
        <f t="shared" si="2"/>
        <v>4.9292812295608709E-2</v>
      </c>
      <c r="M21" s="15">
        <f t="shared" si="3"/>
        <v>0.79340094810920903</v>
      </c>
    </row>
    <row r="22" spans="2:13" x14ac:dyDescent="0.2">
      <c r="B22" s="6">
        <f t="shared" si="4"/>
        <v>30</v>
      </c>
      <c r="C22" s="6">
        <f t="shared" si="4"/>
        <v>89</v>
      </c>
      <c r="D22" s="8">
        <v>8.3352000000000009E-2</v>
      </c>
      <c r="E22" s="11">
        <v>0.01</v>
      </c>
      <c r="F22" s="10">
        <f t="shared" si="5"/>
        <v>0.9043820750088043</v>
      </c>
      <c r="G22" s="7">
        <f t="shared" si="0"/>
        <v>7.5382054716133864E-2</v>
      </c>
      <c r="H22" s="11">
        <v>0</v>
      </c>
      <c r="I22" s="7">
        <f t="shared" si="1"/>
        <v>7.5382054716133864E-2</v>
      </c>
      <c r="K22" s="15">
        <f t="shared" si="6"/>
        <v>0.79340094810920903</v>
      </c>
      <c r="L22" s="15">
        <f t="shared" si="2"/>
        <v>5.9808193682200882E-2</v>
      </c>
      <c r="M22" s="15">
        <f t="shared" si="3"/>
        <v>0.73359275442700811</v>
      </c>
    </row>
    <row r="23" spans="2:13" x14ac:dyDescent="0.2">
      <c r="B23" s="6">
        <f t="shared" si="4"/>
        <v>31</v>
      </c>
      <c r="C23" s="6">
        <f t="shared" si="4"/>
        <v>90</v>
      </c>
      <c r="D23" s="8">
        <v>0.108296</v>
      </c>
      <c r="E23" s="11">
        <v>0.01</v>
      </c>
      <c r="F23" s="10">
        <f t="shared" si="5"/>
        <v>0.89533825425871627</v>
      </c>
      <c r="G23" s="7">
        <f t="shared" si="0"/>
        <v>9.6961551583201938E-2</v>
      </c>
      <c r="H23" s="11">
        <v>0</v>
      </c>
      <c r="I23" s="7">
        <f t="shared" si="1"/>
        <v>9.6961551583201938E-2</v>
      </c>
      <c r="K23" s="15">
        <f t="shared" si="6"/>
        <v>0.73359275442700811</v>
      </c>
      <c r="L23" s="15">
        <f t="shared" si="2"/>
        <v>7.1130291699437534E-2</v>
      </c>
      <c r="M23" s="15">
        <f t="shared" si="3"/>
        <v>0.66246246272757059</v>
      </c>
    </row>
    <row r="24" spans="2:13" x14ac:dyDescent="0.2">
      <c r="B24" s="6">
        <f t="shared" si="4"/>
        <v>32</v>
      </c>
      <c r="C24" s="6">
        <f t="shared" si="4"/>
        <v>91</v>
      </c>
      <c r="D24" s="8">
        <v>0.127832</v>
      </c>
      <c r="E24" s="11">
        <v>0.01</v>
      </c>
      <c r="F24" s="10">
        <f t="shared" si="5"/>
        <v>0.88638487171612912</v>
      </c>
      <c r="G24" s="7">
        <f t="shared" si="0"/>
        <v>0.11330835092121622</v>
      </c>
      <c r="H24" s="11">
        <v>0</v>
      </c>
      <c r="I24" s="7">
        <f t="shared" si="1"/>
        <v>0.11330835092121622</v>
      </c>
      <c r="K24" s="15">
        <f t="shared" si="6"/>
        <v>0.66246246272757059</v>
      </c>
      <c r="L24" s="15">
        <f t="shared" si="2"/>
        <v>7.5062529198868688E-2</v>
      </c>
      <c r="M24" s="15">
        <f t="shared" si="3"/>
        <v>0.5873999335287019</v>
      </c>
    </row>
    <row r="25" spans="2:13" x14ac:dyDescent="0.2">
      <c r="B25" s="6">
        <f t="shared" si="4"/>
        <v>33</v>
      </c>
      <c r="C25" s="6">
        <f t="shared" si="4"/>
        <v>92</v>
      </c>
      <c r="D25" s="8">
        <v>0.14024</v>
      </c>
      <c r="E25" s="11">
        <v>0.01</v>
      </c>
      <c r="F25" s="10">
        <f t="shared" si="5"/>
        <v>0.87752102299896784</v>
      </c>
      <c r="G25" s="7">
        <f t="shared" si="0"/>
        <v>0.12306354826537526</v>
      </c>
      <c r="H25" s="11">
        <v>0</v>
      </c>
      <c r="I25" s="7">
        <f t="shared" si="1"/>
        <v>0.12306354826537526</v>
      </c>
      <c r="K25" s="15">
        <f t="shared" si="6"/>
        <v>0.5873999335287019</v>
      </c>
      <c r="L25" s="15">
        <f t="shared" si="2"/>
        <v>7.2287520070887623E-2</v>
      </c>
      <c r="M25" s="15">
        <f t="shared" si="3"/>
        <v>0.51511241345781422</v>
      </c>
    </row>
    <row r="26" spans="2:13" x14ac:dyDescent="0.2">
      <c r="B26" s="6">
        <f t="shared" si="4"/>
        <v>34</v>
      </c>
      <c r="C26" s="6">
        <f t="shared" si="4"/>
        <v>93</v>
      </c>
      <c r="D26" s="8">
        <v>0.15220000000000003</v>
      </c>
      <c r="E26" s="11">
        <v>0.01</v>
      </c>
      <c r="F26" s="10">
        <f t="shared" si="5"/>
        <v>0.86874581276897811</v>
      </c>
      <c r="G26" s="7">
        <f t="shared" si="0"/>
        <v>0.13222311270343851</v>
      </c>
      <c r="H26" s="11">
        <v>0</v>
      </c>
      <c r="I26" s="7">
        <f t="shared" si="1"/>
        <v>0.13222311270343851</v>
      </c>
      <c r="K26" s="15">
        <f t="shared" si="6"/>
        <v>0.51511241345781422</v>
      </c>
      <c r="L26" s="15">
        <f t="shared" si="2"/>
        <v>6.8109766699572777E-2</v>
      </c>
      <c r="M26" s="15">
        <f t="shared" si="3"/>
        <v>0.44700264675824142</v>
      </c>
    </row>
    <row r="27" spans="2:13" x14ac:dyDescent="0.2">
      <c r="B27" s="6">
        <f t="shared" si="4"/>
        <v>35</v>
      </c>
      <c r="C27" s="6">
        <f t="shared" si="4"/>
        <v>94</v>
      </c>
      <c r="D27" s="8">
        <v>0.16315200000000002</v>
      </c>
      <c r="E27" s="11">
        <v>0.01</v>
      </c>
      <c r="F27" s="10">
        <f t="shared" si="5"/>
        <v>0.86005835464128833</v>
      </c>
      <c r="G27" s="7">
        <f t="shared" si="0"/>
        <v>0.14032024067643548</v>
      </c>
      <c r="H27" s="11">
        <v>0</v>
      </c>
      <c r="I27" s="7">
        <f t="shared" si="1"/>
        <v>0.14032024067643548</v>
      </c>
      <c r="K27" s="15">
        <f t="shared" si="6"/>
        <v>0.44700264675824142</v>
      </c>
      <c r="L27" s="15">
        <f t="shared" si="2"/>
        <v>6.2723518976120107E-2</v>
      </c>
      <c r="M27" s="15">
        <f t="shared" si="3"/>
        <v>0.38427912778212131</v>
      </c>
    </row>
    <row r="28" spans="2:13" x14ac:dyDescent="0.2">
      <c r="B28" s="6">
        <f t="shared" si="4"/>
        <v>36</v>
      </c>
      <c r="C28" s="6">
        <f t="shared" si="4"/>
        <v>95</v>
      </c>
      <c r="D28" s="8">
        <v>0.17476000000000003</v>
      </c>
      <c r="E28" s="11">
        <v>0.01</v>
      </c>
      <c r="F28" s="10">
        <f t="shared" si="5"/>
        <v>0.85145777109487542</v>
      </c>
      <c r="G28" s="7">
        <f t="shared" si="0"/>
        <v>0.14880076007654044</v>
      </c>
      <c r="H28" s="11">
        <v>0</v>
      </c>
      <c r="I28" s="7">
        <f t="shared" si="1"/>
        <v>0.14880076007654044</v>
      </c>
      <c r="K28" s="15">
        <f t="shared" si="6"/>
        <v>0.38427912778212131</v>
      </c>
      <c r="L28" s="15">
        <f t="shared" si="2"/>
        <v>5.7181026295529659E-2</v>
      </c>
      <c r="M28" s="15">
        <f t="shared" si="3"/>
        <v>0.32709810148659163</v>
      </c>
    </row>
    <row r="29" spans="2:13" x14ac:dyDescent="0.2">
      <c r="B29" s="6">
        <f t="shared" si="4"/>
        <v>37</v>
      </c>
      <c r="C29" s="6">
        <f t="shared" si="4"/>
        <v>96</v>
      </c>
      <c r="D29" s="8">
        <v>0.18843200000000002</v>
      </c>
      <c r="E29" s="11">
        <v>0.01</v>
      </c>
      <c r="F29" s="10">
        <f t="shared" si="5"/>
        <v>0.84294319338392665</v>
      </c>
      <c r="G29" s="7">
        <f t="shared" si="0"/>
        <v>0.15883747181572008</v>
      </c>
      <c r="H29" s="11">
        <v>0</v>
      </c>
      <c r="I29" s="7">
        <f t="shared" si="1"/>
        <v>0.15883747181572008</v>
      </c>
      <c r="K29" s="15">
        <f t="shared" si="6"/>
        <v>0.32709810148659163</v>
      </c>
      <c r="L29" s="15">
        <f t="shared" si="2"/>
        <v>5.1955435475852046E-2</v>
      </c>
      <c r="M29" s="15">
        <f t="shared" si="3"/>
        <v>0.27514266601073956</v>
      </c>
    </row>
    <row r="30" spans="2:13" x14ac:dyDescent="0.2">
      <c r="B30" s="6">
        <f t="shared" si="4"/>
        <v>38</v>
      </c>
      <c r="C30" s="6">
        <f t="shared" si="4"/>
        <v>97</v>
      </c>
      <c r="D30" s="8">
        <v>0.20313599999999998</v>
      </c>
      <c r="E30" s="11">
        <v>0.01</v>
      </c>
      <c r="F30" s="10">
        <f t="shared" si="5"/>
        <v>0.83451376145008738</v>
      </c>
      <c r="G30" s="7">
        <f t="shared" si="0"/>
        <v>0.16951978744592494</v>
      </c>
      <c r="H30" s="11">
        <v>0</v>
      </c>
      <c r="I30" s="7">
        <f t="shared" si="1"/>
        <v>0.16951978744592494</v>
      </c>
      <c r="K30" s="15">
        <f t="shared" si="6"/>
        <v>0.27514266601073956</v>
      </c>
      <c r="L30" s="15">
        <f t="shared" si="2"/>
        <v>4.6642126259445686E-2</v>
      </c>
      <c r="M30" s="15">
        <f t="shared" si="3"/>
        <v>0.22850053975129386</v>
      </c>
    </row>
    <row r="31" spans="2:13" x14ac:dyDescent="0.2">
      <c r="B31" s="6">
        <f t="shared" si="4"/>
        <v>39</v>
      </c>
      <c r="C31" s="6">
        <f t="shared" si="4"/>
        <v>98</v>
      </c>
      <c r="D31" s="8">
        <v>0.218912</v>
      </c>
      <c r="E31" s="11">
        <v>0.01</v>
      </c>
      <c r="F31" s="10">
        <f t="shared" si="5"/>
        <v>0.82616862383558654</v>
      </c>
      <c r="G31" s="7">
        <f t="shared" si="0"/>
        <v>0.18085822578109592</v>
      </c>
      <c r="H31" s="11">
        <v>0</v>
      </c>
      <c r="I31" s="7">
        <f t="shared" si="1"/>
        <v>0.18085822578109592</v>
      </c>
      <c r="K31" s="15">
        <f t="shared" si="6"/>
        <v>0.22850053975129386</v>
      </c>
      <c r="L31" s="15">
        <f t="shared" si="2"/>
        <v>4.132620220944179E-2</v>
      </c>
      <c r="M31" s="15">
        <f t="shared" si="3"/>
        <v>0.18717433754185209</v>
      </c>
    </row>
    <row r="32" spans="2:13" x14ac:dyDescent="0.2">
      <c r="B32" s="6">
        <f t="shared" si="4"/>
        <v>40</v>
      </c>
      <c r="C32" s="6">
        <f t="shared" si="4"/>
        <v>99</v>
      </c>
      <c r="D32" s="8">
        <v>0.23544800000000002</v>
      </c>
      <c r="E32" s="11">
        <v>0.01</v>
      </c>
      <c r="F32" s="10">
        <f t="shared" si="5"/>
        <v>0.81790693759723065</v>
      </c>
      <c r="G32" s="7">
        <f t="shared" si="0"/>
        <v>0.19257455264339277</v>
      </c>
      <c r="H32" s="11">
        <v>0</v>
      </c>
      <c r="I32" s="7">
        <f t="shared" si="1"/>
        <v>0.19257455264339277</v>
      </c>
      <c r="K32" s="15">
        <f t="shared" si="6"/>
        <v>0.18717433754185209</v>
      </c>
      <c r="L32" s="15">
        <f t="shared" si="2"/>
        <v>3.6045014318445562E-2</v>
      </c>
      <c r="M32" s="15">
        <f t="shared" si="3"/>
        <v>0.15112932322340653</v>
      </c>
    </row>
    <row r="35" spans="2:2" x14ac:dyDescent="0.2">
      <c r="B35" s="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AD4F-E856-4D45-B151-F8CF119B0280}">
  <dimension ref="B2:H32"/>
  <sheetViews>
    <sheetView workbookViewId="0">
      <selection activeCell="F4" sqref="F4"/>
    </sheetView>
  </sheetViews>
  <sheetFormatPr baseColWidth="10" defaultColWidth="9.1640625" defaultRowHeight="16" x14ac:dyDescent="0.2"/>
  <cols>
    <col min="1" max="1" width="9.1640625" style="1"/>
    <col min="2" max="3" width="9.6640625" style="1" customWidth="1"/>
    <col min="4" max="8" width="18.6640625" style="1" customWidth="1"/>
    <col min="9" max="16384" width="9.1640625" style="1"/>
  </cols>
  <sheetData>
    <row r="2" spans="2:8" ht="19" x14ac:dyDescent="0.25">
      <c r="B2" s="5" t="s">
        <v>23</v>
      </c>
    </row>
    <row r="7" spans="2:8" x14ac:dyDescent="0.2">
      <c r="B7" s="2" t="s">
        <v>1</v>
      </c>
    </row>
    <row r="9" spans="2:8" x14ac:dyDescent="0.2">
      <c r="D9" s="3"/>
      <c r="E9" s="3"/>
      <c r="F9" s="3"/>
      <c r="H9" s="3"/>
    </row>
    <row r="10" spans="2:8" x14ac:dyDescent="0.2">
      <c r="B10" s="4" t="s">
        <v>3</v>
      </c>
      <c r="C10" s="4" t="s">
        <v>3</v>
      </c>
      <c r="D10" s="3"/>
      <c r="E10" s="3"/>
      <c r="F10" s="3"/>
      <c r="G10" s="3"/>
      <c r="H10" s="3"/>
    </row>
    <row r="11" spans="2:8" x14ac:dyDescent="0.2">
      <c r="B11" s="3" t="s">
        <v>0</v>
      </c>
      <c r="C11" s="3" t="s">
        <v>2</v>
      </c>
      <c r="D11" s="3" t="s">
        <v>22</v>
      </c>
      <c r="E11" s="3" t="s">
        <v>22</v>
      </c>
      <c r="F11" s="3" t="s">
        <v>22</v>
      </c>
      <c r="G11" s="3"/>
      <c r="H11" s="3"/>
    </row>
    <row r="13" spans="2:8" x14ac:dyDescent="0.2">
      <c r="B13" s="9">
        <v>21</v>
      </c>
      <c r="C13" s="9">
        <v>80</v>
      </c>
    </row>
    <row r="14" spans="2:8" x14ac:dyDescent="0.2">
      <c r="B14" s="1">
        <f>B13+1</f>
        <v>22</v>
      </c>
      <c r="C14" s="1">
        <f>C13+1</f>
        <v>81</v>
      </c>
    </row>
    <row r="15" spans="2:8" x14ac:dyDescent="0.2">
      <c r="B15" s="1">
        <f t="shared" ref="B15:C30" si="0">B14+1</f>
        <v>23</v>
      </c>
      <c r="C15" s="1">
        <f t="shared" si="0"/>
        <v>82</v>
      </c>
    </row>
    <row r="16" spans="2:8" x14ac:dyDescent="0.2">
      <c r="B16" s="1">
        <f t="shared" si="0"/>
        <v>24</v>
      </c>
      <c r="C16" s="1">
        <f t="shared" si="0"/>
        <v>83</v>
      </c>
    </row>
    <row r="17" spans="2:3" x14ac:dyDescent="0.2">
      <c r="B17" s="1">
        <f t="shared" si="0"/>
        <v>25</v>
      </c>
      <c r="C17" s="1">
        <f t="shared" si="0"/>
        <v>84</v>
      </c>
    </row>
    <row r="18" spans="2:3" x14ac:dyDescent="0.2">
      <c r="B18" s="1">
        <f t="shared" si="0"/>
        <v>26</v>
      </c>
      <c r="C18" s="1">
        <f t="shared" si="0"/>
        <v>85</v>
      </c>
    </row>
    <row r="19" spans="2:3" x14ac:dyDescent="0.2">
      <c r="B19" s="1">
        <f t="shared" si="0"/>
        <v>27</v>
      </c>
      <c r="C19" s="1">
        <f t="shared" si="0"/>
        <v>86</v>
      </c>
    </row>
    <row r="20" spans="2:3" x14ac:dyDescent="0.2">
      <c r="B20" s="1">
        <f t="shared" si="0"/>
        <v>28</v>
      </c>
      <c r="C20" s="1">
        <f t="shared" si="0"/>
        <v>87</v>
      </c>
    </row>
    <row r="21" spans="2:3" x14ac:dyDescent="0.2">
      <c r="B21" s="1">
        <f t="shared" si="0"/>
        <v>29</v>
      </c>
      <c r="C21" s="1">
        <f t="shared" si="0"/>
        <v>88</v>
      </c>
    </row>
    <row r="22" spans="2:3" x14ac:dyDescent="0.2">
      <c r="B22" s="1">
        <f t="shared" si="0"/>
        <v>30</v>
      </c>
      <c r="C22" s="1">
        <f t="shared" si="0"/>
        <v>89</v>
      </c>
    </row>
    <row r="23" spans="2:3" x14ac:dyDescent="0.2">
      <c r="B23" s="1">
        <f t="shared" si="0"/>
        <v>31</v>
      </c>
      <c r="C23" s="1">
        <f t="shared" si="0"/>
        <v>90</v>
      </c>
    </row>
    <row r="24" spans="2:3" x14ac:dyDescent="0.2">
      <c r="B24" s="1">
        <f t="shared" si="0"/>
        <v>32</v>
      </c>
      <c r="C24" s="1">
        <f t="shared" si="0"/>
        <v>91</v>
      </c>
    </row>
    <row r="25" spans="2:3" x14ac:dyDescent="0.2">
      <c r="B25" s="1">
        <f t="shared" si="0"/>
        <v>33</v>
      </c>
      <c r="C25" s="1">
        <f t="shared" si="0"/>
        <v>92</v>
      </c>
    </row>
    <row r="26" spans="2:3" x14ac:dyDescent="0.2">
      <c r="B26" s="1">
        <f t="shared" si="0"/>
        <v>34</v>
      </c>
      <c r="C26" s="1">
        <f t="shared" si="0"/>
        <v>93</v>
      </c>
    </row>
    <row r="27" spans="2:3" x14ac:dyDescent="0.2">
      <c r="B27" s="1">
        <f t="shared" si="0"/>
        <v>35</v>
      </c>
      <c r="C27" s="1">
        <f t="shared" si="0"/>
        <v>94</v>
      </c>
    </row>
    <row r="28" spans="2:3" x14ac:dyDescent="0.2">
      <c r="B28" s="1">
        <f t="shared" si="0"/>
        <v>36</v>
      </c>
      <c r="C28" s="1">
        <f t="shared" si="0"/>
        <v>95</v>
      </c>
    </row>
    <row r="29" spans="2:3" x14ac:dyDescent="0.2">
      <c r="B29" s="1">
        <f t="shared" si="0"/>
        <v>37</v>
      </c>
      <c r="C29" s="1">
        <f t="shared" si="0"/>
        <v>96</v>
      </c>
    </row>
    <row r="30" spans="2:3" x14ac:dyDescent="0.2">
      <c r="B30" s="1">
        <f t="shared" si="0"/>
        <v>38</v>
      </c>
      <c r="C30" s="1">
        <f t="shared" si="0"/>
        <v>97</v>
      </c>
    </row>
    <row r="31" spans="2:3" x14ac:dyDescent="0.2">
      <c r="B31" s="1">
        <f t="shared" ref="B31:C32" si="1">B30+1</f>
        <v>39</v>
      </c>
      <c r="C31" s="1">
        <f t="shared" si="1"/>
        <v>98</v>
      </c>
    </row>
    <row r="32" spans="2:3" x14ac:dyDescent="0.2">
      <c r="B32" s="1">
        <f t="shared" si="1"/>
        <v>40</v>
      </c>
      <c r="C32" s="1">
        <f t="shared" si="1"/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7B40-DDE9-433A-B679-F24641E4148D}">
  <dimension ref="B1:T36"/>
  <sheetViews>
    <sheetView tabSelected="1" topLeftCell="H1" zoomScale="119" workbookViewId="0">
      <selection activeCell="L44" sqref="L44"/>
    </sheetView>
  </sheetViews>
  <sheetFormatPr baseColWidth="10" defaultColWidth="9.1640625" defaultRowHeight="16" x14ac:dyDescent="0.2"/>
  <cols>
    <col min="1" max="1" width="9.1640625" style="1"/>
    <col min="2" max="3" width="10.6640625" style="1" customWidth="1"/>
    <col min="4" max="4" width="18.6640625" style="1" customWidth="1"/>
    <col min="5" max="6" width="15.6640625" style="1" customWidth="1"/>
    <col min="7" max="8" width="18.6640625" style="1" customWidth="1"/>
    <col min="9" max="10" width="15.6640625" style="1" customWidth="1"/>
    <col min="11" max="13" width="18.6640625" style="1" customWidth="1"/>
    <col min="14" max="14" width="6.6640625" style="1" customWidth="1"/>
    <col min="15" max="15" width="22.6640625" style="1" customWidth="1"/>
    <col min="16" max="16" width="18.6640625" style="1" customWidth="1"/>
    <col min="17" max="18" width="9.1640625" style="1"/>
    <col min="19" max="19" width="24.6640625" style="1" customWidth="1"/>
    <col min="20" max="20" width="15" style="1" customWidth="1"/>
    <col min="21" max="16384" width="9.1640625" style="1"/>
  </cols>
  <sheetData>
    <row r="1" spans="2:20" x14ac:dyDescent="0.2">
      <c r="K1" s="54"/>
      <c r="L1" s="54"/>
      <c r="M1" s="54"/>
    </row>
    <row r="2" spans="2:20" ht="19" x14ac:dyDescent="0.25">
      <c r="B2" s="5" t="s">
        <v>43</v>
      </c>
      <c r="M2" s="55" t="s">
        <v>49</v>
      </c>
    </row>
    <row r="3" spans="2:20" x14ac:dyDescent="0.2">
      <c r="M3" s="56">
        <f>L6-K6</f>
        <v>215210.44204960053</v>
      </c>
    </row>
    <row r="4" spans="2:20" x14ac:dyDescent="0.2">
      <c r="S4" s="59" t="s">
        <v>55</v>
      </c>
      <c r="T4" s="60"/>
    </row>
    <row r="5" spans="2:20" x14ac:dyDescent="0.2">
      <c r="K5" s="65" t="s">
        <v>54</v>
      </c>
      <c r="L5" s="66"/>
      <c r="M5" s="66"/>
      <c r="O5" s="3" t="s">
        <v>60</v>
      </c>
      <c r="S5" s="59" t="s">
        <v>57</v>
      </c>
      <c r="T5" s="60"/>
    </row>
    <row r="6" spans="2:20" x14ac:dyDescent="0.2">
      <c r="K6" s="33">
        <f>SUMPRODUCT(E13:E32,K13:K32)</f>
        <v>313397.3023476376</v>
      </c>
      <c r="L6" s="33">
        <f>SUMPRODUCT(F13:F32,L13:L32)</f>
        <v>528607.74439723813</v>
      </c>
      <c r="M6" s="58">
        <f>SUMPRODUCT(E13:E33,M13:M33)</f>
        <v>215210.44204960074</v>
      </c>
      <c r="O6" s="3" t="s">
        <v>61</v>
      </c>
      <c r="S6" s="49"/>
      <c r="T6" s="49"/>
    </row>
    <row r="7" spans="2:20" x14ac:dyDescent="0.2">
      <c r="B7" s="1" t="s">
        <v>1</v>
      </c>
      <c r="K7" s="34"/>
      <c r="L7" s="34"/>
      <c r="M7" s="34"/>
      <c r="O7" s="35">
        <f>VLOOKUP(S9,S13:T32,2)</f>
        <v>0.81282566245814791</v>
      </c>
      <c r="S7" s="49"/>
      <c r="T7" s="48" t="s">
        <v>17</v>
      </c>
    </row>
    <row r="8" spans="2:20" x14ac:dyDescent="0.2">
      <c r="K8" s="34"/>
      <c r="L8" s="34"/>
      <c r="M8" s="34"/>
      <c r="S8" s="50" t="s">
        <v>56</v>
      </c>
      <c r="T8" s="48" t="s">
        <v>20</v>
      </c>
    </row>
    <row r="9" spans="2:20" x14ac:dyDescent="0.2">
      <c r="G9" s="63" t="s">
        <v>44</v>
      </c>
      <c r="H9" s="63"/>
      <c r="I9" s="64" t="s">
        <v>45</v>
      </c>
      <c r="J9" s="64"/>
      <c r="K9" s="65" t="s">
        <v>53</v>
      </c>
      <c r="L9" s="66"/>
      <c r="M9" s="66"/>
      <c r="O9" s="38" t="s">
        <v>50</v>
      </c>
      <c r="S9" s="51">
        <f>-G13</f>
        <v>-93725.19</v>
      </c>
      <c r="T9" s="48" t="s">
        <v>58</v>
      </c>
    </row>
    <row r="10" spans="2:20" x14ac:dyDescent="0.2">
      <c r="B10" s="4" t="s">
        <v>3</v>
      </c>
      <c r="C10" s="4" t="s">
        <v>3</v>
      </c>
      <c r="D10" s="3" t="s">
        <v>6</v>
      </c>
      <c r="E10" s="61" t="s">
        <v>62</v>
      </c>
      <c r="F10" s="62"/>
      <c r="G10" s="27" t="s">
        <v>3</v>
      </c>
      <c r="H10" s="27" t="s">
        <v>17</v>
      </c>
      <c r="I10" s="28" t="s">
        <v>3</v>
      </c>
      <c r="J10" s="28" t="s">
        <v>17</v>
      </c>
      <c r="K10" s="29" t="s">
        <v>3</v>
      </c>
      <c r="L10" s="29" t="s">
        <v>17</v>
      </c>
      <c r="M10" s="29" t="s">
        <v>3</v>
      </c>
      <c r="O10" s="38" t="s">
        <v>52</v>
      </c>
      <c r="S10" s="49"/>
      <c r="T10" s="48" t="s">
        <v>59</v>
      </c>
    </row>
    <row r="11" spans="2:20" x14ac:dyDescent="0.2">
      <c r="B11" s="3" t="s">
        <v>0</v>
      </c>
      <c r="C11" s="3" t="s">
        <v>2</v>
      </c>
      <c r="D11" s="3" t="s">
        <v>63</v>
      </c>
      <c r="E11" s="4" t="s">
        <v>3</v>
      </c>
      <c r="F11" s="4" t="s">
        <v>17</v>
      </c>
      <c r="G11" s="36" t="s">
        <v>24</v>
      </c>
      <c r="H11" s="36" t="s">
        <v>36</v>
      </c>
      <c r="I11" s="37" t="s">
        <v>46</v>
      </c>
      <c r="J11" s="37" t="s">
        <v>47</v>
      </c>
      <c r="K11" s="32" t="s">
        <v>24</v>
      </c>
      <c r="L11" s="32" t="s">
        <v>36</v>
      </c>
      <c r="M11" s="32" t="s">
        <v>48</v>
      </c>
      <c r="O11" s="38" t="s">
        <v>51</v>
      </c>
      <c r="S11" s="48"/>
      <c r="T11" s="49"/>
    </row>
    <row r="12" spans="2:20" x14ac:dyDescent="0.2">
      <c r="G12" s="40"/>
      <c r="H12" s="40"/>
      <c r="I12" s="41"/>
      <c r="J12" s="41"/>
      <c r="K12" s="34"/>
      <c r="L12" s="34"/>
      <c r="M12" s="34"/>
      <c r="O12" s="42"/>
      <c r="S12" s="49"/>
      <c r="T12" s="49"/>
    </row>
    <row r="13" spans="2:20" x14ac:dyDescent="0.2">
      <c r="B13" s="9">
        <v>21</v>
      </c>
      <c r="C13" s="9">
        <v>80</v>
      </c>
      <c r="D13" s="31">
        <v>0.05</v>
      </c>
      <c r="E13" s="53">
        <v>1</v>
      </c>
      <c r="F13" s="53">
        <f>1/(1+D13)</f>
        <v>0.95238095238095233</v>
      </c>
      <c r="G13" s="43">
        <f>'33877.4296875'!K13</f>
        <v>93725.19</v>
      </c>
      <c r="H13" s="43">
        <f>'33877.4296875'!S13</f>
        <v>1000000</v>
      </c>
      <c r="I13" s="44">
        <f>Mortality!K13</f>
        <v>1</v>
      </c>
      <c r="J13" s="44">
        <f>I13-I14</f>
        <v>4.0154399999999812E-3</v>
      </c>
      <c r="K13" s="33">
        <f>G13*I13</f>
        <v>93725.19</v>
      </c>
      <c r="L13" s="33">
        <f>H13*J13</f>
        <v>4015.4399999999814</v>
      </c>
      <c r="M13" s="33">
        <f>-K13</f>
        <v>-93725.19</v>
      </c>
      <c r="O13" s="45">
        <f>H13*F13-SUMPRODUCT($E$13:E13,$K$13:K13)</f>
        <v>858655.76238095225</v>
      </c>
      <c r="S13" s="51">
        <f>-O13</f>
        <v>-858655.76238095225</v>
      </c>
      <c r="T13" s="52">
        <f>1-I14</f>
        <v>4.0154399999999812E-3</v>
      </c>
    </row>
    <row r="14" spans="2:20" x14ac:dyDescent="0.2">
      <c r="B14" s="1">
        <f>B13+1</f>
        <v>22</v>
      </c>
      <c r="C14" s="1">
        <f>C13+1</f>
        <v>81</v>
      </c>
      <c r="D14" s="31">
        <f>$D$13</f>
        <v>0.05</v>
      </c>
      <c r="E14" s="53">
        <f>E13/(1+D13)</f>
        <v>0.95238095238095233</v>
      </c>
      <c r="F14" s="53">
        <f>F13/(1+D14)</f>
        <v>0.90702947845804982</v>
      </c>
      <c r="G14" s="43">
        <f>'33877.4296875'!K14</f>
        <v>84857.21</v>
      </c>
      <c r="H14" s="43">
        <f>'33877.4296875'!S14</f>
        <v>1000000</v>
      </c>
      <c r="I14" s="44">
        <f>Mortality!K14</f>
        <v>0.99598456000000002</v>
      </c>
      <c r="J14" s="44">
        <f t="shared" ref="J14:J32" si="0">I14-I15</f>
        <v>6.5129693255320253E-3</v>
      </c>
      <c r="K14" s="33">
        <f t="shared" ref="K14:K32" si="1">G14*I14</f>
        <v>84516.470964677603</v>
      </c>
      <c r="L14" s="33">
        <f t="shared" ref="L14:L32" si="2">H14*J14</f>
        <v>6512.9693255320253</v>
      </c>
      <c r="M14" s="33">
        <f>L13-K14</f>
        <v>-80501.030964677615</v>
      </c>
      <c r="O14" s="45">
        <f>H14*F14-SUMPRODUCT($E$13:E14,$K$13:K14)</f>
        <v>732812.411348833</v>
      </c>
      <c r="S14" s="51">
        <f t="shared" ref="S14:S32" si="3">-O14</f>
        <v>-732812.411348833</v>
      </c>
      <c r="T14" s="52">
        <f t="shared" ref="T14:T32" si="4">1-I15</f>
        <v>1.0528409325532007E-2</v>
      </c>
    </row>
    <row r="15" spans="2:20" x14ac:dyDescent="0.2">
      <c r="B15" s="1">
        <f t="shared" ref="B15:C30" si="5">B14+1</f>
        <v>23</v>
      </c>
      <c r="C15" s="1">
        <f t="shared" si="5"/>
        <v>82</v>
      </c>
      <c r="D15" s="31">
        <f t="shared" ref="D15:D32" si="6">$D$13</f>
        <v>0.05</v>
      </c>
      <c r="E15" s="53">
        <f t="shared" ref="E15:E33" si="7">E14/(1+D14)</f>
        <v>0.90702947845804982</v>
      </c>
      <c r="F15" s="53">
        <f t="shared" ref="F15:F32" si="8">F14/(1+D15)</f>
        <v>0.86383759853147601</v>
      </c>
      <c r="G15" s="43">
        <f>'33877.4296875'!K15</f>
        <v>27488.98</v>
      </c>
      <c r="H15" s="43">
        <f>'33877.4296875'!S15</f>
        <v>1000000</v>
      </c>
      <c r="I15" s="44">
        <f>Mortality!K15</f>
        <v>0.98947159067446799</v>
      </c>
      <c r="J15" s="44">
        <f t="shared" si="0"/>
        <v>1.1305940881447096E-2</v>
      </c>
      <c r="K15" s="33">
        <f t="shared" si="1"/>
        <v>27199.564766618638</v>
      </c>
      <c r="L15" s="33">
        <f t="shared" si="2"/>
        <v>11305.940881447097</v>
      </c>
      <c r="M15" s="33">
        <f t="shared" ref="M15:M33" si="9">L14-K15</f>
        <v>-20686.595441086611</v>
      </c>
      <c r="O15" s="45">
        <f>H15*F15-SUMPRODUCT($E$13:E15,$K$13:K15)</f>
        <v>664949.72437770711</v>
      </c>
      <c r="S15" s="51">
        <f t="shared" si="3"/>
        <v>-664949.72437770711</v>
      </c>
      <c r="T15" s="52">
        <f t="shared" si="4"/>
        <v>2.1834350206979103E-2</v>
      </c>
    </row>
    <row r="16" spans="2:20" x14ac:dyDescent="0.2">
      <c r="B16" s="1">
        <f t="shared" si="5"/>
        <v>24</v>
      </c>
      <c r="C16" s="1">
        <f t="shared" si="5"/>
        <v>83</v>
      </c>
      <c r="D16" s="31">
        <f t="shared" si="6"/>
        <v>0.05</v>
      </c>
      <c r="E16" s="53">
        <f t="shared" si="7"/>
        <v>0.86383759853147601</v>
      </c>
      <c r="F16" s="53">
        <f t="shared" si="8"/>
        <v>0.82270247479188185</v>
      </c>
      <c r="G16" s="43">
        <f>'33877.4296875'!K16</f>
        <v>7035.36</v>
      </c>
      <c r="H16" s="43">
        <f>'33877.4296875'!S16</f>
        <v>1000000</v>
      </c>
      <c r="I16" s="44">
        <f>Mortality!K16</f>
        <v>0.9781656497930209</v>
      </c>
      <c r="J16" s="44">
        <f t="shared" si="0"/>
        <v>1.6462177795835253E-2</v>
      </c>
      <c r="K16" s="33">
        <f t="shared" si="1"/>
        <v>6881.7474859278273</v>
      </c>
      <c r="L16" s="33">
        <f t="shared" si="2"/>
        <v>16462.177795835254</v>
      </c>
      <c r="M16" s="33">
        <f t="shared" si="9"/>
        <v>4424.1933955192699</v>
      </c>
      <c r="O16" s="45">
        <f>H16*F16-SUMPRODUCT($E$13:E16,$K$13:K16)</f>
        <v>617869.88841616909</v>
      </c>
      <c r="S16" s="51">
        <f t="shared" si="3"/>
        <v>-617869.88841616909</v>
      </c>
      <c r="T16" s="52">
        <f t="shared" si="4"/>
        <v>3.8296528002814356E-2</v>
      </c>
    </row>
    <row r="17" spans="2:20" x14ac:dyDescent="0.2">
      <c r="B17" s="1">
        <f t="shared" si="5"/>
        <v>25</v>
      </c>
      <c r="C17" s="1">
        <f t="shared" si="5"/>
        <v>84</v>
      </c>
      <c r="D17" s="31">
        <f t="shared" si="6"/>
        <v>0.05</v>
      </c>
      <c r="E17" s="53">
        <f t="shared" si="7"/>
        <v>0.82270247479188185</v>
      </c>
      <c r="F17" s="53">
        <f t="shared" si="8"/>
        <v>0.78352616646845885</v>
      </c>
      <c r="G17" s="43">
        <f>'33877.4296875'!K17</f>
        <v>0</v>
      </c>
      <c r="H17" s="43">
        <f>'33877.4296875'!S17</f>
        <v>1000000</v>
      </c>
      <c r="I17" s="44">
        <f>Mortality!K17</f>
        <v>0.96170347199718564</v>
      </c>
      <c r="J17" s="44">
        <f t="shared" si="0"/>
        <v>2.0727824289514252E-2</v>
      </c>
      <c r="K17" s="33">
        <f t="shared" si="1"/>
        <v>0</v>
      </c>
      <c r="L17" s="33">
        <f t="shared" si="2"/>
        <v>20727.82428951425</v>
      </c>
      <c r="M17" s="33">
        <f t="shared" si="9"/>
        <v>16462.177795835254</v>
      </c>
      <c r="O17" s="45">
        <f>H17*F17-SUMPRODUCT($E$13:E17,$K$13:K17)</f>
        <v>578693.58009274607</v>
      </c>
      <c r="S17" s="51">
        <f t="shared" si="3"/>
        <v>-578693.58009274607</v>
      </c>
      <c r="T17" s="52">
        <f t="shared" si="4"/>
        <v>5.9024352292328608E-2</v>
      </c>
    </row>
    <row r="18" spans="2:20" x14ac:dyDescent="0.2">
      <c r="B18" s="1">
        <f t="shared" si="5"/>
        <v>26</v>
      </c>
      <c r="C18" s="1">
        <f t="shared" si="5"/>
        <v>85</v>
      </c>
      <c r="D18" s="31">
        <f t="shared" si="6"/>
        <v>0.05</v>
      </c>
      <c r="E18" s="53">
        <f t="shared" si="7"/>
        <v>0.78352616646845885</v>
      </c>
      <c r="F18" s="53">
        <f t="shared" si="8"/>
        <v>0.74621539663662739</v>
      </c>
      <c r="G18" s="43">
        <f>'33877.4296875'!K18</f>
        <v>0</v>
      </c>
      <c r="H18" s="43">
        <f>'33877.4296875'!S18</f>
        <v>1000000</v>
      </c>
      <c r="I18" s="44">
        <f>Mortality!K18</f>
        <v>0.94097564770767139</v>
      </c>
      <c r="J18" s="44">
        <f t="shared" si="0"/>
        <v>2.5677212349914935E-2</v>
      </c>
      <c r="K18" s="33">
        <f t="shared" si="1"/>
        <v>0</v>
      </c>
      <c r="L18" s="33">
        <f t="shared" si="2"/>
        <v>25677.212349914935</v>
      </c>
      <c r="M18" s="33">
        <f t="shared" si="9"/>
        <v>20727.82428951425</v>
      </c>
      <c r="O18" s="45">
        <f>H18*F18-SUMPRODUCT($E$13:E18,$K$13:K18)</f>
        <v>541382.81026091462</v>
      </c>
      <c r="S18" s="51">
        <f t="shared" si="3"/>
        <v>-541382.81026091462</v>
      </c>
      <c r="T18" s="52">
        <f t="shared" si="4"/>
        <v>8.4701564642243543E-2</v>
      </c>
    </row>
    <row r="19" spans="2:20" x14ac:dyDescent="0.2">
      <c r="B19" s="1">
        <f t="shared" si="5"/>
        <v>27</v>
      </c>
      <c r="C19" s="1">
        <f t="shared" si="5"/>
        <v>86</v>
      </c>
      <c r="D19" s="31">
        <f t="shared" si="6"/>
        <v>0.05</v>
      </c>
      <c r="E19" s="53">
        <f t="shared" si="7"/>
        <v>0.74621539663662739</v>
      </c>
      <c r="F19" s="53">
        <f t="shared" si="8"/>
        <v>0.71068133013012125</v>
      </c>
      <c r="G19" s="43">
        <f>'33877.4296875'!K19</f>
        <v>0</v>
      </c>
      <c r="H19" s="43">
        <f>'33877.4296875'!S19</f>
        <v>1000000</v>
      </c>
      <c r="I19" s="44">
        <f>Mortality!K19</f>
        <v>0.91529843535775646</v>
      </c>
      <c r="J19" s="44">
        <f t="shared" si="0"/>
        <v>3.2391182499890259E-2</v>
      </c>
      <c r="K19" s="33">
        <f t="shared" si="1"/>
        <v>0</v>
      </c>
      <c r="L19" s="33">
        <f t="shared" si="2"/>
        <v>32391.182499890259</v>
      </c>
      <c r="M19" s="33">
        <f t="shared" si="9"/>
        <v>25677.212349914935</v>
      </c>
      <c r="O19" s="45">
        <f>H19*F19-SUMPRODUCT($E$13:E19,$K$13:K19)</f>
        <v>505848.74375440844</v>
      </c>
      <c r="S19" s="51">
        <f t="shared" si="3"/>
        <v>-505848.74375440844</v>
      </c>
      <c r="T19" s="52">
        <f t="shared" si="4"/>
        <v>0.1170927471421338</v>
      </c>
    </row>
    <row r="20" spans="2:20" x14ac:dyDescent="0.2">
      <c r="B20" s="1">
        <f t="shared" si="5"/>
        <v>28</v>
      </c>
      <c r="C20" s="1">
        <f t="shared" si="5"/>
        <v>87</v>
      </c>
      <c r="D20" s="31">
        <f t="shared" si="6"/>
        <v>0.05</v>
      </c>
      <c r="E20" s="53">
        <f t="shared" si="7"/>
        <v>0.71068133013012125</v>
      </c>
      <c r="F20" s="53">
        <f t="shared" si="8"/>
        <v>0.67683936202868689</v>
      </c>
      <c r="G20" s="43">
        <f>'33877.4296875'!K20</f>
        <v>0</v>
      </c>
      <c r="H20" s="43">
        <f>'33877.4296875'!S20</f>
        <v>1000000</v>
      </c>
      <c r="I20" s="44">
        <f>Mortality!K20</f>
        <v>0.8829072528578662</v>
      </c>
      <c r="J20" s="44">
        <f t="shared" si="0"/>
        <v>4.0213492453048505E-2</v>
      </c>
      <c r="K20" s="33">
        <f t="shared" si="1"/>
        <v>0</v>
      </c>
      <c r="L20" s="33">
        <f t="shared" si="2"/>
        <v>40213.492453048508</v>
      </c>
      <c r="M20" s="33">
        <f t="shared" si="9"/>
        <v>32391.182499890259</v>
      </c>
      <c r="O20" s="45">
        <f>H20*F20-SUMPRODUCT($E$13:E20,$K$13:K20)</f>
        <v>472006.77565297415</v>
      </c>
      <c r="S20" s="51">
        <f t="shared" si="3"/>
        <v>-472006.77565297415</v>
      </c>
      <c r="T20" s="52">
        <f t="shared" si="4"/>
        <v>0.15730623959518231</v>
      </c>
    </row>
    <row r="21" spans="2:20" x14ac:dyDescent="0.2">
      <c r="B21" s="1">
        <f t="shared" si="5"/>
        <v>29</v>
      </c>
      <c r="C21" s="1">
        <f t="shared" si="5"/>
        <v>88</v>
      </c>
      <c r="D21" s="31">
        <f t="shared" si="6"/>
        <v>0.05</v>
      </c>
      <c r="E21" s="53">
        <f t="shared" si="7"/>
        <v>0.67683936202868689</v>
      </c>
      <c r="F21" s="53">
        <f t="shared" si="8"/>
        <v>0.64460891621779703</v>
      </c>
      <c r="G21" s="43">
        <f>'33877.4296875'!K21</f>
        <v>0</v>
      </c>
      <c r="H21" s="43">
        <f>'33877.4296875'!S21</f>
        <v>1000000</v>
      </c>
      <c r="I21" s="44">
        <f>Mortality!K21</f>
        <v>0.84269376040481769</v>
      </c>
      <c r="J21" s="44">
        <f t="shared" si="0"/>
        <v>4.9292812295608668E-2</v>
      </c>
      <c r="K21" s="33">
        <f t="shared" si="1"/>
        <v>0</v>
      </c>
      <c r="L21" s="33">
        <f t="shared" si="2"/>
        <v>49292.812295608666</v>
      </c>
      <c r="M21" s="33">
        <f t="shared" si="9"/>
        <v>40213.492453048508</v>
      </c>
      <c r="O21" s="45">
        <f>H21*F21-SUMPRODUCT($E$13:E21,$K$13:K21)</f>
        <v>439776.32984208432</v>
      </c>
      <c r="S21" s="51">
        <f t="shared" si="3"/>
        <v>-439776.32984208432</v>
      </c>
      <c r="T21" s="52">
        <f t="shared" si="4"/>
        <v>0.20659905189079097</v>
      </c>
    </row>
    <row r="22" spans="2:20" x14ac:dyDescent="0.2">
      <c r="B22" s="1">
        <f t="shared" si="5"/>
        <v>30</v>
      </c>
      <c r="C22" s="1">
        <f t="shared" si="5"/>
        <v>89</v>
      </c>
      <c r="D22" s="31">
        <f t="shared" si="6"/>
        <v>0.05</v>
      </c>
      <c r="E22" s="53">
        <f t="shared" si="7"/>
        <v>0.64460891621779703</v>
      </c>
      <c r="F22" s="53">
        <f t="shared" si="8"/>
        <v>0.6139132535407591</v>
      </c>
      <c r="G22" s="43">
        <f>'33877.4296875'!K22</f>
        <v>0</v>
      </c>
      <c r="H22" s="43">
        <f>'33877.4296875'!S22</f>
        <v>1000000</v>
      </c>
      <c r="I22" s="44">
        <f>Mortality!K22</f>
        <v>0.79340094810920903</v>
      </c>
      <c r="J22" s="44">
        <f t="shared" si="0"/>
        <v>5.9808193682200916E-2</v>
      </c>
      <c r="K22" s="33">
        <f t="shared" si="1"/>
        <v>0</v>
      </c>
      <c r="L22" s="33">
        <f t="shared" si="2"/>
        <v>59808.193682200916</v>
      </c>
      <c r="M22" s="33">
        <f t="shared" si="9"/>
        <v>49292.812295608666</v>
      </c>
      <c r="O22" s="45">
        <f>H22*F22-SUMPRODUCT($E$13:E22,$K$13:K22)</f>
        <v>409080.66716504632</v>
      </c>
      <c r="S22" s="51">
        <f t="shared" si="3"/>
        <v>-409080.66716504632</v>
      </c>
      <c r="T22" s="52">
        <f t="shared" si="4"/>
        <v>0.26640724557299189</v>
      </c>
    </row>
    <row r="23" spans="2:20" x14ac:dyDescent="0.2">
      <c r="B23" s="1">
        <f t="shared" si="5"/>
        <v>31</v>
      </c>
      <c r="C23" s="1">
        <f t="shared" si="5"/>
        <v>90</v>
      </c>
      <c r="D23" s="31">
        <f t="shared" si="6"/>
        <v>0.05</v>
      </c>
      <c r="E23" s="53">
        <f t="shared" si="7"/>
        <v>0.6139132535407591</v>
      </c>
      <c r="F23" s="53">
        <f t="shared" si="8"/>
        <v>0.58467928908643718</v>
      </c>
      <c r="G23" s="43">
        <f>'33877.4296875'!K23</f>
        <v>0</v>
      </c>
      <c r="H23" s="43">
        <f>'33877.4296875'!S23</f>
        <v>1000000</v>
      </c>
      <c r="I23" s="44">
        <f>Mortality!K23</f>
        <v>0.73359275442700811</v>
      </c>
      <c r="J23" s="44">
        <f t="shared" si="0"/>
        <v>7.113029169943752E-2</v>
      </c>
      <c r="K23" s="33">
        <f t="shared" si="1"/>
        <v>0</v>
      </c>
      <c r="L23" s="33">
        <f t="shared" si="2"/>
        <v>71130.291699437526</v>
      </c>
      <c r="M23" s="33">
        <f t="shared" si="9"/>
        <v>59808.193682200916</v>
      </c>
      <c r="O23" s="45">
        <f>H23*F23-SUMPRODUCT($E$13:E23,$K$13:K23)</f>
        <v>379846.70271072444</v>
      </c>
      <c r="S23" s="51">
        <f t="shared" si="3"/>
        <v>-379846.70271072444</v>
      </c>
      <c r="T23" s="52">
        <f t="shared" si="4"/>
        <v>0.33753753727242941</v>
      </c>
    </row>
    <row r="24" spans="2:20" x14ac:dyDescent="0.2">
      <c r="B24" s="1">
        <f t="shared" si="5"/>
        <v>32</v>
      </c>
      <c r="C24" s="1">
        <f t="shared" si="5"/>
        <v>91</v>
      </c>
      <c r="D24" s="31">
        <f t="shared" si="6"/>
        <v>0.05</v>
      </c>
      <c r="E24" s="53">
        <f t="shared" si="7"/>
        <v>0.58467928908643718</v>
      </c>
      <c r="F24" s="53">
        <f t="shared" si="8"/>
        <v>0.55683741817755916</v>
      </c>
      <c r="G24" s="43">
        <f>'33877.4296875'!K24</f>
        <v>0</v>
      </c>
      <c r="H24" s="43">
        <f>'33877.4296875'!S24</f>
        <v>1000000</v>
      </c>
      <c r="I24" s="44">
        <f>Mortality!K24</f>
        <v>0.66246246272757059</v>
      </c>
      <c r="J24" s="44">
        <f t="shared" si="0"/>
        <v>7.5062529198868688E-2</v>
      </c>
      <c r="K24" s="33">
        <f t="shared" si="1"/>
        <v>0</v>
      </c>
      <c r="L24" s="33">
        <f t="shared" si="2"/>
        <v>75062.529198868695</v>
      </c>
      <c r="M24" s="33">
        <f t="shared" si="9"/>
        <v>71130.291699437526</v>
      </c>
      <c r="O24" s="45">
        <f>H24*F24-SUMPRODUCT($E$13:E24,$K$13:K24)</f>
        <v>352004.83180184639</v>
      </c>
      <c r="S24" s="51">
        <f t="shared" si="3"/>
        <v>-352004.83180184639</v>
      </c>
      <c r="T24" s="52">
        <f t="shared" si="4"/>
        <v>0.4126000664712981</v>
      </c>
    </row>
    <row r="25" spans="2:20" x14ac:dyDescent="0.2">
      <c r="B25" s="1">
        <f t="shared" si="5"/>
        <v>33</v>
      </c>
      <c r="C25" s="1">
        <f t="shared" si="5"/>
        <v>92</v>
      </c>
      <c r="D25" s="31">
        <f t="shared" si="6"/>
        <v>0.05</v>
      </c>
      <c r="E25" s="53">
        <f t="shared" si="7"/>
        <v>0.55683741817755916</v>
      </c>
      <c r="F25" s="53">
        <f t="shared" si="8"/>
        <v>0.5303213506452944</v>
      </c>
      <c r="G25" s="43">
        <f>'33877.4296875'!K25</f>
        <v>0</v>
      </c>
      <c r="H25" s="43">
        <f>'33877.4296875'!S25</f>
        <v>1000000</v>
      </c>
      <c r="I25" s="44">
        <f>Mortality!K25</f>
        <v>0.5873999335287019</v>
      </c>
      <c r="J25" s="44">
        <f t="shared" si="0"/>
        <v>7.2287520070887679E-2</v>
      </c>
      <c r="K25" s="33">
        <f t="shared" si="1"/>
        <v>0</v>
      </c>
      <c r="L25" s="33">
        <f t="shared" si="2"/>
        <v>72287.52007088768</v>
      </c>
      <c r="M25" s="33">
        <f t="shared" si="9"/>
        <v>75062.529198868695</v>
      </c>
      <c r="O25" s="45">
        <f>H25*F25-SUMPRODUCT($E$13:E25,$K$13:K25)</f>
        <v>325488.76426958165</v>
      </c>
      <c r="S25" s="51">
        <f t="shared" si="3"/>
        <v>-325488.76426958165</v>
      </c>
      <c r="T25" s="52">
        <f t="shared" si="4"/>
        <v>0.48488758654218578</v>
      </c>
    </row>
    <row r="26" spans="2:20" x14ac:dyDescent="0.2">
      <c r="B26" s="1">
        <f t="shared" si="5"/>
        <v>34</v>
      </c>
      <c r="C26" s="1">
        <f t="shared" si="5"/>
        <v>93</v>
      </c>
      <c r="D26" s="31">
        <f t="shared" si="6"/>
        <v>0.05</v>
      </c>
      <c r="E26" s="53">
        <f t="shared" si="7"/>
        <v>0.5303213506452944</v>
      </c>
      <c r="F26" s="53">
        <f t="shared" si="8"/>
        <v>0.50506795299551843</v>
      </c>
      <c r="G26" s="43">
        <f>'33877.4296875'!K26</f>
        <v>13313.55</v>
      </c>
      <c r="H26" s="43">
        <f>'33877.4296875'!S26</f>
        <v>1000000</v>
      </c>
      <c r="I26" s="44">
        <f>Mortality!K26</f>
        <v>0.51511241345781422</v>
      </c>
      <c r="J26" s="44">
        <f t="shared" si="0"/>
        <v>6.8109766699572805E-2</v>
      </c>
      <c r="K26" s="33">
        <f t="shared" si="1"/>
        <v>6857.974872191282</v>
      </c>
      <c r="L26" s="33">
        <f t="shared" si="2"/>
        <v>68109.766699572807</v>
      </c>
      <c r="M26" s="33">
        <f t="shared" si="9"/>
        <v>65429.545198696396</v>
      </c>
      <c r="O26" s="45">
        <f>H26*F26-SUMPRODUCT($E$13:E26,$K$13:K26)</f>
        <v>296598.43612289371</v>
      </c>
      <c r="S26" s="51">
        <f t="shared" si="3"/>
        <v>-296598.43612289371</v>
      </c>
      <c r="T26" s="52">
        <f t="shared" si="4"/>
        <v>0.55299735324175858</v>
      </c>
    </row>
    <row r="27" spans="2:20" x14ac:dyDescent="0.2">
      <c r="B27" s="1">
        <f t="shared" si="5"/>
        <v>35</v>
      </c>
      <c r="C27" s="1">
        <f t="shared" si="5"/>
        <v>94</v>
      </c>
      <c r="D27" s="31">
        <f t="shared" si="6"/>
        <v>0.05</v>
      </c>
      <c r="E27" s="53">
        <f t="shared" si="7"/>
        <v>0.50506795299551843</v>
      </c>
      <c r="F27" s="53">
        <f t="shared" si="8"/>
        <v>0.48101709809096993</v>
      </c>
      <c r="G27" s="43">
        <f>'33877.4296875'!K27</f>
        <v>54829.45</v>
      </c>
      <c r="H27" s="43">
        <f>'33877.4296875'!S27</f>
        <v>1000000</v>
      </c>
      <c r="I27" s="44">
        <f>Mortality!K27</f>
        <v>0.44700264675824142</v>
      </c>
      <c r="J27" s="44">
        <f t="shared" si="0"/>
        <v>6.2723518976120107E-2</v>
      </c>
      <c r="K27" s="33">
        <f t="shared" si="1"/>
        <v>24508.90927029866</v>
      </c>
      <c r="L27" s="33">
        <f t="shared" si="2"/>
        <v>62723.518976120111</v>
      </c>
      <c r="M27" s="33">
        <f t="shared" si="9"/>
        <v>43600.857429274147</v>
      </c>
      <c r="O27" s="45">
        <f>H27*F27-SUMPRODUCT($E$13:E27,$K$13:K27)</f>
        <v>260168.91658304259</v>
      </c>
      <c r="S27" s="51">
        <f t="shared" si="3"/>
        <v>-260168.91658304259</v>
      </c>
      <c r="T27" s="52">
        <f t="shared" si="4"/>
        <v>0.61572087221787863</v>
      </c>
    </row>
    <row r="28" spans="2:20" x14ac:dyDescent="0.2">
      <c r="B28" s="1">
        <f t="shared" si="5"/>
        <v>36</v>
      </c>
      <c r="C28" s="1">
        <f t="shared" si="5"/>
        <v>95</v>
      </c>
      <c r="D28" s="31">
        <f t="shared" si="6"/>
        <v>0.05</v>
      </c>
      <c r="E28" s="53">
        <f t="shared" si="7"/>
        <v>0.48101709809096993</v>
      </c>
      <c r="F28" s="53">
        <f t="shared" si="8"/>
        <v>0.45811152199139993</v>
      </c>
      <c r="G28" s="43">
        <f>'33877.4296875'!K28</f>
        <v>101742.62</v>
      </c>
      <c r="H28" s="43">
        <f>'33877.4296875'!S28</f>
        <v>1000000</v>
      </c>
      <c r="I28" s="44">
        <f>Mortality!K28</f>
        <v>0.38427912778212131</v>
      </c>
      <c r="J28" s="44">
        <f t="shared" si="0"/>
        <v>5.718102629552968E-2</v>
      </c>
      <c r="K28" s="33">
        <f t="shared" si="1"/>
        <v>39097.56527186781</v>
      </c>
      <c r="L28" s="33">
        <f t="shared" si="2"/>
        <v>57181.026295529678</v>
      </c>
      <c r="M28" s="33">
        <f t="shared" si="9"/>
        <v>23625.953704252301</v>
      </c>
      <c r="O28" s="45">
        <f>H28*F28-SUMPRODUCT($E$13:E28,$K$13:K28)</f>
        <v>218456.74309397643</v>
      </c>
      <c r="S28" s="51">
        <f t="shared" si="3"/>
        <v>-218456.74309397643</v>
      </c>
      <c r="T28" s="52">
        <f t="shared" si="4"/>
        <v>0.67290189851340831</v>
      </c>
    </row>
    <row r="29" spans="2:20" x14ac:dyDescent="0.2">
      <c r="B29" s="1">
        <f t="shared" si="5"/>
        <v>37</v>
      </c>
      <c r="C29" s="1">
        <f t="shared" si="5"/>
        <v>96</v>
      </c>
      <c r="D29" s="31">
        <f t="shared" si="6"/>
        <v>0.05</v>
      </c>
      <c r="E29" s="53">
        <f t="shared" si="7"/>
        <v>0.45811152199139993</v>
      </c>
      <c r="F29" s="53">
        <f t="shared" si="8"/>
        <v>0.43629668761085705</v>
      </c>
      <c r="G29" s="43">
        <f>'33877.4296875'!K29</f>
        <v>141815.95000000001</v>
      </c>
      <c r="H29" s="43">
        <f>'33877.4296875'!S29</f>
        <v>1000000</v>
      </c>
      <c r="I29" s="44">
        <f>Mortality!K29</f>
        <v>0.32709810148659163</v>
      </c>
      <c r="J29" s="44">
        <f t="shared" si="0"/>
        <v>5.1955435475852074E-2</v>
      </c>
      <c r="K29" s="33">
        <f t="shared" si="1"/>
        <v>46387.728005517405</v>
      </c>
      <c r="L29" s="33">
        <f t="shared" si="2"/>
        <v>51955.435475852071</v>
      </c>
      <c r="M29" s="33">
        <f t="shared" si="9"/>
        <v>10793.298290012273</v>
      </c>
      <c r="O29" s="45">
        <f>H29*F29-SUMPRODUCT($E$13:E29,$K$13:K29)</f>
        <v>175391.1560351029</v>
      </c>
      <c r="S29" s="51">
        <f t="shared" si="3"/>
        <v>-175391.1560351029</v>
      </c>
      <c r="T29" s="52">
        <f t="shared" si="4"/>
        <v>0.72485733398926044</v>
      </c>
    </row>
    <row r="30" spans="2:20" x14ac:dyDescent="0.2">
      <c r="B30" s="1">
        <f t="shared" si="5"/>
        <v>38</v>
      </c>
      <c r="C30" s="1">
        <f t="shared" si="5"/>
        <v>97</v>
      </c>
      <c r="D30" s="31">
        <f t="shared" si="6"/>
        <v>0.05</v>
      </c>
      <c r="E30" s="53">
        <f t="shared" si="7"/>
        <v>0.43629668761085705</v>
      </c>
      <c r="F30" s="53">
        <f t="shared" si="8"/>
        <v>0.41552065486748291</v>
      </c>
      <c r="G30" s="43">
        <f>'33877.4296875'!K30</f>
        <v>176011.53</v>
      </c>
      <c r="H30" s="43">
        <f>'33877.4296875'!S30</f>
        <v>1000000</v>
      </c>
      <c r="I30" s="44">
        <f>Mortality!K30</f>
        <v>0.27514266601073956</v>
      </c>
      <c r="J30" s="44">
        <f t="shared" si="0"/>
        <v>4.6642126259445693E-2</v>
      </c>
      <c r="K30" s="33">
        <f t="shared" si="1"/>
        <v>48428.281612829269</v>
      </c>
      <c r="L30" s="33">
        <f t="shared" si="2"/>
        <v>46642.126259445693</v>
      </c>
      <c r="M30" s="33">
        <f t="shared" si="9"/>
        <v>3527.1538630228024</v>
      </c>
      <c r="O30" s="45">
        <f>H30*F30-SUMPRODUCT($E$13:E30,$K$13:K30)</f>
        <v>133486.02443736553</v>
      </c>
      <c r="S30" s="51">
        <f t="shared" si="3"/>
        <v>-133486.02443736553</v>
      </c>
      <c r="T30" s="52">
        <f t="shared" si="4"/>
        <v>0.77149946024870619</v>
      </c>
    </row>
    <row r="31" spans="2:20" x14ac:dyDescent="0.2">
      <c r="B31" s="1">
        <f t="shared" ref="B31:C32" si="10">B30+1</f>
        <v>39</v>
      </c>
      <c r="C31" s="1">
        <f t="shared" si="10"/>
        <v>98</v>
      </c>
      <c r="D31" s="31">
        <f t="shared" si="6"/>
        <v>0.05</v>
      </c>
      <c r="E31" s="53">
        <f t="shared" si="7"/>
        <v>0.41552065486748291</v>
      </c>
      <c r="F31" s="53">
        <f t="shared" si="8"/>
        <v>0.39573395701665037</v>
      </c>
      <c r="G31" s="43">
        <f>'33877.4296875'!K31</f>
        <v>171574.17</v>
      </c>
      <c r="H31" s="43">
        <f>'33877.4296875'!S31</f>
        <v>1000000</v>
      </c>
      <c r="I31" s="44">
        <f>Mortality!K31</f>
        <v>0.22850053975129386</v>
      </c>
      <c r="J31" s="44">
        <f t="shared" si="0"/>
        <v>4.1326202209441776E-2</v>
      </c>
      <c r="K31" s="33">
        <f t="shared" si="1"/>
        <v>39204.790452380257</v>
      </c>
      <c r="L31" s="33">
        <f t="shared" si="2"/>
        <v>41326.202209441777</v>
      </c>
      <c r="M31" s="33">
        <f t="shared" si="9"/>
        <v>7437.3358070654358</v>
      </c>
      <c r="O31" s="45">
        <f>H31*F31-SUMPRODUCT($E$13:E31,$K$13:K31)</f>
        <v>97408.92638381751</v>
      </c>
      <c r="S31" s="51">
        <f t="shared" si="3"/>
        <v>-97408.92638381751</v>
      </c>
      <c r="T31" s="52">
        <f t="shared" si="4"/>
        <v>0.81282566245814791</v>
      </c>
    </row>
    <row r="32" spans="2:20" x14ac:dyDescent="0.2">
      <c r="B32" s="1">
        <f t="shared" si="10"/>
        <v>40</v>
      </c>
      <c r="C32" s="1">
        <f t="shared" si="10"/>
        <v>99</v>
      </c>
      <c r="D32" s="31">
        <f t="shared" si="6"/>
        <v>0.05</v>
      </c>
      <c r="E32" s="53">
        <f t="shared" si="7"/>
        <v>0.39573395701665037</v>
      </c>
      <c r="F32" s="53">
        <f t="shared" si="8"/>
        <v>0.37688948287300034</v>
      </c>
      <c r="G32" s="43">
        <f>'33877.4296875'!K32</f>
        <v>203483.45</v>
      </c>
      <c r="H32" s="43">
        <f>'33877.4296875'!S32</f>
        <v>1000000</v>
      </c>
      <c r="I32" s="44">
        <f>Mortality!K32</f>
        <v>0.18717433754185209</v>
      </c>
      <c r="J32" s="44">
        <f t="shared" si="0"/>
        <v>0.18717433754185209</v>
      </c>
      <c r="K32" s="33">
        <f t="shared" si="1"/>
        <v>38086.879954480581</v>
      </c>
      <c r="L32" s="33">
        <f t="shared" si="2"/>
        <v>187174.33754185209</v>
      </c>
      <c r="M32" s="33">
        <f t="shared" si="9"/>
        <v>3239.3222549611964</v>
      </c>
      <c r="O32" s="45">
        <f>H32*F32-SUMPRODUCT($E$13:E32,$K$13:K32)</f>
        <v>63492.180525362724</v>
      </c>
      <c r="S32" s="51">
        <f t="shared" si="3"/>
        <v>-63492.180525362724</v>
      </c>
      <c r="T32" s="52">
        <f t="shared" si="4"/>
        <v>1</v>
      </c>
    </row>
    <row r="33" spans="5:19" x14ac:dyDescent="0.2">
      <c r="E33" s="53">
        <f t="shared" si="7"/>
        <v>0.37688948287300034</v>
      </c>
      <c r="G33" s="6"/>
      <c r="H33" s="6"/>
      <c r="I33" s="44">
        <v>0</v>
      </c>
      <c r="J33" s="46"/>
      <c r="K33" s="47"/>
      <c r="L33" s="47"/>
      <c r="M33" s="33">
        <f t="shared" si="9"/>
        <v>187174.33754185209</v>
      </c>
      <c r="O33" s="39"/>
      <c r="S33" s="39"/>
    </row>
    <row r="34" spans="5:19" x14ac:dyDescent="0.2">
      <c r="G34" s="6"/>
      <c r="H34" s="6"/>
      <c r="I34" s="6"/>
      <c r="J34" s="6"/>
      <c r="K34" s="6"/>
      <c r="L34" s="6"/>
      <c r="M34" s="6"/>
    </row>
    <row r="35" spans="5:19" x14ac:dyDescent="0.2">
      <c r="G35" s="6"/>
      <c r="H35" s="6"/>
      <c r="J35" s="55" t="s">
        <v>49</v>
      </c>
      <c r="K35" s="6"/>
      <c r="L35" s="6"/>
      <c r="M35" s="6"/>
    </row>
    <row r="36" spans="5:19" x14ac:dyDescent="0.2">
      <c r="J36" s="57">
        <f>SUM(J13:J32)</f>
        <v>0.99999999999999989</v>
      </c>
    </row>
  </sheetData>
  <mergeCells count="7">
    <mergeCell ref="S4:T4"/>
    <mergeCell ref="S5:T5"/>
    <mergeCell ref="E10:F10"/>
    <mergeCell ref="G9:H9"/>
    <mergeCell ref="I9:J9"/>
    <mergeCell ref="K9:M9"/>
    <mergeCell ref="K5:M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33877.4296875</vt:lpstr>
      <vt:lpstr>Mortality</vt:lpstr>
      <vt:lpstr>Other factors</vt:lpstr>
      <vt:lpstr>Results</vt:lpstr>
    </vt:vector>
  </TitlesOfParts>
  <Company>Glenn S. Daily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S. Daily</dc:creator>
  <cp:lastModifiedBy>Nicholas D. Hagedorn</cp:lastModifiedBy>
  <cp:lastPrinted>2024-01-19T13:06:24Z</cp:lastPrinted>
  <dcterms:created xsi:type="dcterms:W3CDTF">2023-11-17T13:45:14Z</dcterms:created>
  <dcterms:modified xsi:type="dcterms:W3CDTF">2025-05-28T03:05:13Z</dcterms:modified>
</cp:coreProperties>
</file>