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a7b1e00703dc0fb/Doc/2024近物实验/Cyh/光学多道/"/>
    </mc:Choice>
  </mc:AlternateContent>
  <xr:revisionPtr revIDLastSave="734" documentId="11_AD4DA82427541F7ACA7EB8BF30CB1F906AE8DE12" xr6:coauthVersionLast="47" xr6:coauthVersionMax="47" xr10:uidLastSave="{860D70BC-4A08-49DA-A3B4-EC2F88384DEA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6" i="1" l="1"/>
  <c r="B74" i="1" s="1"/>
  <c r="G73" i="1" s="1"/>
  <c r="H73" i="1" s="1"/>
  <c r="C74" i="1" s="1"/>
  <c r="K57" i="1"/>
  <c r="K58" i="1"/>
  <c r="K55" i="1"/>
  <c r="B73" i="1" s="1"/>
  <c r="G72" i="1" s="1"/>
  <c r="H72" i="1" s="1"/>
  <c r="C73" i="1" s="1"/>
  <c r="E73" i="1" s="1"/>
  <c r="B75" i="1"/>
  <c r="G74" i="1" s="1"/>
  <c r="H74" i="1" s="1"/>
  <c r="C75" i="1" s="1"/>
  <c r="E75" i="1" s="1"/>
  <c r="G55" i="1"/>
  <c r="B94" i="1"/>
  <c r="F95" i="1"/>
  <c r="B76" i="1"/>
  <c r="G75" i="1" s="1"/>
  <c r="H75" i="1" s="1"/>
  <c r="C76" i="1" s="1"/>
  <c r="E76" i="1" s="1"/>
  <c r="F55" i="1"/>
  <c r="J56" i="1" s="1"/>
  <c r="B65" i="1" s="1"/>
  <c r="G64" i="1" s="1"/>
  <c r="H64" i="1" s="1"/>
  <c r="C65" i="1" s="1"/>
  <c r="E65" i="1" s="1"/>
  <c r="F3" i="1" a="1"/>
  <c r="F3" i="1" s="1"/>
  <c r="H78" i="1"/>
  <c r="G78" i="1"/>
  <c r="G95" i="1"/>
  <c r="G96" i="1"/>
  <c r="G97" i="1"/>
  <c r="G94" i="1"/>
  <c r="F96" i="1"/>
  <c r="F97" i="1"/>
  <c r="F94" i="1"/>
  <c r="C95" i="1"/>
  <c r="C96" i="1"/>
  <c r="C97" i="1"/>
  <c r="C94" i="1"/>
  <c r="B95" i="1"/>
  <c r="B96" i="1"/>
  <c r="B97" i="1"/>
  <c r="B26" i="1"/>
  <c r="G25" i="1" s="1"/>
  <c r="H25" i="1" s="1"/>
  <c r="C26" i="1" s="1"/>
  <c r="E26" i="1" s="1"/>
  <c r="B27" i="1"/>
  <c r="G26" i="1" s="1"/>
  <c r="H26" i="1" s="1"/>
  <c r="C27" i="1" s="1"/>
  <c r="E27" i="1" s="1"/>
  <c r="B28" i="1"/>
  <c r="G27" i="1" s="1"/>
  <c r="H27" i="1" s="1"/>
  <c r="C28" i="1" s="1"/>
  <c r="E28" i="1" s="1"/>
  <c r="B25" i="1"/>
  <c r="G24" i="1" s="1"/>
  <c r="H24" i="1" s="1"/>
  <c r="C25" i="1" s="1"/>
  <c r="E25" i="1" s="1"/>
  <c r="D4" i="1"/>
  <c r="D5" i="1"/>
  <c r="D6" i="1"/>
  <c r="D3" i="1"/>
  <c r="G33" i="1"/>
  <c r="H33" i="1" s="1"/>
  <c r="C34" i="1" s="1"/>
  <c r="E34" i="1" s="1"/>
  <c r="G34" i="1"/>
  <c r="H34" i="1" s="1"/>
  <c r="C35" i="1" s="1"/>
  <c r="E35" i="1" s="1"/>
  <c r="G35" i="1"/>
  <c r="H35" i="1" s="1"/>
  <c r="C36" i="1" s="1"/>
  <c r="E36" i="1" s="1"/>
  <c r="G36" i="1"/>
  <c r="H36" i="1" s="1"/>
  <c r="C37" i="1" s="1"/>
  <c r="E37" i="1" s="1"/>
  <c r="C98" i="1" l="1"/>
  <c r="C100" i="1" s="1"/>
  <c r="B98" i="1"/>
  <c r="B100" i="1" s="1"/>
  <c r="F98" i="1"/>
  <c r="F100" i="1" s="1"/>
  <c r="J58" i="1"/>
  <c r="B67" i="1" s="1"/>
  <c r="G66" i="1" s="1"/>
  <c r="H66" i="1" s="1"/>
  <c r="C67" i="1" s="1"/>
  <c r="E67" i="1" s="1"/>
  <c r="J55" i="1"/>
  <c r="B64" i="1" s="1"/>
  <c r="G63" i="1" s="1"/>
  <c r="H63" i="1" s="1"/>
  <c r="C64" i="1" s="1"/>
  <c r="E64" i="1" s="1"/>
  <c r="G98" i="1"/>
  <c r="G100" i="1" s="1"/>
  <c r="B84" i="1"/>
  <c r="D84" i="1" s="1"/>
  <c r="J57" i="1"/>
  <c r="B66" i="1" s="1"/>
  <c r="G65" i="1" s="1"/>
  <c r="H65" i="1" s="1"/>
  <c r="C66" i="1" s="1"/>
  <c r="E66" i="1" s="1"/>
  <c r="E74" i="1"/>
  <c r="B45" i="1"/>
  <c r="B47" i="1"/>
  <c r="B44" i="1"/>
  <c r="B46" i="1"/>
  <c r="G16" i="1"/>
  <c r="G17" i="1"/>
  <c r="G18" i="1"/>
  <c r="G15" i="1"/>
  <c r="B83" i="1" l="1"/>
  <c r="D83" i="1" s="1"/>
  <c r="D44" i="1"/>
  <c r="C105" i="1"/>
  <c r="B105" i="1"/>
  <c r="D45" i="1"/>
  <c r="C106" i="1"/>
  <c r="B106" i="1"/>
  <c r="D46" i="1"/>
  <c r="C107" i="1"/>
  <c r="C109" i="1" s="1"/>
  <c r="C111" i="1" s="1"/>
  <c r="B86" i="1"/>
  <c r="D86" i="1" s="1"/>
  <c r="B107" i="1"/>
  <c r="D47" i="1"/>
  <c r="C108" i="1"/>
  <c r="B108" i="1"/>
  <c r="B85" i="1"/>
  <c r="D85" i="1" s="1"/>
  <c r="B109" i="1" l="1"/>
  <c r="B1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<sst xmlns="http://schemas.openxmlformats.org/spreadsheetml/2006/main" count="120" uniqueCount="49">
  <si>
    <t>H的理论值</t>
    <phoneticPr fontId="1" type="noConversion"/>
  </si>
  <si>
    <t>n</t>
    <phoneticPr fontId="1" type="noConversion"/>
  </si>
  <si>
    <t>D的理论值</t>
    <phoneticPr fontId="1" type="noConversion"/>
  </si>
  <si>
    <t>氢氘真空波长标准值</t>
    <phoneticPr fontId="1" type="noConversion"/>
  </si>
  <si>
    <t>n</t>
  </si>
  <si>
    <t>n</t>
    <phoneticPr fontId="1" type="noConversion"/>
  </si>
  <si>
    <t>H谱线测量值</t>
    <phoneticPr fontId="1" type="noConversion"/>
  </si>
  <si>
    <t>标准光源</t>
    <phoneticPr fontId="1" type="noConversion"/>
  </si>
  <si>
    <t>He灯</t>
  </si>
  <si>
    <t>He灯</t>
    <phoneticPr fontId="1" type="noConversion"/>
  </si>
  <si>
    <t>Ne灯</t>
    <phoneticPr fontId="1" type="noConversion"/>
  </si>
  <si>
    <t>定标波长1</t>
    <phoneticPr fontId="1" type="noConversion"/>
  </si>
  <si>
    <t>定标波长2</t>
    <phoneticPr fontId="1" type="noConversion"/>
  </si>
  <si>
    <t>检验波长测量值</t>
    <phoneticPr fontId="1" type="noConversion"/>
  </si>
  <si>
    <t>检验波长理论值</t>
    <phoneticPr fontId="1" type="noConversion"/>
  </si>
  <si>
    <t>定标</t>
    <phoneticPr fontId="1" type="noConversion"/>
  </si>
  <si>
    <t>实验1</t>
    <phoneticPr fontId="1" type="noConversion"/>
  </si>
  <si>
    <t>实验2</t>
    <phoneticPr fontId="1" type="noConversion"/>
  </si>
  <si>
    <t>同位素位移理论值</t>
    <phoneticPr fontId="1" type="noConversion"/>
  </si>
  <si>
    <t>氢氘光谱测量（CCD）</t>
    <phoneticPr fontId="1" type="noConversion"/>
  </si>
  <si>
    <t>氢光谱</t>
  </si>
  <si>
    <t>氢光谱</t>
    <phoneticPr fontId="1" type="noConversion"/>
  </si>
  <si>
    <t>空气中波长的测量值</t>
    <phoneticPr fontId="1" type="noConversion"/>
  </si>
  <si>
    <t>校正后真空波长测量值</t>
    <phoneticPr fontId="1" type="noConversion"/>
  </si>
  <si>
    <t>真空波长参考值</t>
    <phoneticPr fontId="1" type="noConversion"/>
  </si>
  <si>
    <t>误差</t>
    <phoneticPr fontId="1" type="noConversion"/>
  </si>
  <si>
    <t>氘光谱</t>
  </si>
  <si>
    <t>氘光谱</t>
    <phoneticPr fontId="1" type="noConversion"/>
  </si>
  <si>
    <t>同位素位移</t>
    <phoneticPr fontId="1" type="noConversion"/>
  </si>
  <si>
    <t>同位素位移测量值</t>
    <phoneticPr fontId="1" type="noConversion"/>
  </si>
  <si>
    <t>检验波长测量偏差/Ai</t>
    <phoneticPr fontId="1" type="noConversion"/>
  </si>
  <si>
    <t>ng</t>
  </si>
  <si>
    <t>波长修正系数</t>
    <phoneticPr fontId="1" type="noConversion"/>
  </si>
  <si>
    <t>H</t>
    <phoneticPr fontId="1" type="noConversion"/>
  </si>
  <si>
    <t>D</t>
    <phoneticPr fontId="1" type="noConversion"/>
  </si>
  <si>
    <t>温度t</t>
    <phoneticPr fontId="1" type="noConversion"/>
  </si>
  <si>
    <t>湿度e</t>
    <phoneticPr fontId="1" type="noConversion"/>
  </si>
  <si>
    <t>实验3</t>
  </si>
  <si>
    <t>实验3</t>
    <phoneticPr fontId="1" type="noConversion"/>
  </si>
  <si>
    <t>氢氘光谱测量（PMT）</t>
    <phoneticPr fontId="1" type="noConversion"/>
  </si>
  <si>
    <t>同位素位移理论值/Ai</t>
    <phoneticPr fontId="1" type="noConversion"/>
  </si>
  <si>
    <t>计算里德堡常数</t>
    <phoneticPr fontId="1" type="noConversion"/>
  </si>
  <si>
    <t>CCD测量值</t>
    <phoneticPr fontId="1" type="noConversion"/>
  </si>
  <si>
    <t>PMT测量值</t>
    <phoneticPr fontId="1" type="noConversion"/>
  </si>
  <si>
    <t>平均值</t>
    <phoneticPr fontId="1" type="noConversion"/>
  </si>
  <si>
    <t>标准值</t>
    <phoneticPr fontId="1" type="noConversion"/>
  </si>
  <si>
    <t>计算质子电子质量比</t>
    <phoneticPr fontId="1" type="noConversion"/>
  </si>
  <si>
    <t>相对误差%</t>
    <phoneticPr fontId="1" type="noConversion"/>
  </si>
  <si>
    <t>0误差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</si>
</sst>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_);[Red]\(0.000000\)"/>
    <numFmt numFmtId="177" formatCode="0.000000"/>
    <numFmt numFmtId="178" formatCode="0.000"/>
    <numFmt numFmtId="179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1">
    <xf numFmtId="0" fontId="0" fillId="0" borderId="0" xfId="0"/>
    <xf numFmtId="0" fontId="4" fillId="10" borderId="2" xfId="9" applyBorder="1" applyAlignment="1"/>
    <xf numFmtId="0" fontId="4" fillId="3" borderId="2" xfId="2" applyBorder="1" applyAlignment="1"/>
    <xf numFmtId="0" fontId="4" fillId="10" borderId="3" xfId="9" applyBorder="1" applyAlignment="1"/>
    <xf numFmtId="0" fontId="4" fillId="4" borderId="1" xfId="3" applyBorder="1" applyAlignment="1">
      <alignment horizontal="center"/>
    </xf>
    <xf numFmtId="0" fontId="2" fillId="3" borderId="2" xfId="2" applyFont="1" applyBorder="1" applyAlignment="1"/>
    <xf numFmtId="0" fontId="5" fillId="0" borderId="0" xfId="0" applyFont="1"/>
    <xf numFmtId="176" fontId="5" fillId="0" borderId="0" xfId="0" applyNumberFormat="1" applyFont="1"/>
    <xf numFmtId="177" fontId="4" fillId="3" borderId="2" xfId="2" applyNumberFormat="1" applyBorder="1" applyAlignment="1"/>
    <xf numFmtId="0" fontId="4" fillId="4" borderId="2" xfId="3" applyBorder="1" applyAlignment="1"/>
    <xf numFmtId="178" fontId="4" fillId="3" borderId="2" xfId="2" applyNumberFormat="1" applyBorder="1" applyAlignment="1"/>
    <xf numFmtId="0" fontId="3" fillId="11" borderId="0" xfId="10" applyAlignment="1">
      <alignment horizontal="center"/>
    </xf>
    <xf numFmtId="0" fontId="4" fillId="12" borderId="2" xfId="11" applyBorder="1" applyAlignment="1"/>
    <xf numFmtId="0" fontId="3" fillId="11" borderId="2" xfId="10" applyBorder="1" applyAlignment="1"/>
    <xf numFmtId="0" fontId="4" fillId="8" borderId="0" xfId="7" applyAlignment="1"/>
    <xf numFmtId="0" fontId="4" fillId="6" borderId="2" xfId="5" applyBorder="1" applyAlignment="1"/>
    <xf numFmtId="0" fontId="2" fillId="12" borderId="2" xfId="11" applyFont="1" applyBorder="1" applyAlignment="1"/>
    <xf numFmtId="0" fontId="4" fillId="7" borderId="2" xfId="6" applyBorder="1" applyAlignment="1"/>
    <xf numFmtId="2" fontId="4" fillId="3" borderId="2" xfId="2" applyNumberFormat="1" applyBorder="1" applyAlignment="1"/>
    <xf numFmtId="178" fontId="2" fillId="3" borderId="2" xfId="2" applyNumberFormat="1" applyFont="1" applyBorder="1" applyAlignment="1"/>
    <xf numFmtId="179" fontId="4" fillId="3" borderId="2" xfId="2" applyNumberFormat="1" applyBorder="1" applyAlignment="1"/>
    <xf numFmtId="2" fontId="2" fillId="12" borderId="2" xfId="11" applyNumberFormat="1" applyFont="1" applyBorder="1" applyAlignment="1"/>
    <xf numFmtId="178" fontId="4" fillId="12" borderId="2" xfId="11" applyNumberFormat="1" applyBorder="1" applyAlignment="1"/>
    <xf numFmtId="2" fontId="4" fillId="12" borderId="2" xfId="11" applyNumberFormat="1" applyBorder="1" applyAlignment="1"/>
    <xf numFmtId="179" fontId="4" fillId="12" borderId="2" xfId="11" applyNumberFormat="1" applyBorder="1" applyAlignment="1"/>
    <xf numFmtId="1" fontId="4" fillId="6" borderId="2" xfId="5" applyNumberFormat="1" applyBorder="1" applyAlignment="1"/>
    <xf numFmtId="178" fontId="4" fillId="7" borderId="2" xfId="6" applyNumberFormat="1" applyBorder="1" applyAlignment="1"/>
    <xf numFmtId="1" fontId="4" fillId="7" borderId="2" xfId="6" applyNumberFormat="1" applyBorder="1" applyAlignment="1"/>
    <xf numFmtId="178" fontId="4" fillId="7" borderId="4" xfId="6" applyNumberFormat="1" applyBorder="1" applyAlignment="1"/>
    <xf numFmtId="178" fontId="4" fillId="7" borderId="5" xfId="6" applyNumberFormat="1" applyBorder="1" applyAlignment="1"/>
    <xf numFmtId="0" fontId="3" fillId="2" borderId="2" xfId="1" applyBorder="1" applyAlignment="1">
      <alignment horizontal="center"/>
    </xf>
    <xf numFmtId="0" fontId="3" fillId="9" borderId="6" xfId="8" applyBorder="1" applyAlignment="1">
      <alignment horizontal="center"/>
    </xf>
    <xf numFmtId="0" fontId="3" fillId="9" borderId="0" xfId="8" applyBorder="1" applyAlignment="1">
      <alignment horizontal="center"/>
    </xf>
    <xf numFmtId="0" fontId="3" fillId="2" borderId="6" xfId="1" applyBorder="1" applyAlignment="1">
      <alignment horizontal="center"/>
    </xf>
    <xf numFmtId="0" fontId="3" fillId="2" borderId="0" xfId="1" applyBorder="1" applyAlignment="1">
      <alignment horizontal="center"/>
    </xf>
    <xf numFmtId="0" fontId="4" fillId="4" borderId="7" xfId="3" applyBorder="1" applyAlignment="1">
      <alignment horizontal="center"/>
    </xf>
    <xf numFmtId="0" fontId="4" fillId="4" borderId="1" xfId="3" applyBorder="1" applyAlignment="1">
      <alignment horizontal="center"/>
    </xf>
    <xf numFmtId="0" fontId="4" fillId="4" borderId="6" xfId="3" applyBorder="1" applyAlignment="1">
      <alignment horizontal="center"/>
    </xf>
    <xf numFmtId="0" fontId="4" fillId="4" borderId="0" xfId="3" applyBorder="1" applyAlignment="1">
      <alignment horizontal="center"/>
    </xf>
    <xf numFmtId="0" fontId="3" fillId="11" borderId="0" xfId="10" applyAlignment="1">
      <alignment horizontal="center"/>
    </xf>
    <xf numFmtId="0" fontId="4" fillId="13" borderId="6" xfId="12" applyBorder="1" applyAlignment="1">
      <alignment horizontal="center"/>
    </xf>
    <xf numFmtId="0" fontId="4" fillId="13" borderId="0" xfId="12" applyBorder="1" applyAlignment="1">
      <alignment horizontal="center"/>
    </xf>
    <xf numFmtId="0" fontId="3" fillId="5" borderId="1" xfId="4" applyBorder="1" applyAlignment="1">
      <alignment horizontal="center"/>
    </xf>
    <xf numFmtId="0" fontId="4" fillId="7" borderId="4" xfId="6" applyBorder="1" applyAlignment="1">
      <alignment horizontal="center"/>
    </xf>
    <xf numFmtId="0" fontId="4" fillId="7" borderId="5" xfId="6" applyBorder="1" applyAlignment="1">
      <alignment horizontal="center"/>
    </xf>
    <xf numFmtId="0" fontId="3" fillId="11" borderId="6" xfId="10" applyBorder="1" applyAlignment="1">
      <alignment horizontal="center"/>
    </xf>
    <xf numFmtId="0" fontId="3" fillId="11" borderId="0" xfId="10" applyBorder="1" applyAlignment="1">
      <alignment horizontal="center"/>
    </xf>
    <xf numFmtId="0" fontId="4" fillId="13" borderId="7" xfId="12" applyBorder="1" applyAlignment="1">
      <alignment horizontal="center"/>
    </xf>
    <xf numFmtId="0" fontId="4" fillId="13" borderId="1" xfId="12" applyBorder="1" applyAlignment="1">
      <alignment horizontal="center"/>
    </xf>
    <xf numFmtId="0" fontId="3" fillId="5" borderId="0" xfId="4" applyAlignment="1">
      <alignment horizontal="center"/>
    </xf>
    <xf numFmtId="0" fontId="4" fillId="8" borderId="0" xfId="7" applyAlignment="1">
      <alignment horizontal="center"/>
    </xf>
  </cellXfs>
  <cellStyles count="13">
    <cellStyle name="20% - 着色 2" xfId="2" builtinId="34"/>
    <cellStyle name="20% - 着色 4" xfId="5" builtinId="42"/>
    <cellStyle name="20% - 着色 6" xfId="11" builtinId="50"/>
    <cellStyle name="40% - 着色 4" xfId="6" builtinId="43"/>
    <cellStyle name="60% - 着色 2" xfId="3" builtinId="36"/>
    <cellStyle name="60% - 着色 4" xfId="7" builtinId="44"/>
    <cellStyle name="60% - 着色 5" xfId="9" builtinId="48"/>
    <cellStyle name="60% - 着色 6" xfId="12" builtinId="52"/>
    <cellStyle name="常规" xfId="0" builtinId="0"/>
    <cellStyle name="着色 2" xfId="1" builtinId="33"/>
    <cellStyle name="着色 4" xfId="4" builtinId="41"/>
    <cellStyle name="着色 5" xfId="8" builtinId="45"/>
    <cellStyle name="着色 6" xfId="10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23" zoomScale="85" zoomScaleNormal="85" workbookViewId="0">
      <selection activeCell="G47" sqref="G47"/>
    </sheetView>
  </sheetViews>
  <sheetFormatPr defaultRowHeight="14" x14ac:dyDescent="0.3"/>
  <cols>
    <col min="2" max="2" width="17.75" customWidth="1"/>
    <col min="3" max="3" width="19.58203125" customWidth="1"/>
    <col min="4" max="4" width="19" customWidth="1"/>
    <col min="5" max="5" width="19.83203125" customWidth="1"/>
    <col min="6" max="6" width="15.58203125" customWidth="1"/>
    <col min="7" max="7" width="18.83203125" customWidth="1"/>
    <col min="8" max="8" width="13" customWidth="1"/>
    <col min="11" max="11" width="9.58203125" bestFit="1" customWidth="1"/>
  </cols>
  <sheetData>
    <row r="1" spans="1:9" x14ac:dyDescent="0.3">
      <c r="A1" s="31" t="s">
        <v>3</v>
      </c>
      <c r="B1" s="32"/>
      <c r="C1" s="32"/>
      <c r="D1" s="32"/>
    </row>
    <row r="2" spans="1:9" x14ac:dyDescent="0.3">
      <c r="A2" s="1" t="s">
        <v>1</v>
      </c>
      <c r="B2" s="1" t="s">
        <v>0</v>
      </c>
      <c r="C2" s="1" t="s">
        <v>2</v>
      </c>
      <c r="D2" s="3" t="s">
        <v>40</v>
      </c>
    </row>
    <row r="3" spans="1:9" x14ac:dyDescent="0.3">
      <c r="A3" s="1">
        <v>3</v>
      </c>
      <c r="B3" s="1">
        <v>656.47299999999996</v>
      </c>
      <c r="C3" s="1">
        <v>656.29399999999998</v>
      </c>
      <c r="D3" s="1">
        <f>(B3-C3)*10</f>
        <v>1.7899999999997362</v>
      </c>
      <c r="F3" cm="1">
        <f t="array" ref="F3:I5">TRANSPOSE(B3:D6)</f>
        <v>656.47299999999996</v>
      </c>
      <c r="G3">
        <v>486.27600000000001</v>
      </c>
      <c r="H3">
        <v>434.17500000000001</v>
      </c>
      <c r="I3">
        <v>410.29599999999999</v>
      </c>
    </row>
    <row r="4" spans="1:9" x14ac:dyDescent="0.3">
      <c r="A4" s="1">
        <v>4</v>
      </c>
      <c r="B4" s="1">
        <v>486.27600000000001</v>
      </c>
      <c r="C4" s="1">
        <v>486.14299999999997</v>
      </c>
      <c r="D4" s="1">
        <f t="shared" ref="D4:D6" si="0">(B4-C4)*10</f>
        <v>1.330000000000382</v>
      </c>
      <c r="F4">
        <v>656.29399999999998</v>
      </c>
      <c r="G4">
        <v>486.14299999999997</v>
      </c>
      <c r="H4">
        <v>434.05700000000002</v>
      </c>
      <c r="I4">
        <v>410.18299999999999</v>
      </c>
    </row>
    <row r="5" spans="1:9" x14ac:dyDescent="0.3">
      <c r="A5" s="1">
        <v>5</v>
      </c>
      <c r="B5" s="1">
        <v>434.17500000000001</v>
      </c>
      <c r="C5" s="1">
        <v>434.05700000000002</v>
      </c>
      <c r="D5" s="1">
        <f t="shared" si="0"/>
        <v>1.17999999999995</v>
      </c>
      <c r="F5">
        <v>1.7899999999997362</v>
      </c>
      <c r="G5">
        <v>1.330000000000382</v>
      </c>
      <c r="H5">
        <v>1.17999999999995</v>
      </c>
      <c r="I5">
        <v>1.1299999999999955</v>
      </c>
    </row>
    <row r="6" spans="1:9" x14ac:dyDescent="0.3">
      <c r="A6" s="1">
        <v>6</v>
      </c>
      <c r="B6" s="1">
        <v>410.29599999999999</v>
      </c>
      <c r="C6" s="1">
        <v>410.18299999999999</v>
      </c>
      <c r="D6" s="1">
        <f t="shared" si="0"/>
        <v>1.1299999999999955</v>
      </c>
    </row>
    <row r="12" spans="1:9" x14ac:dyDescent="0.3">
      <c r="A12" s="30" t="s">
        <v>16</v>
      </c>
      <c r="B12" s="30"/>
      <c r="C12" s="30"/>
      <c r="D12" s="30"/>
      <c r="E12" s="30"/>
      <c r="F12" s="30"/>
      <c r="G12" s="30"/>
      <c r="H12" s="30"/>
    </row>
    <row r="13" spans="1:9" x14ac:dyDescent="0.3">
      <c r="A13" s="30" t="s">
        <v>15</v>
      </c>
      <c r="B13" s="30"/>
      <c r="C13" s="30"/>
      <c r="D13" s="30"/>
      <c r="E13" s="30"/>
      <c r="F13" s="30"/>
      <c r="G13" s="30"/>
      <c r="H13" s="30"/>
    </row>
    <row r="14" spans="1:9" x14ac:dyDescent="0.3">
      <c r="A14" s="2" t="s">
        <v>5</v>
      </c>
      <c r="B14" s="2" t="s">
        <v>7</v>
      </c>
      <c r="C14" s="2" t="s">
        <v>11</v>
      </c>
      <c r="D14" s="2" t="s">
        <v>12</v>
      </c>
      <c r="E14" s="2" t="s">
        <v>14</v>
      </c>
      <c r="F14" s="2" t="s">
        <v>13</v>
      </c>
      <c r="G14" s="2" t="s">
        <v>30</v>
      </c>
      <c r="H14" s="2" t="s">
        <v>6</v>
      </c>
    </row>
    <row r="15" spans="1:9" x14ac:dyDescent="0.3">
      <c r="A15" s="2">
        <v>3</v>
      </c>
      <c r="B15" s="2" t="s">
        <v>10</v>
      </c>
      <c r="C15" s="10">
        <v>650.65</v>
      </c>
      <c r="D15" s="10">
        <v>653.29</v>
      </c>
      <c r="E15" s="10">
        <v>659.9</v>
      </c>
      <c r="F15" s="19">
        <v>659.99</v>
      </c>
      <c r="G15" s="10">
        <f>ABS(F15-E15)*10</f>
        <v>0.90000000000031832</v>
      </c>
      <c r="H15" s="19">
        <v>656.18</v>
      </c>
    </row>
    <row r="16" spans="1:9" x14ac:dyDescent="0.3">
      <c r="A16" s="2">
        <v>4</v>
      </c>
      <c r="B16" s="2" t="s">
        <v>8</v>
      </c>
      <c r="C16" s="10">
        <v>492.19</v>
      </c>
      <c r="D16" s="10">
        <v>501.57</v>
      </c>
      <c r="E16" s="10">
        <v>504.77</v>
      </c>
      <c r="F16" s="19">
        <v>504.82</v>
      </c>
      <c r="G16" s="10">
        <f t="shared" ref="G16:G18" si="1">ABS(F16-E16)*10</f>
        <v>0.50000000000011369</v>
      </c>
      <c r="H16" s="19">
        <v>486.21</v>
      </c>
    </row>
    <row r="17" spans="1:9" x14ac:dyDescent="0.3">
      <c r="A17" s="2">
        <v>5</v>
      </c>
      <c r="B17" s="2" t="s">
        <v>8</v>
      </c>
      <c r="C17" s="10">
        <v>438.79</v>
      </c>
      <c r="D17" s="10">
        <v>443.74</v>
      </c>
      <c r="E17" s="10">
        <v>447.15</v>
      </c>
      <c r="F17" s="19">
        <v>447.14</v>
      </c>
      <c r="G17" s="10">
        <f t="shared" si="1"/>
        <v>9.9999999999909051E-2</v>
      </c>
      <c r="H17" s="19">
        <v>434.07</v>
      </c>
    </row>
    <row r="18" spans="1:9" x14ac:dyDescent="0.3">
      <c r="A18" s="2">
        <v>6</v>
      </c>
      <c r="B18" s="2" t="s">
        <v>9</v>
      </c>
      <c r="C18" s="10">
        <v>402.62</v>
      </c>
      <c r="D18" s="10">
        <v>412.08</v>
      </c>
      <c r="E18" s="10">
        <v>414.38</v>
      </c>
      <c r="F18" s="19">
        <v>414.37</v>
      </c>
      <c r="G18" s="10">
        <f t="shared" si="1"/>
        <v>9.9999999999909051E-2</v>
      </c>
      <c r="H18" s="19">
        <v>410.1</v>
      </c>
    </row>
    <row r="21" spans="1:9" x14ac:dyDescent="0.3">
      <c r="A21" s="33" t="s">
        <v>17</v>
      </c>
      <c r="B21" s="34"/>
      <c r="C21" s="34"/>
      <c r="D21" s="34"/>
      <c r="E21" s="34"/>
      <c r="G21" s="33" t="s">
        <v>32</v>
      </c>
      <c r="H21" s="34"/>
    </row>
    <row r="22" spans="1:9" x14ac:dyDescent="0.3">
      <c r="A22" s="33" t="s">
        <v>19</v>
      </c>
      <c r="B22" s="34"/>
      <c r="C22" s="34"/>
      <c r="D22" s="34"/>
      <c r="E22" s="34"/>
      <c r="G22" s="36" t="s">
        <v>33</v>
      </c>
      <c r="H22" s="36"/>
    </row>
    <row r="23" spans="1:9" x14ac:dyDescent="0.3">
      <c r="A23" s="37" t="s">
        <v>21</v>
      </c>
      <c r="B23" s="38"/>
      <c r="C23" s="38"/>
      <c r="D23" s="38"/>
      <c r="E23" s="38"/>
      <c r="G23" s="2" t="s">
        <v>31</v>
      </c>
      <c r="H23" s="2" t="s">
        <v>4</v>
      </c>
    </row>
    <row r="24" spans="1:9" x14ac:dyDescent="0.3">
      <c r="A24" s="2" t="s">
        <v>5</v>
      </c>
      <c r="B24" s="2" t="s">
        <v>22</v>
      </c>
      <c r="C24" s="2" t="s">
        <v>23</v>
      </c>
      <c r="D24" s="2" t="s">
        <v>24</v>
      </c>
      <c r="E24" s="2" t="s">
        <v>25</v>
      </c>
      <c r="G24" s="8">
        <f>1+2876.04*10^-7+3*16.288*10^-7/(B25*10^-3)^2+5*0.136*10^-7/(B25*10^-3)^4</f>
        <v>1.0002993194091008</v>
      </c>
      <c r="H24" s="8">
        <f>1+(G24-1)/(1+G$39/273)-H$39*5.5*10^-8/(1+G$39/273)</f>
        <v>1.0002738618282885</v>
      </c>
      <c r="I24" s="6"/>
    </row>
    <row r="25" spans="1:9" x14ac:dyDescent="0.3">
      <c r="A25" s="2">
        <v>3</v>
      </c>
      <c r="B25" s="2">
        <f>H15</f>
        <v>656.18</v>
      </c>
      <c r="C25" s="18">
        <f>B25*H24</f>
        <v>656.35970265448634</v>
      </c>
      <c r="D25" s="18">
        <v>656.47299999999996</v>
      </c>
      <c r="E25" s="10">
        <f>ABS(D25-C25)*100/D25</f>
        <v>1.7258492811374614E-2</v>
      </c>
      <c r="G25" s="8">
        <f>1+2876.04*10^-7+3*16.288*10^-7/(B26*10^-3)^2+5*0.136*10^-7/(B26*10^-3)^4</f>
        <v>1.0003094908200629</v>
      </c>
      <c r="H25" s="8">
        <f>1+(G25-1)/(1+G$39/273)-H$39*5.5*10^-8/(1+G$39/273)</f>
        <v>1.0002832081601387</v>
      </c>
      <c r="I25" s="6"/>
    </row>
    <row r="26" spans="1:9" x14ac:dyDescent="0.3">
      <c r="A26" s="2">
        <v>4</v>
      </c>
      <c r="B26" s="2">
        <f t="shared" ref="B26:B28" si="2">H16</f>
        <v>486.21</v>
      </c>
      <c r="C26" s="18">
        <f>B26*H25</f>
        <v>486.34769863954102</v>
      </c>
      <c r="D26" s="18">
        <v>486.27600000000001</v>
      </c>
      <c r="E26" s="10">
        <f t="shared" ref="E26:E28" si="3">ABS(D26-C26)*100/D26</f>
        <v>1.4744433108154986E-2</v>
      </c>
      <c r="G26" s="8">
        <f>1+2876.04*10^-7+3*16.288*10^-7/(B27*10^-3)^2+5*0.136*10^-7/(B27*10^-3)^4</f>
        <v>1.0003154534436003</v>
      </c>
      <c r="H26" s="8">
        <f>1+(G26-1)/(1+G$39/273)-H$39*5.5*10^-8/(1+G$39/273)</f>
        <v>1.0002886871107468</v>
      </c>
      <c r="I26" s="6"/>
    </row>
    <row r="27" spans="1:9" x14ac:dyDescent="0.3">
      <c r="A27" s="2">
        <v>5</v>
      </c>
      <c r="B27" s="2">
        <f t="shared" si="2"/>
        <v>434.07</v>
      </c>
      <c r="C27" s="18">
        <f>B27*H26</f>
        <v>434.19531041416184</v>
      </c>
      <c r="D27" s="18">
        <v>434.17500000000001</v>
      </c>
      <c r="E27" s="10">
        <f t="shared" si="3"/>
        <v>4.6779326681238862E-3</v>
      </c>
      <c r="G27" s="8">
        <f>1+2876.04*10^-7+3*16.288*10^-7/(B28*10^-3)^2+5*0.136*10^-7/(B28*10^-3)^4</f>
        <v>1.000319062322226</v>
      </c>
      <c r="H27" s="8">
        <f>1+(G27-1)/(1+G$39/273)-H$39*5.5*10^-8/(1+G$39/273)</f>
        <v>1.000292003246273</v>
      </c>
      <c r="I27" s="6"/>
    </row>
    <row r="28" spans="1:9" x14ac:dyDescent="0.3">
      <c r="A28" s="2">
        <v>6</v>
      </c>
      <c r="B28" s="2">
        <f t="shared" si="2"/>
        <v>410.1</v>
      </c>
      <c r="C28" s="18">
        <f>B28*H27</f>
        <v>410.2197505312966</v>
      </c>
      <c r="D28" s="18">
        <v>410.29599999999999</v>
      </c>
      <c r="E28" s="10">
        <f t="shared" si="3"/>
        <v>1.8584014639039862E-2</v>
      </c>
      <c r="G28" s="7"/>
      <c r="H28" s="7"/>
      <c r="I28" s="7"/>
    </row>
    <row r="29" spans="1:9" x14ac:dyDescent="0.3">
      <c r="I29" s="7"/>
    </row>
    <row r="30" spans="1:9" x14ac:dyDescent="0.3">
      <c r="A30" s="33" t="s">
        <v>17</v>
      </c>
      <c r="B30" s="34"/>
      <c r="C30" s="34"/>
      <c r="D30" s="34"/>
      <c r="E30" s="34"/>
      <c r="G30" s="33" t="s">
        <v>32</v>
      </c>
      <c r="H30" s="34"/>
      <c r="I30" s="7"/>
    </row>
    <row r="31" spans="1:9" x14ac:dyDescent="0.3">
      <c r="A31" s="33" t="s">
        <v>19</v>
      </c>
      <c r="B31" s="34"/>
      <c r="C31" s="34"/>
      <c r="D31" s="34"/>
      <c r="E31" s="34"/>
      <c r="G31" s="4" t="s">
        <v>34</v>
      </c>
      <c r="H31" s="4"/>
      <c r="I31" s="7"/>
    </row>
    <row r="32" spans="1:9" x14ac:dyDescent="0.3">
      <c r="A32" s="37" t="s">
        <v>27</v>
      </c>
      <c r="B32" s="38"/>
      <c r="C32" s="38"/>
      <c r="D32" s="38"/>
      <c r="E32" s="38"/>
      <c r="G32" s="2" t="s">
        <v>31</v>
      </c>
      <c r="H32" s="2" t="s">
        <v>4</v>
      </c>
    </row>
    <row r="33" spans="1:8" x14ac:dyDescent="0.3">
      <c r="A33" s="2" t="s">
        <v>5</v>
      </c>
      <c r="B33" s="2" t="s">
        <v>22</v>
      </c>
      <c r="C33" s="2" t="s">
        <v>23</v>
      </c>
      <c r="D33" s="2" t="s">
        <v>24</v>
      </c>
      <c r="E33" s="2" t="s">
        <v>25</v>
      </c>
      <c r="G33" s="8">
        <f>1+2876.04*10^-7+3*16.288*10^-7/(B34*10^-3)^2+5*0.136*10^-7/(B34*10^-3)^4</f>
        <v>1.0002993260405957</v>
      </c>
      <c r="H33" s="8">
        <f>1+(G33-1)/(1+G$39/273)-H$39*5.5*10^-8/(1+G$39/273)</f>
        <v>1.0002738679218535</v>
      </c>
    </row>
    <row r="34" spans="1:8" x14ac:dyDescent="0.3">
      <c r="A34" s="2">
        <v>3</v>
      </c>
      <c r="B34" s="5">
        <v>656</v>
      </c>
      <c r="C34" s="18">
        <f>H33*B34</f>
        <v>656.1796573567359</v>
      </c>
      <c r="D34" s="18">
        <v>656.29399999999998</v>
      </c>
      <c r="E34" s="10">
        <f>(C34-D34)*100/D34</f>
        <v>-1.7422472743020785E-2</v>
      </c>
      <c r="G34" s="8">
        <f>1+2876.04*10^-7+3*16.288*10^-7/(B35*10^-3)^2+5*0.136*10^-7/(B35*10^-3)^4</f>
        <v>1.0003095041311847</v>
      </c>
      <c r="H34" s="8">
        <f>1+(G34-1)/(1+G$39/273)-H$39*5.5*10^-8/(1+G$39/273)</f>
        <v>1.000283220391496</v>
      </c>
    </row>
    <row r="35" spans="1:8" x14ac:dyDescent="0.3">
      <c r="A35" s="2">
        <v>4</v>
      </c>
      <c r="B35" s="5">
        <v>486.07</v>
      </c>
      <c r="C35" s="18">
        <f>H34*B35</f>
        <v>486.20766493569442</v>
      </c>
      <c r="D35" s="18">
        <v>486.14299999999997</v>
      </c>
      <c r="E35" s="10">
        <f t="shared" ref="E35:E37" si="4">(C35-D35)*100/D35</f>
        <v>1.33016284703168E-2</v>
      </c>
      <c r="G35" s="8">
        <f>1+2876.04*10^-7+3*16.288*10^-7/(B36*10^-3)^2+5*0.136*10^-7/(B36*10^-3)^4</f>
        <v>1.0003154699082055</v>
      </c>
      <c r="H35" s="8">
        <f>1+(G35-1)/(1+G$39/273)-H$39*5.5*10^-8/(1+G$39/273)</f>
        <v>1.0002887022397851</v>
      </c>
    </row>
    <row r="36" spans="1:8" x14ac:dyDescent="0.3">
      <c r="A36" s="2">
        <v>5</v>
      </c>
      <c r="B36" s="5">
        <v>433.95</v>
      </c>
      <c r="C36" s="18">
        <f>H35*B36</f>
        <v>434.07528233695473</v>
      </c>
      <c r="D36" s="18">
        <v>434.05700000000002</v>
      </c>
      <c r="E36" s="10">
        <f t="shared" si="4"/>
        <v>4.2119668510615573E-3</v>
      </c>
      <c r="G36" s="8">
        <f>1+2876.04*10^-7+3*16.288*10^-7/(B37*10^-3)^2+5*0.136*10^-7/(B37*10^-3)^4</f>
        <v>1.0003190804958713</v>
      </c>
      <c r="H36" s="8">
        <f>1+(G36-1)/(1+G$39/273)-H$39*5.5*10^-8/(1+G$39/273)</f>
        <v>1.0002920199457181</v>
      </c>
    </row>
    <row r="37" spans="1:8" x14ac:dyDescent="0.3">
      <c r="A37" s="2">
        <v>6</v>
      </c>
      <c r="B37" s="5">
        <v>409.99</v>
      </c>
      <c r="C37" s="18">
        <f>H36*B37</f>
        <v>410.10972525754499</v>
      </c>
      <c r="D37" s="18">
        <v>410.18299999999999</v>
      </c>
      <c r="E37" s="10">
        <f t="shared" si="4"/>
        <v>-1.7863914997695768E-2</v>
      </c>
    </row>
    <row r="38" spans="1:8" x14ac:dyDescent="0.3">
      <c r="G38" s="9" t="s">
        <v>35</v>
      </c>
      <c r="H38" s="9" t="s">
        <v>36</v>
      </c>
    </row>
    <row r="39" spans="1:8" x14ac:dyDescent="0.3">
      <c r="G39" s="5">
        <v>24.1</v>
      </c>
      <c r="H39" s="5">
        <v>23.3</v>
      </c>
    </row>
    <row r="40" spans="1:8" x14ac:dyDescent="0.3">
      <c r="A40" s="33" t="s">
        <v>17</v>
      </c>
      <c r="B40" s="34"/>
      <c r="C40" s="34"/>
      <c r="D40" s="34"/>
    </row>
    <row r="41" spans="1:8" x14ac:dyDescent="0.3">
      <c r="A41" s="33" t="s">
        <v>19</v>
      </c>
      <c r="B41" s="34"/>
      <c r="C41" s="34"/>
      <c r="D41" s="34"/>
    </row>
    <row r="42" spans="1:8" x14ac:dyDescent="0.3">
      <c r="A42" s="35" t="s">
        <v>28</v>
      </c>
      <c r="B42" s="36"/>
      <c r="C42" s="36"/>
      <c r="D42" s="36"/>
    </row>
    <row r="43" spans="1:8" x14ac:dyDescent="0.3">
      <c r="A43" s="2" t="s">
        <v>5</v>
      </c>
      <c r="B43" s="2" t="s">
        <v>29</v>
      </c>
      <c r="C43" s="2" t="s">
        <v>18</v>
      </c>
      <c r="D43" s="2" t="s">
        <v>25</v>
      </c>
    </row>
    <row r="44" spans="1:8" x14ac:dyDescent="0.3">
      <c r="A44" s="2">
        <v>3</v>
      </c>
      <c r="B44" s="20">
        <f>ABS(C34-C25)*10</f>
        <v>1.800452977504392</v>
      </c>
      <c r="C44" s="20">
        <v>1.7899999999997362</v>
      </c>
      <c r="D44" s="20">
        <f>ABS(C44-B44)*100/C44</f>
        <v>0.58396522372387327</v>
      </c>
    </row>
    <row r="45" spans="1:8" x14ac:dyDescent="0.3">
      <c r="A45" s="2">
        <v>4</v>
      </c>
      <c r="B45" s="20">
        <f t="shared" ref="B45:B47" si="5">ABS(C35-C26)*10</f>
        <v>1.4003370384659775</v>
      </c>
      <c r="C45" s="20">
        <v>1.330000000000382</v>
      </c>
      <c r="D45" s="20">
        <f t="shared" ref="D45:D47" si="6">ABS(C45-B45)*100/C45</f>
        <v>5.2884991327500206</v>
      </c>
    </row>
    <row r="46" spans="1:8" x14ac:dyDescent="0.3">
      <c r="A46" s="2">
        <v>5</v>
      </c>
      <c r="B46" s="20">
        <f t="shared" si="5"/>
        <v>1.2002807720710962</v>
      </c>
      <c r="C46" s="20">
        <v>1.17999999999995</v>
      </c>
      <c r="D46" s="20">
        <f t="shared" si="6"/>
        <v>1.7187094975548358</v>
      </c>
    </row>
    <row r="47" spans="1:8" x14ac:dyDescent="0.3">
      <c r="A47" s="2">
        <v>6</v>
      </c>
      <c r="B47" s="20">
        <f t="shared" si="5"/>
        <v>1.1002527375160298</v>
      </c>
      <c r="C47" s="20">
        <v>1.1299999999999955</v>
      </c>
      <c r="D47" s="20">
        <f t="shared" si="6"/>
        <v>2.6325011047757312</v>
      </c>
    </row>
    <row r="52" spans="1:11" x14ac:dyDescent="0.3">
      <c r="A52" s="39" t="s">
        <v>38</v>
      </c>
      <c r="B52" s="39"/>
      <c r="C52" s="39"/>
      <c r="I52" s="11" t="s">
        <v>38</v>
      </c>
      <c r="J52" s="11"/>
      <c r="K52" s="11"/>
    </row>
    <row r="53" spans="1:11" x14ac:dyDescent="0.3">
      <c r="A53" s="39" t="s">
        <v>39</v>
      </c>
      <c r="B53" s="39"/>
      <c r="C53" s="39"/>
      <c r="E53" s="39" t="s">
        <v>48</v>
      </c>
      <c r="F53" s="39"/>
      <c r="G53" s="39"/>
      <c r="I53" s="11" t="s">
        <v>39</v>
      </c>
      <c r="J53" s="11"/>
      <c r="K53" s="11"/>
    </row>
    <row r="54" spans="1:11" x14ac:dyDescent="0.3">
      <c r="A54" s="12" t="s">
        <v>5</v>
      </c>
      <c r="B54" s="12" t="s">
        <v>20</v>
      </c>
      <c r="C54" s="12" t="s">
        <v>26</v>
      </c>
      <c r="F54" s="12" t="s">
        <v>20</v>
      </c>
      <c r="G54" s="12" t="s">
        <v>26</v>
      </c>
      <c r="I54" s="12" t="s">
        <v>1</v>
      </c>
      <c r="J54" s="12" t="s">
        <v>20</v>
      </c>
      <c r="K54" s="12" t="s">
        <v>26</v>
      </c>
    </row>
    <row r="55" spans="1:11" x14ac:dyDescent="0.3">
      <c r="A55" s="12">
        <v>3</v>
      </c>
      <c r="B55" s="16">
        <v>656.25</v>
      </c>
      <c r="C55" s="16">
        <v>656.07</v>
      </c>
      <c r="E55" s="12"/>
      <c r="F55" s="16">
        <f>-(1/4)*((B55-H15)+(B56-H16)+(B57-H17)+(B58-H18))</f>
        <v>-7.5000000000216005E-3</v>
      </c>
      <c r="G55" s="16">
        <f>-(1/4)*((C55-B34)+(C56-B35)+(C57-B36)+(C58-B37))</f>
        <v>-1.7500000000012506E-2</v>
      </c>
      <c r="I55" s="12">
        <v>3</v>
      </c>
      <c r="J55" s="16">
        <f>B55+F$55</f>
        <v>656.24249999999995</v>
      </c>
      <c r="K55" s="21">
        <f>C55+0.015</f>
        <v>656.08500000000004</v>
      </c>
    </row>
    <row r="56" spans="1:11" x14ac:dyDescent="0.3">
      <c r="A56" s="12">
        <v>4</v>
      </c>
      <c r="B56" s="16">
        <v>486.12</v>
      </c>
      <c r="C56" s="16">
        <v>486</v>
      </c>
      <c r="I56" s="12">
        <v>4</v>
      </c>
      <c r="J56" s="16">
        <f t="shared" ref="J56:J58" si="7">B56+F$55</f>
        <v>486.11249999999995</v>
      </c>
      <c r="K56" s="21">
        <f t="shared" ref="K56:K58" si="8">C56+0.015</f>
        <v>486.01499999999999</v>
      </c>
    </row>
    <row r="57" spans="1:11" x14ac:dyDescent="0.3">
      <c r="A57" s="12">
        <v>5</v>
      </c>
      <c r="B57" s="16">
        <v>434.05</v>
      </c>
      <c r="C57" s="16">
        <v>433.94</v>
      </c>
      <c r="I57" s="12">
        <v>5</v>
      </c>
      <c r="J57" s="16">
        <f t="shared" si="7"/>
        <v>434.04250000000002</v>
      </c>
      <c r="K57" s="21">
        <f t="shared" si="8"/>
        <v>433.95499999999998</v>
      </c>
    </row>
    <row r="58" spans="1:11" x14ac:dyDescent="0.3">
      <c r="A58" s="12">
        <v>6</v>
      </c>
      <c r="B58" s="16">
        <v>410.17</v>
      </c>
      <c r="C58" s="16">
        <v>410.07</v>
      </c>
      <c r="I58" s="12">
        <v>6</v>
      </c>
      <c r="J58" s="16">
        <f t="shared" si="7"/>
        <v>410.16250000000002</v>
      </c>
      <c r="K58" s="21">
        <f t="shared" si="8"/>
        <v>410.08499999999998</v>
      </c>
    </row>
    <row r="60" spans="1:11" x14ac:dyDescent="0.3">
      <c r="A60" s="39" t="s">
        <v>38</v>
      </c>
      <c r="B60" s="39"/>
      <c r="C60" s="39"/>
      <c r="D60" s="39"/>
      <c r="E60" s="39"/>
      <c r="G60" s="39" t="s">
        <v>32</v>
      </c>
      <c r="H60" s="39"/>
    </row>
    <row r="61" spans="1:11" x14ac:dyDescent="0.3">
      <c r="A61" s="39" t="s">
        <v>39</v>
      </c>
      <c r="B61" s="39"/>
      <c r="C61" s="39"/>
      <c r="D61" s="39"/>
      <c r="E61" s="39"/>
      <c r="G61" s="40" t="s">
        <v>33</v>
      </c>
      <c r="H61" s="41"/>
    </row>
    <row r="62" spans="1:11" x14ac:dyDescent="0.3">
      <c r="A62" s="40" t="s">
        <v>21</v>
      </c>
      <c r="B62" s="41"/>
      <c r="C62" s="41"/>
      <c r="D62" s="41"/>
      <c r="E62" s="41"/>
      <c r="G62" s="12" t="s">
        <v>31</v>
      </c>
      <c r="H62" s="12" t="s">
        <v>4</v>
      </c>
    </row>
    <row r="63" spans="1:11" x14ac:dyDescent="0.3">
      <c r="A63" s="12" t="s">
        <v>5</v>
      </c>
      <c r="B63" s="12" t="s">
        <v>22</v>
      </c>
      <c r="C63" s="12" t="s">
        <v>23</v>
      </c>
      <c r="D63" s="12" t="s">
        <v>24</v>
      </c>
      <c r="E63" s="12" t="s">
        <v>25</v>
      </c>
      <c r="G63" s="12">
        <f>1+2876.04*10^-7+3*16.288*10^-7/(B64*10^-3)^2+5*0.136*10^-7/(B64*10^-3)^4</f>
        <v>1.0002993171078263</v>
      </c>
      <c r="H63" s="12">
        <f>1+(G63-1)/(1+G$39/273)-H$39*5.5*10^-8/(1+G$39/273)</f>
        <v>1.0002738597136875</v>
      </c>
    </row>
    <row r="64" spans="1:11" x14ac:dyDescent="0.3">
      <c r="A64" s="12">
        <v>3</v>
      </c>
      <c r="B64" s="12">
        <f>J55</f>
        <v>656.24249999999995</v>
      </c>
      <c r="C64" s="23">
        <f>B64*H63</f>
        <v>656.42221838315959</v>
      </c>
      <c r="D64" s="12">
        <v>656.47299999999996</v>
      </c>
      <c r="E64" s="22">
        <f>ABS(D64-C64)*100/D64</f>
        <v>7.735522533351389E-3</v>
      </c>
      <c r="G64" s="12">
        <f>1+2876.04*10^-7+3*16.288*10^-7/(B65*10^-3)^2+5*0.136*10^-7/(B65*10^-3)^4</f>
        <v>1.000309500089007</v>
      </c>
      <c r="H64" s="12">
        <f>1+(G64-1)/(1+G$39/273)-H$39*5.5*10^-8/(1+G$39/273)</f>
        <v>1.0002832166772095</v>
      </c>
    </row>
    <row r="65" spans="1:8" x14ac:dyDescent="0.3">
      <c r="A65" s="12">
        <v>4</v>
      </c>
      <c r="B65" s="12">
        <f t="shared" ref="B65:B67" si="9">J56</f>
        <v>486.11249999999995</v>
      </c>
      <c r="C65" s="23">
        <f t="shared" ref="C65:C67" si="10">B65*H64</f>
        <v>486.25017516699995</v>
      </c>
      <c r="D65" s="12">
        <v>486.27600000000001</v>
      </c>
      <c r="E65" s="22">
        <f t="shared" ref="E65:E67" si="11">ABS(D65-C65)*100/D65</f>
        <v>5.3107356727575151E-3</v>
      </c>
      <c r="G65" s="12">
        <f t="shared" ref="G65:G66" si="12">1+2876.04*10^-7+3*16.288*10^-7/(B66*10^-3)^2+5*0.136*10^-7/(B66*10^-3)^4</f>
        <v>1.0003154572154296</v>
      </c>
      <c r="H65" s="12">
        <f>1+(G65-1)/(1+G$39/273)-H$39*5.5*10^-8/(1+G$39/273)</f>
        <v>1.0002886905766148</v>
      </c>
    </row>
    <row r="66" spans="1:8" x14ac:dyDescent="0.3">
      <c r="A66" s="12">
        <v>5</v>
      </c>
      <c r="B66" s="12">
        <f t="shared" si="9"/>
        <v>434.04250000000002</v>
      </c>
      <c r="C66" s="23">
        <f t="shared" si="10"/>
        <v>434.16780397960036</v>
      </c>
      <c r="D66" s="12">
        <v>434.17500000000001</v>
      </c>
      <c r="E66" s="22">
        <f t="shared" si="11"/>
        <v>1.6574009096900653E-3</v>
      </c>
      <c r="G66" s="12">
        <f t="shared" si="12"/>
        <v>1.0003190520034209</v>
      </c>
      <c r="H66" s="12">
        <f>1+(G66-1)/(1+G$39/273)-H$39*5.5*10^-8/(1+G$39/273)</f>
        <v>1.0002919937645032</v>
      </c>
    </row>
    <row r="67" spans="1:8" x14ac:dyDescent="0.3">
      <c r="A67" s="12">
        <v>6</v>
      </c>
      <c r="B67" s="12">
        <f t="shared" si="9"/>
        <v>410.16250000000002</v>
      </c>
      <c r="C67" s="23">
        <f t="shared" si="10"/>
        <v>410.28226489243303</v>
      </c>
      <c r="D67" s="12">
        <v>410.29599999999999</v>
      </c>
      <c r="E67" s="22">
        <f t="shared" si="11"/>
        <v>3.3476094251366096E-3</v>
      </c>
      <c r="G67" s="7"/>
      <c r="H67" s="7"/>
    </row>
    <row r="69" spans="1:8" x14ac:dyDescent="0.3">
      <c r="A69" s="39" t="s">
        <v>38</v>
      </c>
      <c r="B69" s="39"/>
      <c r="C69" s="39"/>
      <c r="D69" s="39"/>
      <c r="E69" s="39"/>
      <c r="G69" s="39" t="s">
        <v>32</v>
      </c>
      <c r="H69" s="39"/>
    </row>
    <row r="70" spans="1:8" x14ac:dyDescent="0.3">
      <c r="A70" s="39" t="s">
        <v>39</v>
      </c>
      <c r="B70" s="39"/>
      <c r="C70" s="39"/>
      <c r="D70" s="39"/>
      <c r="E70" s="39"/>
      <c r="G70" s="40" t="s">
        <v>34</v>
      </c>
      <c r="H70" s="41"/>
    </row>
    <row r="71" spans="1:8" x14ac:dyDescent="0.3">
      <c r="A71" s="40" t="s">
        <v>27</v>
      </c>
      <c r="B71" s="41"/>
      <c r="C71" s="41"/>
      <c r="D71" s="41"/>
      <c r="E71" s="41"/>
      <c r="G71" s="12" t="s">
        <v>31</v>
      </c>
      <c r="H71" s="12" t="s">
        <v>4</v>
      </c>
    </row>
    <row r="72" spans="1:8" x14ac:dyDescent="0.3">
      <c r="A72" s="12" t="s">
        <v>5</v>
      </c>
      <c r="B72" s="12" t="s">
        <v>22</v>
      </c>
      <c r="C72" s="12" t="s">
        <v>23</v>
      </c>
      <c r="D72" s="12" t="s">
        <v>24</v>
      </c>
      <c r="E72" s="12" t="s">
        <v>25</v>
      </c>
      <c r="G72" s="12">
        <f>1+2876.04*10^-7+3*16.288*10^-7/(B73*10^-3)^2+5*0.136*10^-7/(B73*10^-3)^4</f>
        <v>1.0002993229083488</v>
      </c>
      <c r="H72" s="12">
        <f>1+(G72-1)/(1+G$39/273)-H$39*5.5*10^-8/(1+G$39/273)</f>
        <v>1.0002738650436864</v>
      </c>
    </row>
    <row r="73" spans="1:8" x14ac:dyDescent="0.3">
      <c r="A73" s="12">
        <v>3</v>
      </c>
      <c r="B73" s="23">
        <f>K55</f>
        <v>656.08500000000004</v>
      </c>
      <c r="C73" s="23">
        <f>H72*B73</f>
        <v>656.26467874718708</v>
      </c>
      <c r="D73" s="12">
        <v>656.29399999999998</v>
      </c>
      <c r="E73" s="22">
        <f>100*(C73-D73)/D73</f>
        <v>-4.4677008799266938E-3</v>
      </c>
      <c r="G73" s="12">
        <f>1+2876.04*10^-7+3*16.288*10^-7/(B74*10^-3)^2+5*0.136*10^-7/(B74*10^-3)^4</f>
        <v>1.0003095093639225</v>
      </c>
      <c r="H73" s="12">
        <f>1+(G73-1)/(1+G$39/273)-H$39*5.5*10^-8/(1+G$39/273)</f>
        <v>1.0002832251997673</v>
      </c>
    </row>
    <row r="74" spans="1:8" x14ac:dyDescent="0.3">
      <c r="A74" s="12">
        <v>4</v>
      </c>
      <c r="B74" s="23">
        <f t="shared" ref="B74:B76" si="13">K56</f>
        <v>486.01499999999999</v>
      </c>
      <c r="C74" s="23">
        <f>H73*B74</f>
        <v>486.1526516954649</v>
      </c>
      <c r="D74" s="12">
        <v>486.14299999999997</v>
      </c>
      <c r="E74" s="22">
        <f t="shared" ref="E74:E76" si="14">100*(C74-D74)/D74</f>
        <v>1.9853613987910173E-3</v>
      </c>
      <c r="G74" s="12">
        <f>1+2876.04*10^-7+3*16.288*10^-7/(B75*10^-3)^2+5*0.136*10^-7/(B75*10^-3)^4</f>
        <v>1.0003154692218843</v>
      </c>
      <c r="H74" s="12">
        <f>1+(G74-1)/(1+G$39/273)-H$39*5.5*10^-8/(1+G$39/273)</f>
        <v>1.0002887016091364</v>
      </c>
    </row>
    <row r="75" spans="1:8" x14ac:dyDescent="0.3">
      <c r="A75" s="12">
        <v>5</v>
      </c>
      <c r="B75" s="23">
        <f t="shared" si="13"/>
        <v>433.95499999999998</v>
      </c>
      <c r="C75" s="23">
        <f>H74*B75</f>
        <v>434.0802835067928</v>
      </c>
      <c r="D75" s="12">
        <v>434.05700000000002</v>
      </c>
      <c r="E75" s="22">
        <f>100*(C75-D75)/D75</f>
        <v>5.364158806972232E-3</v>
      </c>
      <c r="G75" s="12">
        <f>1+2876.04*10^-7+3*16.288*10^-7/(B76*10^-3)^2+5*0.136*10^-7/(B76*10^-3)^4</f>
        <v>1.0003190647995077</v>
      </c>
      <c r="H75" s="12">
        <f>1+(G75-1)/(1+G$39/273)-H$39*5.5*10^-8/(1+G$39/273)</f>
        <v>1.0002920055226039</v>
      </c>
    </row>
    <row r="76" spans="1:8" x14ac:dyDescent="0.3">
      <c r="A76" s="12">
        <v>6</v>
      </c>
      <c r="B76" s="23">
        <f t="shared" si="13"/>
        <v>410.08499999999998</v>
      </c>
      <c r="C76" s="23">
        <f>H75*B76</f>
        <v>410.20474708473699</v>
      </c>
      <c r="D76" s="12">
        <v>410.18299999999999</v>
      </c>
      <c r="E76" s="22">
        <f t="shared" si="14"/>
        <v>5.30180059558805E-3</v>
      </c>
    </row>
    <row r="77" spans="1:8" x14ac:dyDescent="0.3">
      <c r="G77" s="13" t="s">
        <v>35</v>
      </c>
      <c r="H77" s="13" t="s">
        <v>36</v>
      </c>
    </row>
    <row r="78" spans="1:8" x14ac:dyDescent="0.3">
      <c r="G78" s="12">
        <f>G39</f>
        <v>24.1</v>
      </c>
      <c r="H78" s="12">
        <f>H39</f>
        <v>23.3</v>
      </c>
    </row>
    <row r="79" spans="1:8" x14ac:dyDescent="0.3">
      <c r="A79" s="45" t="s">
        <v>37</v>
      </c>
      <c r="B79" s="46"/>
      <c r="C79" s="46"/>
      <c r="D79" s="46"/>
    </row>
    <row r="80" spans="1:8" x14ac:dyDescent="0.3">
      <c r="A80" s="45" t="s">
        <v>39</v>
      </c>
      <c r="B80" s="46"/>
      <c r="C80" s="46"/>
      <c r="D80" s="46"/>
    </row>
    <row r="81" spans="1:7" x14ac:dyDescent="0.3">
      <c r="A81" s="47" t="s">
        <v>28</v>
      </c>
      <c r="B81" s="48"/>
      <c r="C81" s="48"/>
      <c r="D81" s="48"/>
    </row>
    <row r="82" spans="1:7" x14ac:dyDescent="0.3">
      <c r="A82" s="12" t="s">
        <v>5</v>
      </c>
      <c r="B82" s="12" t="s">
        <v>29</v>
      </c>
      <c r="C82" s="12" t="s">
        <v>18</v>
      </c>
      <c r="D82" s="12" t="s">
        <v>25</v>
      </c>
    </row>
    <row r="83" spans="1:7" x14ac:dyDescent="0.3">
      <c r="A83" s="12">
        <v>3</v>
      </c>
      <c r="B83" s="24">
        <f>ABS(C73-C64)*10</f>
        <v>1.5753963597251186</v>
      </c>
      <c r="C83" s="12">
        <v>1.7899999999997362</v>
      </c>
      <c r="D83" s="23">
        <f>ABS(C83-B83)*100/C83</f>
        <v>11.989030182941299</v>
      </c>
    </row>
    <row r="84" spans="1:7" x14ac:dyDescent="0.3">
      <c r="A84" s="12">
        <v>4</v>
      </c>
      <c r="B84" s="24">
        <f>ABS(C74-C65)*10</f>
        <v>0.97523471535055251</v>
      </c>
      <c r="C84" s="12">
        <v>1.330000000000382</v>
      </c>
      <c r="D84" s="23">
        <f t="shared" ref="D84:D86" si="15">ABS(C84-B84)*100/C84</f>
        <v>26.674081552611096</v>
      </c>
    </row>
    <row r="85" spans="1:7" x14ac:dyDescent="0.3">
      <c r="A85" s="12">
        <v>5</v>
      </c>
      <c r="B85" s="24">
        <f>ABS(C75-C66)*10</f>
        <v>0.87520472807568694</v>
      </c>
      <c r="C85" s="12">
        <v>1.17999999999995</v>
      </c>
      <c r="D85" s="23">
        <f t="shared" si="15"/>
        <v>25.830107790192876</v>
      </c>
    </row>
    <row r="86" spans="1:7" x14ac:dyDescent="0.3">
      <c r="A86" s="12">
        <v>6</v>
      </c>
      <c r="B86" s="24">
        <f t="shared" ref="B86" si="16">ABS(C76-C67)*10</f>
        <v>0.77517807696040109</v>
      </c>
      <c r="C86" s="12">
        <v>1.1299999999999955</v>
      </c>
      <c r="D86" s="23">
        <f t="shared" si="15"/>
        <v>31.400170180495202</v>
      </c>
    </row>
    <row r="91" spans="1:7" x14ac:dyDescent="0.3">
      <c r="A91" s="49" t="s">
        <v>41</v>
      </c>
      <c r="B91" s="49"/>
      <c r="C91" s="49"/>
      <c r="D91" s="49"/>
      <c r="E91" s="49"/>
      <c r="F91" s="49"/>
      <c r="G91" s="49"/>
    </row>
    <row r="92" spans="1:7" x14ac:dyDescent="0.3">
      <c r="A92" s="50" t="s">
        <v>33</v>
      </c>
      <c r="B92" s="50"/>
      <c r="C92" s="50"/>
      <c r="E92" s="14" t="s">
        <v>34</v>
      </c>
      <c r="F92" s="14"/>
      <c r="G92" s="14"/>
    </row>
    <row r="93" spans="1:7" x14ac:dyDescent="0.3">
      <c r="A93" s="15" t="s">
        <v>5</v>
      </c>
      <c r="B93" s="15" t="s">
        <v>42</v>
      </c>
      <c r="C93" s="15" t="s">
        <v>43</v>
      </c>
      <c r="E93" s="15" t="s">
        <v>5</v>
      </c>
      <c r="F93" s="15" t="s">
        <v>42</v>
      </c>
      <c r="G93" s="15" t="s">
        <v>43</v>
      </c>
    </row>
    <row r="94" spans="1:7" x14ac:dyDescent="0.3">
      <c r="A94" s="15">
        <v>3</v>
      </c>
      <c r="B94" s="25">
        <f>1/(H15*(1/2^2-1/A94^2))*(10000000)</f>
        <v>109725.9898198665</v>
      </c>
      <c r="C94" s="25">
        <f>1/(B55*(1/2^2-1/A94^2))*(10000000)</f>
        <v>109714.2857142857</v>
      </c>
      <c r="E94" s="15">
        <v>3</v>
      </c>
      <c r="F94" s="25">
        <f>1/(B34*(1/2^2-1/A94^2))*(10000000)</f>
        <v>109756.0975609756</v>
      </c>
      <c r="G94" s="25">
        <f>1/(C55*(1/2^2-1/A94^2))*(10000000)</f>
        <v>109744.38703187158</v>
      </c>
    </row>
    <row r="95" spans="1:7" x14ac:dyDescent="0.3">
      <c r="A95" s="15">
        <v>4</v>
      </c>
      <c r="B95" s="25">
        <f t="shared" ref="B95:B97" si="17">1/(H16*(1/2^2-1/A95^2))*(10000000)</f>
        <v>109691.97123328056</v>
      </c>
      <c r="C95" s="25">
        <f t="shared" ref="C95:C97" si="18">1/(B56*(1/2^2-1/A95^2))*(10000000)</f>
        <v>109712.27954688828</v>
      </c>
      <c r="E95" s="15">
        <v>4</v>
      </c>
      <c r="F95" s="25">
        <f>1/(B35*(1/2^2-1/A95^2))*(10000000)</f>
        <v>109723.56519294203</v>
      </c>
      <c r="G95" s="25">
        <f t="shared" ref="G95:G97" si="19">1/(C56*(1/2^2-1/A95^2))*(10000000)</f>
        <v>109739.36899862826</v>
      </c>
    </row>
    <row r="96" spans="1:7" x14ac:dyDescent="0.3">
      <c r="A96" s="15">
        <v>5</v>
      </c>
      <c r="B96" s="25">
        <f t="shared" si="17"/>
        <v>109703.61374674045</v>
      </c>
      <c r="C96" s="25">
        <f t="shared" si="18"/>
        <v>109708.66863045185</v>
      </c>
      <c r="E96" s="15">
        <v>5</v>
      </c>
      <c r="F96" s="25">
        <f t="shared" ref="F96:F97" si="20">1/(B36*(1/2^2-1/A96^2))*(10000000)</f>
        <v>109733.95003813256</v>
      </c>
      <c r="G96" s="25">
        <f t="shared" si="19"/>
        <v>109736.47881976223</v>
      </c>
    </row>
    <row r="97" spans="1:7" x14ac:dyDescent="0.3">
      <c r="A97" s="15">
        <v>6</v>
      </c>
      <c r="B97" s="25">
        <f t="shared" si="17"/>
        <v>109729.33430870519</v>
      </c>
      <c r="C97" s="25">
        <f t="shared" si="18"/>
        <v>109710.60779676719</v>
      </c>
      <c r="E97" s="15">
        <v>6</v>
      </c>
      <c r="F97" s="25">
        <f t="shared" si="20"/>
        <v>109758.77460425864</v>
      </c>
      <c r="G97" s="25">
        <f t="shared" si="19"/>
        <v>109737.36191381961</v>
      </c>
    </row>
    <row r="98" spans="1:7" x14ac:dyDescent="0.3">
      <c r="A98" s="17" t="s">
        <v>44</v>
      </c>
      <c r="B98" s="27">
        <f>AVERAGE(B94:B97)</f>
        <v>109712.72727714817</v>
      </c>
      <c r="C98" s="27">
        <f>AVERAGE(C94:C97)</f>
        <v>109711.46042209826</v>
      </c>
      <c r="E98" s="17" t="s">
        <v>44</v>
      </c>
      <c r="F98" s="25">
        <f>AVERAGE(F94:F97)</f>
        <v>109743.09684907721</v>
      </c>
      <c r="G98" s="25">
        <f>AVERAGE(G94:G97)</f>
        <v>109739.39919102042</v>
      </c>
    </row>
    <row r="99" spans="1:7" x14ac:dyDescent="0.3">
      <c r="A99" s="17" t="s">
        <v>45</v>
      </c>
      <c r="B99" s="43">
        <v>109678</v>
      </c>
      <c r="C99" s="44"/>
      <c r="E99" s="17" t="s">
        <v>45</v>
      </c>
      <c r="F99" s="43">
        <v>109707</v>
      </c>
      <c r="G99" s="44"/>
    </row>
    <row r="100" spans="1:7" x14ac:dyDescent="0.3">
      <c r="A100" s="17" t="s">
        <v>47</v>
      </c>
      <c r="B100" s="26">
        <f>ABS(B98-B99)/B99*100</f>
        <v>3.1662938007773429E-2</v>
      </c>
      <c r="C100" s="26">
        <f>ABS(C98-B99)/B99*100</f>
        <v>3.050787040086278E-2</v>
      </c>
      <c r="E100" s="17" t="s">
        <v>47</v>
      </c>
      <c r="F100" s="26">
        <f>ABS(F98-F99)/F99*100</f>
        <v>3.2902958860607408E-2</v>
      </c>
      <c r="G100" s="26">
        <f>ABS(G98-F99)/F99*100</f>
        <v>2.9532473789658273E-2</v>
      </c>
    </row>
    <row r="103" spans="1:7" x14ac:dyDescent="0.3">
      <c r="A103" s="42" t="s">
        <v>46</v>
      </c>
      <c r="B103" s="42"/>
      <c r="C103" s="42"/>
    </row>
    <row r="104" spans="1:7" x14ac:dyDescent="0.3">
      <c r="A104" s="15" t="s">
        <v>5</v>
      </c>
      <c r="B104" s="15" t="s">
        <v>42</v>
      </c>
      <c r="C104" s="15" t="s">
        <v>43</v>
      </c>
    </row>
    <row r="105" spans="1:7" x14ac:dyDescent="0.3">
      <c r="A105" s="15">
        <v>3</v>
      </c>
      <c r="B105" s="25">
        <f>C25/(2*B44*0.1)</f>
        <v>1822.7626904321228</v>
      </c>
      <c r="C105" s="25">
        <f>C34/(2*B44*0.1)</f>
        <v>1822.2626904321228</v>
      </c>
    </row>
    <row r="106" spans="1:7" x14ac:dyDescent="0.3">
      <c r="A106" s="15">
        <v>4</v>
      </c>
      <c r="B106" s="25">
        <f t="shared" ref="B106:B108" si="21">C26/(2*B45*0.1)</f>
        <v>1736.5380093506585</v>
      </c>
      <c r="C106" s="25">
        <f>C35/(2*B45*0.1)</f>
        <v>1736.0380093506585</v>
      </c>
    </row>
    <row r="107" spans="1:7" x14ac:dyDescent="0.3">
      <c r="A107" s="15">
        <v>5</v>
      </c>
      <c r="B107" s="25">
        <f t="shared" si="21"/>
        <v>1808.7239274230544</v>
      </c>
      <c r="C107" s="25">
        <f t="shared" ref="C107:C108" si="22">C36/(2*B46*0.1)</f>
        <v>1808.2239274230544</v>
      </c>
    </row>
    <row r="108" spans="1:7" x14ac:dyDescent="0.3">
      <c r="A108" s="15">
        <v>6</v>
      </c>
      <c r="B108" s="25">
        <f t="shared" si="21"/>
        <v>1864.2069069395068</v>
      </c>
      <c r="C108" s="25">
        <f t="shared" si="22"/>
        <v>1863.7069069395068</v>
      </c>
    </row>
    <row r="109" spans="1:7" x14ac:dyDescent="0.3">
      <c r="A109" s="17" t="s">
        <v>44</v>
      </c>
      <c r="B109" s="27">
        <f>AVERAGE(B106:B108)</f>
        <v>1803.1562812377399</v>
      </c>
      <c r="C109" s="27">
        <f>AVERAGE(C106:C108)</f>
        <v>1802.6562812377399</v>
      </c>
    </row>
    <row r="110" spans="1:7" x14ac:dyDescent="0.3">
      <c r="A110" s="17" t="s">
        <v>45</v>
      </c>
      <c r="B110" s="43">
        <v>1836</v>
      </c>
      <c r="C110" s="44"/>
    </row>
    <row r="111" spans="1:7" x14ac:dyDescent="0.3">
      <c r="A111" s="17" t="s">
        <v>47</v>
      </c>
      <c r="B111" s="28">
        <f>ABS(B109-B110)/B110*100</f>
        <v>1.7888735709291992</v>
      </c>
      <c r="C111" s="29">
        <f>ABS(C109-B110)/B110*100</f>
        <v>1.816106686397609</v>
      </c>
    </row>
  </sheetData>
  <sortState xmlns:xlrd2="http://schemas.microsoft.com/office/spreadsheetml/2017/richdata2" ref="H15:H18">
    <sortCondition descending="1" ref="H15:H18"/>
  </sortState>
  <mergeCells count="37">
    <mergeCell ref="A103:C103"/>
    <mergeCell ref="B99:C99"/>
    <mergeCell ref="F99:G99"/>
    <mergeCell ref="B110:C110"/>
    <mergeCell ref="A79:D79"/>
    <mergeCell ref="A80:D80"/>
    <mergeCell ref="A81:D81"/>
    <mergeCell ref="A91:G91"/>
    <mergeCell ref="A92:C92"/>
    <mergeCell ref="A62:E62"/>
    <mergeCell ref="A69:E69"/>
    <mergeCell ref="G69:H69"/>
    <mergeCell ref="A70:E70"/>
    <mergeCell ref="A71:E71"/>
    <mergeCell ref="G70:H70"/>
    <mergeCell ref="A52:C52"/>
    <mergeCell ref="A53:C53"/>
    <mergeCell ref="A60:E60"/>
    <mergeCell ref="G60:H60"/>
    <mergeCell ref="A61:E61"/>
    <mergeCell ref="G61:H61"/>
    <mergeCell ref="E53:G53"/>
    <mergeCell ref="A40:D40"/>
    <mergeCell ref="A41:D41"/>
    <mergeCell ref="A42:D42"/>
    <mergeCell ref="G21:H21"/>
    <mergeCell ref="G22:H22"/>
    <mergeCell ref="G30:H30"/>
    <mergeCell ref="A23:E23"/>
    <mergeCell ref="A30:E30"/>
    <mergeCell ref="A31:E31"/>
    <mergeCell ref="A32:E32"/>
    <mergeCell ref="A13:H13"/>
    <mergeCell ref="A12:H12"/>
    <mergeCell ref="A1:D1"/>
    <mergeCell ref="A21:E21"/>
    <mergeCell ref="A22:E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陈利峰</dc:creator>
  <cp:lastModifiedBy>Yihao Chen</cp:lastModifiedBy>
  <dcterms:created xsi:type="dcterms:W3CDTF">2015-06-05T18:19:34Z</dcterms:created>
  <dcterms:modified xsi:type="dcterms:W3CDTF">2025-04-01T17:35:59Z</dcterms:modified>
</cp:coreProperties>
</file>