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86136\OneDrive\Desktop\2025近物实验\Cyh\法拉第效应\"/>
    </mc:Choice>
  </mc:AlternateContent>
  <xr:revisionPtr revIDLastSave="0" documentId="13_ncr:1_{1728D0D6-4B68-48BC-A55B-071F5780B15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磁场的定标与磁场均匀性" sheetId="1" r:id="rId1"/>
    <sheet name="倍频法" sheetId="2" r:id="rId2"/>
    <sheet name="消光法" sheetId="3" r:id="rId3"/>
    <sheet name="不可逆性验证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/>
  <c r="O4" i="4"/>
  <c r="O5" i="4"/>
  <c r="O6" i="4"/>
  <c r="O7" i="4"/>
  <c r="O3" i="4"/>
  <c r="J4" i="4"/>
  <c r="J5" i="4"/>
  <c r="J6" i="4"/>
  <c r="J7" i="4"/>
  <c r="J3" i="4"/>
  <c r="M7" i="4"/>
  <c r="M6" i="4"/>
  <c r="M5" i="4"/>
  <c r="M4" i="4"/>
  <c r="N4" i="4" s="1"/>
  <c r="M15" i="4"/>
  <c r="N15" i="4" s="1"/>
  <c r="K9" i="2"/>
  <c r="K10" i="2"/>
  <c r="K3" i="2"/>
  <c r="K5" i="2"/>
  <c r="L3" i="2"/>
  <c r="F11" i="4"/>
  <c r="G11" i="4" s="1"/>
  <c r="H11" i="4" s="1"/>
  <c r="F12" i="4"/>
  <c r="H4" i="4"/>
  <c r="H5" i="4"/>
  <c r="H6" i="4"/>
  <c r="H7" i="4"/>
  <c r="H8" i="4"/>
  <c r="H9" i="4"/>
  <c r="H10" i="4"/>
  <c r="F8" i="4"/>
  <c r="G8" i="4" s="1"/>
  <c r="F6" i="4"/>
  <c r="F7" i="4"/>
  <c r="F5" i="4"/>
  <c r="G5" i="4" s="1"/>
  <c r="F4" i="4"/>
  <c r="F15" i="4"/>
  <c r="G15" i="4" s="1"/>
  <c r="E10" i="2"/>
  <c r="E6" i="2"/>
  <c r="E4" i="2"/>
  <c r="F4" i="2" s="1"/>
  <c r="G4" i="2" s="1"/>
  <c r="E10" i="3"/>
  <c r="E6" i="3"/>
  <c r="F6" i="3" s="1"/>
  <c r="G6" i="3" s="1"/>
  <c r="E7" i="3"/>
  <c r="E5" i="3"/>
  <c r="E9" i="3"/>
  <c r="E4" i="3"/>
  <c r="E8" i="3"/>
  <c r="G7" i="3"/>
  <c r="G11" i="3"/>
  <c r="F14" i="3"/>
  <c r="T8" i="2"/>
  <c r="T9" i="2"/>
  <c r="T10" i="2"/>
  <c r="T11" i="2"/>
  <c r="M7" i="2"/>
  <c r="M8" i="2"/>
  <c r="G5" i="2"/>
  <c r="G6" i="2"/>
  <c r="G7" i="2"/>
  <c r="G3" i="2"/>
  <c r="A4" i="2"/>
  <c r="A5" i="2"/>
  <c r="A6" i="2"/>
  <c r="A7" i="2"/>
  <c r="A8" i="2"/>
  <c r="A9" i="2"/>
  <c r="A10" i="2"/>
  <c r="A11" i="2"/>
  <c r="A12" i="2"/>
  <c r="A3" i="2"/>
  <c r="G12" i="4"/>
  <c r="H12" i="4" s="1"/>
  <c r="N7" i="4"/>
  <c r="F10" i="4"/>
  <c r="G10" i="4" s="1"/>
  <c r="N6" i="4"/>
  <c r="F9" i="4"/>
  <c r="G9" i="4" s="1"/>
  <c r="N5" i="4"/>
  <c r="G7" i="4"/>
  <c r="N3" i="4"/>
  <c r="G6" i="4"/>
  <c r="G4" i="4"/>
  <c r="F3" i="4"/>
  <c r="G3" i="4" s="1"/>
  <c r="H3" i="4" s="1"/>
  <c r="R12" i="2"/>
  <c r="S12" i="2" s="1"/>
  <c r="T12" i="2" s="1"/>
  <c r="R10" i="2"/>
  <c r="S10" i="2" s="1"/>
  <c r="R9" i="2"/>
  <c r="S9" i="2" s="1"/>
  <c r="R8" i="2"/>
  <c r="S8" i="2" s="1"/>
  <c r="R7" i="2"/>
  <c r="S7" i="2" s="1"/>
  <c r="T7" i="2" s="1"/>
  <c r="R6" i="2"/>
  <c r="S6" i="2" s="1"/>
  <c r="T6" i="2" s="1"/>
  <c r="R5" i="2"/>
  <c r="S5" i="2" s="1"/>
  <c r="T5" i="2" s="1"/>
  <c r="R4" i="2"/>
  <c r="S4" i="2" s="1"/>
  <c r="T4" i="2" s="1"/>
  <c r="R3" i="2"/>
  <c r="S3" i="2" s="1"/>
  <c r="T3" i="2" s="1"/>
  <c r="Q15" i="2"/>
  <c r="R15" i="2"/>
  <c r="R11" i="2"/>
  <c r="S11" i="2" s="1"/>
  <c r="K12" i="2"/>
  <c r="L12" i="2" s="1"/>
  <c r="K11" i="2"/>
  <c r="L10" i="2"/>
  <c r="L9" i="2"/>
  <c r="M9" i="2" s="1"/>
  <c r="K4" i="2"/>
  <c r="L4" i="2" s="1"/>
  <c r="K7" i="2"/>
  <c r="L7" i="2" s="1"/>
  <c r="K8" i="2"/>
  <c r="L8" i="2" s="1"/>
  <c r="K6" i="2"/>
  <c r="L6" i="2" s="1"/>
  <c r="L5" i="2"/>
  <c r="L11" i="2"/>
  <c r="E11" i="3"/>
  <c r="E12" i="3"/>
  <c r="F12" i="3" s="1"/>
  <c r="G12" i="3" s="1"/>
  <c r="F9" i="3"/>
  <c r="G9" i="3" s="1"/>
  <c r="E14" i="3"/>
  <c r="E3" i="3"/>
  <c r="F3" i="3" s="1"/>
  <c r="G3" i="3" s="1"/>
  <c r="F5" i="3"/>
  <c r="G5" i="3" s="1"/>
  <c r="F4" i="3"/>
  <c r="G4" i="3" s="1"/>
  <c r="F10" i="2"/>
  <c r="G10" i="2" s="1"/>
  <c r="E11" i="2"/>
  <c r="F11" i="2" s="1"/>
  <c r="G11" i="2" s="1"/>
  <c r="E3" i="2"/>
  <c r="F8" i="3"/>
  <c r="G8" i="3" s="1"/>
  <c r="F10" i="3"/>
  <c r="G10" i="3" s="1"/>
  <c r="F11" i="3"/>
  <c r="F3" i="2"/>
  <c r="F7" i="3"/>
  <c r="E12" i="2"/>
  <c r="F12" i="2" s="1"/>
  <c r="G12" i="2" s="1"/>
  <c r="E9" i="2"/>
  <c r="F9" i="2" s="1"/>
  <c r="G9" i="2" s="1"/>
  <c r="E8" i="2"/>
  <c r="F8" i="2" s="1"/>
  <c r="G8" i="2" s="1"/>
  <c r="E7" i="2"/>
  <c r="F7" i="2" s="1"/>
  <c r="F6" i="2"/>
  <c r="E5" i="2"/>
  <c r="F5" i="2" s="1"/>
  <c r="E15" i="2"/>
  <c r="F15" i="2" s="1"/>
  <c r="M10" i="2" l="1"/>
  <c r="M3" i="2"/>
  <c r="M5" i="2"/>
  <c r="M6" i="2"/>
  <c r="M12" i="2"/>
  <c r="M4" i="2"/>
  <c r="M11" i="2"/>
</calcChain>
</file>

<file path=xl/sharedStrings.xml><?xml version="1.0" encoding="utf-8"?>
<sst xmlns="http://schemas.openxmlformats.org/spreadsheetml/2006/main" count="58" uniqueCount="16">
  <si>
    <t>I</t>
    <phoneticPr fontId="1" type="noConversion"/>
  </si>
  <si>
    <t>B</t>
  </si>
  <si>
    <t>B</t>
    <phoneticPr fontId="1" type="noConversion"/>
  </si>
  <si>
    <t>I/A</t>
    <phoneticPr fontId="1" type="noConversion"/>
  </si>
  <si>
    <t>B/T</t>
    <phoneticPr fontId="1" type="noConversion"/>
  </si>
  <si>
    <t>微扰，观察磁场的均匀性（电流取1A）</t>
    <phoneticPr fontId="1" type="noConversion"/>
  </si>
  <si>
    <t>未加入样品角度</t>
    <phoneticPr fontId="1" type="noConversion"/>
  </si>
  <si>
    <t>加入样品后角度</t>
    <phoneticPr fontId="1" type="noConversion"/>
  </si>
  <si>
    <t>mr3</t>
    <phoneticPr fontId="1" type="noConversion"/>
  </si>
  <si>
    <t>游标卡尺修正</t>
    <phoneticPr fontId="1" type="noConversion"/>
  </si>
  <si>
    <t>读数</t>
    <phoneticPr fontId="1" type="noConversion"/>
  </si>
  <si>
    <t>石英玻璃</t>
    <phoneticPr fontId="1" type="noConversion"/>
  </si>
  <si>
    <t>ZF7</t>
    <phoneticPr fontId="1" type="noConversion"/>
  </si>
  <si>
    <t>F</t>
  </si>
  <si>
    <t>F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</si>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</sst>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磁场的定标与磁场均匀性!$B$1</c:f>
              <c:strCache>
                <c:ptCount val="1"/>
                <c:pt idx="0">
                  <c:v>B/T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磁场的定标与磁场均匀性!$A$2:$A$12</c:f>
              <c:numCache>
                <c:formatCode>General</c:formatCode>
                <c:ptCount val="11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1.3</c:v>
                </c:pt>
                <c:pt idx="8">
                  <c:v>1.5</c:v>
                </c:pt>
                <c:pt idx="9">
                  <c:v>1.7</c:v>
                </c:pt>
                <c:pt idx="10">
                  <c:v>1.9</c:v>
                </c:pt>
              </c:numCache>
            </c:numRef>
          </c:xVal>
          <c:yVal>
            <c:numRef>
              <c:f>磁场的定标与磁场均匀性!$B$2:$B$12</c:f>
              <c:numCache>
                <c:formatCode>General</c:formatCode>
                <c:ptCount val="11"/>
                <c:pt idx="0">
                  <c:v>4.8000000000000001E-2</c:v>
                </c:pt>
                <c:pt idx="1">
                  <c:v>0.11840000000000001</c:v>
                </c:pt>
                <c:pt idx="2">
                  <c:v>0.1928</c:v>
                </c:pt>
                <c:pt idx="3">
                  <c:v>0.26840000000000003</c:v>
                </c:pt>
                <c:pt idx="4">
                  <c:v>0.34350000000000003</c:v>
                </c:pt>
                <c:pt idx="5">
                  <c:v>0.37909999999999999</c:v>
                </c:pt>
                <c:pt idx="6">
                  <c:v>0.4168</c:v>
                </c:pt>
                <c:pt idx="7">
                  <c:v>0.49170000000000003</c:v>
                </c:pt>
                <c:pt idx="8">
                  <c:v>0.56869999999999998</c:v>
                </c:pt>
                <c:pt idx="9">
                  <c:v>0.64129999999999998</c:v>
                </c:pt>
                <c:pt idx="10">
                  <c:v>0.71330000000000005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41-4BBC-8C68-8530DF43E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89120"/>
        <c:axId val="2013386240"/>
      </c:scatterChart>
      <c:valAx>
        <c:axId val="20133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86240"/>
        <c:crosses val="autoZero"/>
        <c:crossBetween val="midCat"/>
      </c:valAx>
      <c:valAx>
        <c:axId val="20133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8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3224344641526763E-2"/>
          <c:y val="2.444555497770445E-2"/>
          <c:w val="0.87425900745037266"/>
          <c:h val="0.723329796136932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倍频法!$A$3:$A$12</c:f>
              <c:numCache>
                <c:formatCode>General</c:formatCode>
                <c:ptCount val="10"/>
                <c:pt idx="0">
                  <c:v>0.38009999999999999</c:v>
                </c:pt>
                <c:pt idx="1">
                  <c:v>0.41728000000000004</c:v>
                </c:pt>
                <c:pt idx="2">
                  <c:v>0.45445999999999998</c:v>
                </c:pt>
                <c:pt idx="3">
                  <c:v>0.49164000000000002</c:v>
                </c:pt>
                <c:pt idx="4">
                  <c:v>0.52881999999999996</c:v>
                </c:pt>
                <c:pt idx="5">
                  <c:v>0.56600000000000006</c:v>
                </c:pt>
                <c:pt idx="6">
                  <c:v>0.60318000000000005</c:v>
                </c:pt>
                <c:pt idx="7">
                  <c:v>0.64036000000000004</c:v>
                </c:pt>
                <c:pt idx="8">
                  <c:v>0.67754000000000003</c:v>
                </c:pt>
                <c:pt idx="9">
                  <c:v>0.71472000000000002</c:v>
                </c:pt>
              </c:numCache>
            </c:numRef>
          </c:xVal>
          <c:yVal>
            <c:numRef>
              <c:f>倍频法!$G$3:$G$12</c:f>
              <c:numCache>
                <c:formatCode>General</c:formatCode>
                <c:ptCount val="10"/>
                <c:pt idx="0">
                  <c:v>188.05555555555554</c:v>
                </c:pt>
                <c:pt idx="1">
                  <c:v>188.87777777777777</c:v>
                </c:pt>
                <c:pt idx="2">
                  <c:v>189.97777777777779</c:v>
                </c:pt>
                <c:pt idx="3">
                  <c:v>190.48888888888888</c:v>
                </c:pt>
                <c:pt idx="4">
                  <c:v>192.35555555555555</c:v>
                </c:pt>
                <c:pt idx="5">
                  <c:v>193.52222222222221</c:v>
                </c:pt>
                <c:pt idx="6">
                  <c:v>194.54444444444445</c:v>
                </c:pt>
                <c:pt idx="7">
                  <c:v>195.34444444444443</c:v>
                </c:pt>
                <c:pt idx="8">
                  <c:v>196.45555555555555</c:v>
                </c:pt>
                <c:pt idx="9">
                  <c:v>197.51111111111112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7-4AE5-9B99-F4F0560A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42560"/>
        <c:axId val="2013352160"/>
      </c:scatterChart>
      <c:valAx>
        <c:axId val="201334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52160"/>
        <c:crosses val="autoZero"/>
        <c:crossBetween val="midCat"/>
      </c:valAx>
      <c:valAx>
        <c:axId val="2013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4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倍频法!$A$3:$A$12</c:f>
              <c:numCache>
                <c:formatCode>General</c:formatCode>
                <c:ptCount val="10"/>
                <c:pt idx="0">
                  <c:v>0.38009999999999999</c:v>
                </c:pt>
                <c:pt idx="1">
                  <c:v>0.41728000000000004</c:v>
                </c:pt>
                <c:pt idx="2">
                  <c:v>0.45445999999999998</c:v>
                </c:pt>
                <c:pt idx="3">
                  <c:v>0.49164000000000002</c:v>
                </c:pt>
                <c:pt idx="4">
                  <c:v>0.52881999999999996</c:v>
                </c:pt>
                <c:pt idx="5">
                  <c:v>0.56600000000000006</c:v>
                </c:pt>
                <c:pt idx="6">
                  <c:v>0.60318000000000005</c:v>
                </c:pt>
                <c:pt idx="7">
                  <c:v>0.64036000000000004</c:v>
                </c:pt>
                <c:pt idx="8">
                  <c:v>0.67754000000000003</c:v>
                </c:pt>
                <c:pt idx="9">
                  <c:v>0.71472000000000002</c:v>
                </c:pt>
              </c:numCache>
            </c:numRef>
          </c:xVal>
          <c:yVal>
            <c:numRef>
              <c:f>倍频法!$M$3:$M$12</c:f>
              <c:numCache>
                <c:formatCode>General</c:formatCode>
                <c:ptCount val="10"/>
                <c:pt idx="0">
                  <c:v>260.64444444444445</c:v>
                </c:pt>
                <c:pt idx="1">
                  <c:v>260.73333333333335</c:v>
                </c:pt>
                <c:pt idx="2">
                  <c:v>260.8</c:v>
                </c:pt>
                <c:pt idx="3">
                  <c:v>260.77777777777777</c:v>
                </c:pt>
                <c:pt idx="4">
                  <c:v>260.78888888888889</c:v>
                </c:pt>
                <c:pt idx="5">
                  <c:v>260.78888888888889</c:v>
                </c:pt>
                <c:pt idx="6">
                  <c:v>260.81111111111113</c:v>
                </c:pt>
                <c:pt idx="7">
                  <c:v>260.82222222222219</c:v>
                </c:pt>
                <c:pt idx="8">
                  <c:v>260.88888888888891</c:v>
                </c:pt>
                <c:pt idx="9">
                  <c:v>260.92222222222222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2-4AD8-9B8E-F437E06B5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368480"/>
        <c:axId val="2013365120"/>
      </c:scatterChart>
      <c:valAx>
        <c:axId val="201336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65120"/>
        <c:crosses val="autoZero"/>
        <c:crossBetween val="midCat"/>
      </c:valAx>
      <c:valAx>
        <c:axId val="20133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336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倍频法!$A$3:$A$12</c:f>
              <c:numCache>
                <c:formatCode>General</c:formatCode>
                <c:ptCount val="10"/>
                <c:pt idx="0">
                  <c:v>0.38009999999999999</c:v>
                </c:pt>
                <c:pt idx="1">
                  <c:v>0.41728000000000004</c:v>
                </c:pt>
                <c:pt idx="2">
                  <c:v>0.45445999999999998</c:v>
                </c:pt>
                <c:pt idx="3">
                  <c:v>0.49164000000000002</c:v>
                </c:pt>
                <c:pt idx="4">
                  <c:v>0.52881999999999996</c:v>
                </c:pt>
                <c:pt idx="5">
                  <c:v>0.56600000000000006</c:v>
                </c:pt>
                <c:pt idx="6">
                  <c:v>0.60318000000000005</c:v>
                </c:pt>
                <c:pt idx="7">
                  <c:v>0.64036000000000004</c:v>
                </c:pt>
                <c:pt idx="8">
                  <c:v>0.67754000000000003</c:v>
                </c:pt>
                <c:pt idx="9">
                  <c:v>0.71472000000000002</c:v>
                </c:pt>
              </c:numCache>
            </c:numRef>
          </c:xVal>
          <c:yVal>
            <c:numRef>
              <c:f>倍频法!$T$3:$T$12</c:f>
              <c:numCache>
                <c:formatCode>General</c:formatCode>
                <c:ptCount val="10"/>
                <c:pt idx="0">
                  <c:v>2.5333333333333314</c:v>
                </c:pt>
                <c:pt idx="1">
                  <c:v>2.8555555555555543</c:v>
                </c:pt>
                <c:pt idx="2">
                  <c:v>3.0333333333333314</c:v>
                </c:pt>
                <c:pt idx="3">
                  <c:v>3.1444444444444457</c:v>
                </c:pt>
                <c:pt idx="4">
                  <c:v>3.3999999999999773</c:v>
                </c:pt>
                <c:pt idx="5">
                  <c:v>3.5333333333333314</c:v>
                </c:pt>
                <c:pt idx="6">
                  <c:v>3.6222222222222058</c:v>
                </c:pt>
                <c:pt idx="7">
                  <c:v>3.9333333333333371</c:v>
                </c:pt>
                <c:pt idx="8">
                  <c:v>4.0999999999999943</c:v>
                </c:pt>
                <c:pt idx="9">
                  <c:v>4.1888888888888687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4-45CF-B29D-A59C46FC1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084912"/>
        <c:axId val="1858080592"/>
      </c:scatterChart>
      <c:valAx>
        <c:axId val="185808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8080592"/>
        <c:crosses val="autoZero"/>
        <c:crossBetween val="midCat"/>
      </c:valAx>
      <c:valAx>
        <c:axId val="18580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808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消光法!$A$3:$A$12</c:f>
              <c:numCache>
                <c:formatCode>General</c:formatCode>
                <c:ptCount val="10"/>
                <c:pt idx="0">
                  <c:v>0.38009999999999999</c:v>
                </c:pt>
                <c:pt idx="1">
                  <c:v>0.41728000000000004</c:v>
                </c:pt>
                <c:pt idx="2">
                  <c:v>0.45445999999999998</c:v>
                </c:pt>
                <c:pt idx="3">
                  <c:v>0.49164000000000002</c:v>
                </c:pt>
                <c:pt idx="4">
                  <c:v>0.52881999999999996</c:v>
                </c:pt>
                <c:pt idx="5">
                  <c:v>0.56600000000000006</c:v>
                </c:pt>
                <c:pt idx="6">
                  <c:v>0.60318000000000005</c:v>
                </c:pt>
                <c:pt idx="7">
                  <c:v>0.64036000000000004</c:v>
                </c:pt>
                <c:pt idx="8">
                  <c:v>0.67754000000000003</c:v>
                </c:pt>
                <c:pt idx="9">
                  <c:v>0.71472000000000002</c:v>
                </c:pt>
              </c:numCache>
            </c:numRef>
          </c:xVal>
          <c:yVal>
            <c:numRef>
              <c:f>消光法!$G$3:$G$12</c:f>
              <c:numCache>
                <c:formatCode>General</c:formatCode>
                <c:ptCount val="10"/>
                <c:pt idx="0">
                  <c:v>188.66666666666666</c:v>
                </c:pt>
                <c:pt idx="1">
                  <c:v>190.62222222222221</c:v>
                </c:pt>
                <c:pt idx="2">
                  <c:v>191.46666666666664</c:v>
                </c:pt>
                <c:pt idx="3">
                  <c:v>191.85555555555553</c:v>
                </c:pt>
                <c:pt idx="4">
                  <c:v>192.54444444444442</c:v>
                </c:pt>
                <c:pt idx="5">
                  <c:v>193.96666666666664</c:v>
                </c:pt>
                <c:pt idx="6">
                  <c:v>195.06666666666666</c:v>
                </c:pt>
                <c:pt idx="7">
                  <c:v>197.17777777777775</c:v>
                </c:pt>
                <c:pt idx="8">
                  <c:v>197.71111111111108</c:v>
                </c:pt>
                <c:pt idx="9">
                  <c:v>199.61111111111109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2-4F98-930B-47E221656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153600"/>
        <c:axId val="2021584000"/>
      </c:scatterChart>
      <c:valAx>
        <c:axId val="20191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584000"/>
        <c:crosses val="autoZero"/>
        <c:crossBetween val="midCat"/>
      </c:valAx>
      <c:valAx>
        <c:axId val="202158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1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不可逆性验证!$B$3:$B$12</c:f>
              <c:numCache>
                <c:formatCode>General</c:formatCode>
                <c:ptCount val="10"/>
                <c:pt idx="0">
                  <c:v>0.38009999999999999</c:v>
                </c:pt>
                <c:pt idx="1">
                  <c:v>0.41728000000000004</c:v>
                </c:pt>
                <c:pt idx="2">
                  <c:v>0.45445999999999998</c:v>
                </c:pt>
                <c:pt idx="3">
                  <c:v>0.49164000000000002</c:v>
                </c:pt>
                <c:pt idx="4">
                  <c:v>0.52881999999999996</c:v>
                </c:pt>
                <c:pt idx="5">
                  <c:v>0.56600000000000006</c:v>
                </c:pt>
                <c:pt idx="6">
                  <c:v>0.60318000000000005</c:v>
                </c:pt>
                <c:pt idx="7">
                  <c:v>0.64036000000000004</c:v>
                </c:pt>
                <c:pt idx="8">
                  <c:v>0.67754000000000003</c:v>
                </c:pt>
                <c:pt idx="9">
                  <c:v>0.71472000000000002</c:v>
                </c:pt>
              </c:numCache>
            </c:numRef>
          </c:xVal>
          <c:yVal>
            <c:numRef>
              <c:f>不可逆性验证!$H$3:$H$12</c:f>
              <c:numCache>
                <c:formatCode>General</c:formatCode>
                <c:ptCount val="10"/>
                <c:pt idx="0">
                  <c:v>157.05555555555554</c:v>
                </c:pt>
                <c:pt idx="1">
                  <c:v>159.48888888888888</c:v>
                </c:pt>
                <c:pt idx="2">
                  <c:v>161.32222222222222</c:v>
                </c:pt>
                <c:pt idx="3">
                  <c:v>162.61111111111111</c:v>
                </c:pt>
                <c:pt idx="4">
                  <c:v>164.73333333333335</c:v>
                </c:pt>
                <c:pt idx="5">
                  <c:v>166.55555555555554</c:v>
                </c:pt>
                <c:pt idx="6">
                  <c:v>168.54444444444445</c:v>
                </c:pt>
                <c:pt idx="7">
                  <c:v>170.4111111111111</c:v>
                </c:pt>
                <c:pt idx="8">
                  <c:v>171.98888888888888</c:v>
                </c:pt>
                <c:pt idx="9">
                  <c:v>174.57777777777778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C-45E1-A96B-1D80365D9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598240"/>
        <c:axId val="2021597280"/>
      </c:scatterChart>
      <c:valAx>
        <c:axId val="202159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597280"/>
        <c:crosses val="autoZero"/>
        <c:crossBetween val="midCat"/>
      </c:valAx>
      <c:valAx>
        <c:axId val="20215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59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不可逆性验证!$J$3:$J$7</c:f>
              <c:numCache>
                <c:formatCode>General</c:formatCode>
                <c:ptCount val="5"/>
                <c:pt idx="0">
                  <c:v>0.38009999999999999</c:v>
                </c:pt>
                <c:pt idx="1">
                  <c:v>0.56600000000000006</c:v>
                </c:pt>
                <c:pt idx="2">
                  <c:v>0.75190000000000001</c:v>
                </c:pt>
                <c:pt idx="3">
                  <c:v>0.93779999999999997</c:v>
                </c:pt>
                <c:pt idx="4">
                  <c:v>1.1237000000000001</c:v>
                </c:pt>
              </c:numCache>
            </c:numRef>
          </c:xVal>
          <c:yVal>
            <c:numRef>
              <c:f>不可逆性验证!$O$3:$O$7</c:f>
              <c:numCache>
                <c:formatCode>General</c:formatCode>
                <c:ptCount val="5"/>
                <c:pt idx="0">
                  <c:v>0.74444444444444002</c:v>
                </c:pt>
                <c:pt idx="1">
                  <c:v>0.83333333333331439</c:v>
                </c:pt>
                <c:pt idx="2">
                  <c:v>0.85555555555555429</c:v>
                </c:pt>
                <c:pt idx="3">
                  <c:v>0.76666666666665151</c:v>
                </c:pt>
                <c:pt idx="4">
                  <c:v>0.94444444444442865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481F-9CDA-D2C0A3D25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9632"/>
        <c:axId val="2062755264"/>
      </c:scatterChart>
      <c:valAx>
        <c:axId val="201201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2755264"/>
        <c:crosses val="autoZero"/>
        <c:crossBetween val="midCat"/>
      </c:valAx>
      <c:valAx>
        <c:axId val="20627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201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17116</xdr:colOff>
      <xdr:row>15</xdr:row>
      <xdr:rowOff>87375</xdr:rowOff>
    </xdr:from>
    <xdr:to>
      <xdr:col>7</xdr:col>
      <xdr:colOff>201163</xdr:colOff>
      <xdr:row>30</xdr:row>
      <xdr:rowOff>163577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6FB7F0-CAAC-6D8D-A2F5-AFD58B506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963673</xdr:colOff>
      <xdr:row>17</xdr:row>
      <xdr:rowOff>171887</xdr:rowOff>
    </xdr:from>
    <xdr:to>
      <xdr:col>6</xdr:col>
      <xdr:colOff>802036</xdr:colOff>
      <xdr:row>33</xdr:row>
      <xdr:rowOff>144177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81C4377-F63E-FB62-E121-667276CF6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1100667</xdr:colOff>
      <xdr:row>16</xdr:row>
      <xdr:rowOff>28287</xdr:rowOff>
    </xdr:from>
    <xdr:to>
      <xdr:col>13</xdr:col>
      <xdr:colOff>352136</xdr:colOff>
      <xdr:row>32</xdr:row>
      <xdr:rowOff>578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503506D-4419-B1FF-436B-99C112A17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23090</xdr:colOff>
      <xdr:row>16</xdr:row>
      <xdr:rowOff>143741</xdr:rowOff>
    </xdr:from>
    <xdr:to>
      <xdr:col>21</xdr:col>
      <xdr:colOff>611908</xdr:colOff>
      <xdr:row>32</xdr:row>
      <xdr:rowOff>116032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9822558-0469-92A4-07B9-C43AC58C8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409776</xdr:colOff>
      <xdr:row>15</xdr:row>
      <xdr:rowOff>104053</xdr:rowOff>
    </xdr:from>
    <xdr:to>
      <xdr:col>4</xdr:col>
      <xdr:colOff>996604</xdr:colOff>
      <xdr:row>31</xdr:row>
      <xdr:rowOff>44494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7C6E5D-4CC5-3B92-5B4A-1D2A6F747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355232</xdr:colOff>
      <xdr:row>15</xdr:row>
      <xdr:rowOff>156081</xdr:rowOff>
    </xdr:from>
    <xdr:to>
      <xdr:col>9</xdr:col>
      <xdr:colOff>288971</xdr:colOff>
      <xdr:row>31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CD972D5-454C-0BE7-6DD6-919CD3D33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438058</xdr:colOff>
      <xdr:row>16</xdr:row>
      <xdr:rowOff>50248</xdr:rowOff>
    </xdr:from>
    <xdr:to>
      <xdr:col>17</xdr:col>
      <xdr:colOff>371797</xdr:colOff>
      <xdr:row>31</xdr:row>
      <xdr:rowOff>170622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EA224CB-0600-3ECD-354D-2E75C69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2" workbookViewId="0">
      <selection activeCell="D9" sqref="D9"/>
    </sheetView>
  </sheetViews>
  <sheetFormatPr defaultRowHeight="14" x14ac:dyDescent="0.3"/>
  <cols>
    <col min="4" max="4" width="31.5" customWidth="1"/>
  </cols>
  <sheetData>
    <row r="1" spans="1:4" x14ac:dyDescent="0.3">
      <c r="A1" t="s">
        <v>3</v>
      </c>
      <c r="B1" t="s">
        <v>4</v>
      </c>
      <c r="C1" t="s">
        <v>15</v>
      </c>
      <c r="D1" t="s">
        <v>5</v>
      </c>
    </row>
    <row r="2" spans="1:4" x14ac:dyDescent="0.3">
      <c r="A2">
        <v>0.1</v>
      </c>
      <c r="B2">
        <v>4.8000000000000001E-2</v>
      </c>
      <c r="C2">
        <v>1</v>
      </c>
      <c r="D2">
        <v>0.37909999999999999</v>
      </c>
    </row>
    <row r="3" spans="1:4" x14ac:dyDescent="0.3">
      <c r="A3">
        <v>0.3</v>
      </c>
      <c r="B3">
        <v>0.11840000000000001</v>
      </c>
      <c r="C3">
        <v>2</v>
      </c>
      <c r="D3">
        <v>0.36409999999999998</v>
      </c>
    </row>
    <row r="4" spans="1:4" x14ac:dyDescent="0.3">
      <c r="A4">
        <v>0.5</v>
      </c>
      <c r="B4">
        <v>0.1928</v>
      </c>
      <c r="C4">
        <v>3</v>
      </c>
      <c r="D4">
        <v>0.36840000000000001</v>
      </c>
    </row>
    <row r="5" spans="1:4" x14ac:dyDescent="0.3">
      <c r="A5">
        <v>0.7</v>
      </c>
      <c r="B5">
        <v>0.26840000000000003</v>
      </c>
      <c r="C5">
        <v>4</v>
      </c>
      <c r="D5">
        <v>0.34029999999999999</v>
      </c>
    </row>
    <row r="6" spans="1:4" x14ac:dyDescent="0.3">
      <c r="A6">
        <v>0.9</v>
      </c>
      <c r="B6">
        <v>0.34350000000000003</v>
      </c>
      <c r="C6">
        <v>5</v>
      </c>
      <c r="D6">
        <v>0.37140000000000001</v>
      </c>
    </row>
    <row r="7" spans="1:4" x14ac:dyDescent="0.3">
      <c r="A7">
        <v>1</v>
      </c>
      <c r="B7">
        <v>0.37909999999999999</v>
      </c>
      <c r="C7">
        <v>6</v>
      </c>
      <c r="D7">
        <v>0.38350000000000001</v>
      </c>
    </row>
    <row r="8" spans="1:4" x14ac:dyDescent="0.3">
      <c r="A8">
        <v>1.1000000000000001</v>
      </c>
      <c r="B8">
        <v>0.4168</v>
      </c>
      <c r="C8">
        <v>7</v>
      </c>
      <c r="D8">
        <v>0.36509999999999998</v>
      </c>
    </row>
    <row r="9" spans="1:4" x14ac:dyDescent="0.3">
      <c r="A9">
        <v>1.3</v>
      </c>
      <c r="B9">
        <v>0.49170000000000003</v>
      </c>
    </row>
    <row r="10" spans="1:4" x14ac:dyDescent="0.3">
      <c r="A10">
        <v>1.5</v>
      </c>
      <c r="B10">
        <v>0.56869999999999998</v>
      </c>
    </row>
    <row r="11" spans="1:4" x14ac:dyDescent="0.3">
      <c r="A11">
        <v>1.7</v>
      </c>
      <c r="B11">
        <v>0.64129999999999998</v>
      </c>
    </row>
    <row r="12" spans="1:4" x14ac:dyDescent="0.3">
      <c r="A12">
        <v>1.9</v>
      </c>
      <c r="B12">
        <v>0.71330000000000005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5523-683E-4BDE-B0CD-4A901B8474C4}">
  <dimension ref="A1:T15"/>
  <sheetViews>
    <sheetView topLeftCell="C1" zoomScale="67" workbookViewId="0">
      <selection activeCell="L9" sqref="L9"/>
    </sheetView>
  </sheetViews>
  <sheetFormatPr defaultRowHeight="14" x14ac:dyDescent="0.3"/>
  <cols>
    <col min="1" max="1" width="13.4140625" customWidth="1"/>
    <col min="2" max="2" width="15.1640625" customWidth="1"/>
    <col min="3" max="3" width="15.08203125" customWidth="1"/>
    <col min="4" max="4" width="9.9140625" customWidth="1"/>
    <col min="5" max="5" width="11.33203125" customWidth="1"/>
    <col min="6" max="6" width="10.58203125" customWidth="1"/>
    <col min="7" max="7" width="11.6640625" customWidth="1"/>
    <col min="8" max="8" width="15.4140625" customWidth="1"/>
    <col min="12" max="12" width="14.25" customWidth="1"/>
    <col min="13" max="13" width="14" customWidth="1"/>
  </cols>
  <sheetData>
    <row r="1" spans="1:20" x14ac:dyDescent="0.3">
      <c r="C1" t="s">
        <v>8</v>
      </c>
      <c r="I1" t="s">
        <v>11</v>
      </c>
      <c r="P1" s="1" t="s">
        <v>12</v>
      </c>
      <c r="Q1" s="1"/>
      <c r="R1" s="1"/>
    </row>
    <row r="2" spans="1:20" x14ac:dyDescent="0.3">
      <c r="A2" t="s">
        <v>2</v>
      </c>
      <c r="C2" t="s">
        <v>0</v>
      </c>
      <c r="D2" t="s">
        <v>7</v>
      </c>
      <c r="E2" t="s">
        <v>9</v>
      </c>
      <c r="F2" t="s">
        <v>10</v>
      </c>
      <c r="G2" t="s">
        <v>14</v>
      </c>
      <c r="I2" t="s">
        <v>0</v>
      </c>
      <c r="J2" t="s">
        <v>7</v>
      </c>
      <c r="K2" t="s">
        <v>9</v>
      </c>
      <c r="L2" t="s">
        <v>10</v>
      </c>
      <c r="M2" t="s">
        <v>13</v>
      </c>
      <c r="P2" t="s">
        <v>0</v>
      </c>
      <c r="Q2" t="s">
        <v>7</v>
      </c>
      <c r="R2" t="s">
        <v>9</v>
      </c>
      <c r="S2" t="s">
        <v>10</v>
      </c>
      <c r="T2" t="s">
        <v>13</v>
      </c>
    </row>
    <row r="3" spans="1:20" x14ac:dyDescent="0.3">
      <c r="A3">
        <f t="shared" ref="A3:A12" si="0">0.3718*P3+0.0083</f>
        <v>0.38009999999999999</v>
      </c>
      <c r="C3">
        <v>1</v>
      </c>
      <c r="D3">
        <v>151</v>
      </c>
      <c r="E3">
        <f>AVERAGE(28,29,28)*2</f>
        <v>56.666666666666664</v>
      </c>
      <c r="F3">
        <f>D3+E3/60</f>
        <v>151.94444444444446</v>
      </c>
      <c r="G3">
        <f t="shared" ref="G3:G12" si="1">$D$15-F3</f>
        <v>188.05555555555554</v>
      </c>
      <c r="I3">
        <v>1</v>
      </c>
      <c r="J3">
        <v>79</v>
      </c>
      <c r="K3">
        <f>AVERAGE(16,15,14)*2</f>
        <v>30</v>
      </c>
      <c r="L3">
        <f t="shared" ref="L3:L12" si="2">J3+K3/60</f>
        <v>79.5</v>
      </c>
      <c r="M3">
        <f t="shared" ref="M3:M12" si="3">$F$15-L3</f>
        <v>260.64444444444445</v>
      </c>
      <c r="P3">
        <v>1</v>
      </c>
      <c r="Q3">
        <v>153</v>
      </c>
      <c r="R3">
        <f>AVERAGE(21,21,20)*2</f>
        <v>41.333333333333336</v>
      </c>
      <c r="S3">
        <f>Q3+R3/60</f>
        <v>153.6888888888889</v>
      </c>
      <c r="T3">
        <f t="shared" ref="T3:T12" si="4">S3-$R$15</f>
        <v>2.5333333333333314</v>
      </c>
    </row>
    <row r="4" spans="1:20" x14ac:dyDescent="0.3">
      <c r="A4">
        <f t="shared" si="0"/>
        <v>0.41728000000000004</v>
      </c>
      <c r="C4">
        <v>1.1000000000000001</v>
      </c>
      <c r="D4">
        <v>151</v>
      </c>
      <c r="E4">
        <f>AVERAGE(2,5,4)*2</f>
        <v>7.333333333333333</v>
      </c>
      <c r="F4">
        <f t="shared" ref="F4:F15" si="5">D4+E4/60</f>
        <v>151.12222222222223</v>
      </c>
      <c r="G4">
        <f t="shared" si="1"/>
        <v>188.87777777777777</v>
      </c>
      <c r="I4">
        <v>1.1000000000000001</v>
      </c>
      <c r="J4">
        <v>79</v>
      </c>
      <c r="K4">
        <f>AVERAGE(12,12,13)*2</f>
        <v>24.666666666666668</v>
      </c>
      <c r="L4">
        <f t="shared" si="2"/>
        <v>79.411111111111111</v>
      </c>
      <c r="M4">
        <f t="shared" si="3"/>
        <v>260.73333333333335</v>
      </c>
      <c r="P4">
        <v>1.1000000000000001</v>
      </c>
      <c r="Q4">
        <v>154</v>
      </c>
      <c r="R4">
        <f>AVERAGE(1,0,0)*2</f>
        <v>0.66666666666666663</v>
      </c>
      <c r="S4">
        <f t="shared" ref="S4:S12" si="6">Q4+R4/60</f>
        <v>154.01111111111112</v>
      </c>
      <c r="T4">
        <f t="shared" si="4"/>
        <v>2.8555555555555543</v>
      </c>
    </row>
    <row r="5" spans="1:20" x14ac:dyDescent="0.3">
      <c r="A5">
        <f t="shared" si="0"/>
        <v>0.45445999999999998</v>
      </c>
      <c r="C5">
        <v>1.2</v>
      </c>
      <c r="D5">
        <v>150</v>
      </c>
      <c r="E5">
        <f>AVERAGE(0,1,1)*2</f>
        <v>1.3333333333333333</v>
      </c>
      <c r="F5">
        <f t="shared" si="5"/>
        <v>150.02222222222221</v>
      </c>
      <c r="G5">
        <f t="shared" si="1"/>
        <v>189.97777777777779</v>
      </c>
      <c r="I5">
        <v>1.2</v>
      </c>
      <c r="J5">
        <v>79</v>
      </c>
      <c r="K5">
        <f>AVERAGE(11,10,10)*2</f>
        <v>20.666666666666668</v>
      </c>
      <c r="L5">
        <f t="shared" si="2"/>
        <v>79.344444444444449</v>
      </c>
      <c r="M5">
        <f t="shared" si="3"/>
        <v>260.8</v>
      </c>
      <c r="P5">
        <v>1.2</v>
      </c>
      <c r="Q5">
        <v>154</v>
      </c>
      <c r="R5">
        <f>AVERAGE(6,5,6)*2</f>
        <v>11.333333333333334</v>
      </c>
      <c r="S5">
        <f t="shared" si="6"/>
        <v>154.1888888888889</v>
      </c>
      <c r="T5">
        <f t="shared" si="4"/>
        <v>3.0333333333333314</v>
      </c>
    </row>
    <row r="6" spans="1:20" x14ac:dyDescent="0.3">
      <c r="A6">
        <f t="shared" si="0"/>
        <v>0.49164000000000002</v>
      </c>
      <c r="C6">
        <v>1.3</v>
      </c>
      <c r="D6">
        <v>149</v>
      </c>
      <c r="E6">
        <f>AVERAGE(16,16,14)*2</f>
        <v>30.666666666666668</v>
      </c>
      <c r="F6">
        <f t="shared" si="5"/>
        <v>149.51111111111112</v>
      </c>
      <c r="G6">
        <f t="shared" si="1"/>
        <v>190.48888888888888</v>
      </c>
      <c r="I6">
        <v>1.3</v>
      </c>
      <c r="J6">
        <v>79</v>
      </c>
      <c r="K6">
        <f>AVERAGE(11,11,11)*2</f>
        <v>22</v>
      </c>
      <c r="L6">
        <f t="shared" si="2"/>
        <v>79.36666666666666</v>
      </c>
      <c r="M6">
        <f t="shared" si="3"/>
        <v>260.77777777777777</v>
      </c>
      <c r="P6">
        <v>1.3</v>
      </c>
      <c r="Q6">
        <v>154</v>
      </c>
      <c r="R6">
        <f>AVERAGE(9,9,9)*2</f>
        <v>18</v>
      </c>
      <c r="S6">
        <f t="shared" si="6"/>
        <v>154.30000000000001</v>
      </c>
      <c r="T6">
        <f t="shared" si="4"/>
        <v>3.1444444444444457</v>
      </c>
    </row>
    <row r="7" spans="1:20" x14ac:dyDescent="0.3">
      <c r="A7">
        <f t="shared" si="0"/>
        <v>0.52881999999999996</v>
      </c>
      <c r="C7">
        <v>1.4</v>
      </c>
      <c r="D7">
        <v>147</v>
      </c>
      <c r="E7">
        <f>AVERAGE(19,19,20)*2</f>
        <v>38.666666666666664</v>
      </c>
      <c r="F7">
        <f t="shared" si="5"/>
        <v>147.64444444444445</v>
      </c>
      <c r="G7">
        <f t="shared" si="1"/>
        <v>192.35555555555555</v>
      </c>
      <c r="I7">
        <v>1.4</v>
      </c>
      <c r="J7">
        <v>79</v>
      </c>
      <c r="K7">
        <f>AVERAGE(10,11,11)*2</f>
        <v>21.333333333333332</v>
      </c>
      <c r="L7">
        <f t="shared" si="2"/>
        <v>79.355555555555554</v>
      </c>
      <c r="M7">
        <f t="shared" si="3"/>
        <v>260.78888888888889</v>
      </c>
      <c r="P7">
        <v>1.4</v>
      </c>
      <c r="Q7">
        <v>154</v>
      </c>
      <c r="R7">
        <f>AVERAGE(16,16,18)*2</f>
        <v>33.333333333333336</v>
      </c>
      <c r="S7">
        <f t="shared" si="6"/>
        <v>154.55555555555554</v>
      </c>
      <c r="T7">
        <f t="shared" si="4"/>
        <v>3.3999999999999773</v>
      </c>
    </row>
    <row r="8" spans="1:20" x14ac:dyDescent="0.3">
      <c r="A8">
        <f t="shared" si="0"/>
        <v>0.56600000000000006</v>
      </c>
      <c r="C8">
        <v>1.5</v>
      </c>
      <c r="D8">
        <v>146</v>
      </c>
      <c r="E8">
        <f>AVERAGE(13,15,15)*2</f>
        <v>28.666666666666668</v>
      </c>
      <c r="F8">
        <f t="shared" si="5"/>
        <v>146.47777777777779</v>
      </c>
      <c r="G8">
        <f t="shared" si="1"/>
        <v>193.52222222222221</v>
      </c>
      <c r="I8">
        <v>1.5</v>
      </c>
      <c r="J8">
        <v>79</v>
      </c>
      <c r="K8">
        <f>AVERAGE(11,11,10)*2</f>
        <v>21.333333333333332</v>
      </c>
      <c r="L8">
        <f t="shared" si="2"/>
        <v>79.355555555555554</v>
      </c>
      <c r="M8">
        <f t="shared" si="3"/>
        <v>260.78888888888889</v>
      </c>
      <c r="P8">
        <v>1.5</v>
      </c>
      <c r="Q8">
        <v>154</v>
      </c>
      <c r="R8">
        <f>AVERAGE(21,21,20)*2</f>
        <v>41.333333333333336</v>
      </c>
      <c r="S8">
        <f t="shared" si="6"/>
        <v>154.6888888888889</v>
      </c>
      <c r="T8">
        <f t="shared" si="4"/>
        <v>3.5333333333333314</v>
      </c>
    </row>
    <row r="9" spans="1:20" x14ac:dyDescent="0.3">
      <c r="A9">
        <f t="shared" si="0"/>
        <v>0.60318000000000005</v>
      </c>
      <c r="C9">
        <v>1.6</v>
      </c>
      <c r="D9">
        <v>145</v>
      </c>
      <c r="E9">
        <f>AVERAGE(13,14,14)*2</f>
        <v>27.333333333333332</v>
      </c>
      <c r="F9">
        <f t="shared" si="5"/>
        <v>145.45555555555555</v>
      </c>
      <c r="G9">
        <f t="shared" si="1"/>
        <v>194.54444444444445</v>
      </c>
      <c r="I9">
        <v>1.6</v>
      </c>
      <c r="J9">
        <v>79</v>
      </c>
      <c r="K9">
        <f>AVERAGE(10,9,11)*2</f>
        <v>20</v>
      </c>
      <c r="L9">
        <f t="shared" si="2"/>
        <v>79.333333333333329</v>
      </c>
      <c r="M9">
        <f t="shared" si="3"/>
        <v>260.81111111111113</v>
      </c>
      <c r="P9">
        <v>1.6</v>
      </c>
      <c r="Q9">
        <v>154</v>
      </c>
      <c r="R9">
        <f>AVERAGE(24,24,22)*2</f>
        <v>46.666666666666664</v>
      </c>
      <c r="S9">
        <f t="shared" si="6"/>
        <v>154.77777777777777</v>
      </c>
      <c r="T9">
        <f t="shared" si="4"/>
        <v>3.6222222222222058</v>
      </c>
    </row>
    <row r="10" spans="1:20" x14ac:dyDescent="0.3">
      <c r="A10">
        <f t="shared" si="0"/>
        <v>0.64036000000000004</v>
      </c>
      <c r="C10">
        <v>1.7</v>
      </c>
      <c r="D10">
        <v>144</v>
      </c>
      <c r="E10">
        <f>AVERAGE(20,19,20)*2</f>
        <v>39.333333333333336</v>
      </c>
      <c r="F10">
        <f t="shared" si="5"/>
        <v>144.65555555555557</v>
      </c>
      <c r="G10">
        <f t="shared" si="1"/>
        <v>195.34444444444443</v>
      </c>
      <c r="I10">
        <v>1.7</v>
      </c>
      <c r="J10">
        <v>79</v>
      </c>
      <c r="K10">
        <f>AVERAGE(10,11,8)*2</f>
        <v>19.333333333333332</v>
      </c>
      <c r="L10">
        <f t="shared" si="2"/>
        <v>79.322222222222223</v>
      </c>
      <c r="M10">
        <f t="shared" si="3"/>
        <v>260.82222222222219</v>
      </c>
      <c r="P10">
        <v>1.7</v>
      </c>
      <c r="Q10">
        <v>155</v>
      </c>
      <c r="R10">
        <f>AVERAGE(3,2,3)*2</f>
        <v>5.333333333333333</v>
      </c>
      <c r="S10">
        <f t="shared" si="6"/>
        <v>155.0888888888889</v>
      </c>
      <c r="T10">
        <f t="shared" si="4"/>
        <v>3.9333333333333371</v>
      </c>
    </row>
    <row r="11" spans="1:20" x14ac:dyDescent="0.3">
      <c r="A11">
        <f t="shared" si="0"/>
        <v>0.67754000000000003</v>
      </c>
      <c r="C11">
        <v>1.8</v>
      </c>
      <c r="D11">
        <v>143</v>
      </c>
      <c r="E11">
        <f>AVERAGE(17,16,16)*2</f>
        <v>32.666666666666664</v>
      </c>
      <c r="F11">
        <f t="shared" si="5"/>
        <v>143.54444444444445</v>
      </c>
      <c r="G11">
        <f t="shared" si="1"/>
        <v>196.45555555555555</v>
      </c>
      <c r="I11">
        <v>1.8</v>
      </c>
      <c r="J11">
        <v>79</v>
      </c>
      <c r="K11">
        <f>AVERAGE(7,8,8)*2</f>
        <v>15.333333333333334</v>
      </c>
      <c r="L11">
        <f t="shared" si="2"/>
        <v>79.25555555555556</v>
      </c>
      <c r="M11">
        <f t="shared" si="3"/>
        <v>260.88888888888891</v>
      </c>
      <c r="P11">
        <v>1.8</v>
      </c>
      <c r="Q11">
        <v>155</v>
      </c>
      <c r="R11">
        <f>AVERAGE(7,8,8)*2</f>
        <v>15.333333333333334</v>
      </c>
      <c r="S11">
        <f t="shared" si="6"/>
        <v>155.25555555555556</v>
      </c>
      <c r="T11">
        <f t="shared" si="4"/>
        <v>4.0999999999999943</v>
      </c>
    </row>
    <row r="12" spans="1:20" x14ac:dyDescent="0.3">
      <c r="A12">
        <f t="shared" si="0"/>
        <v>0.71472000000000002</v>
      </c>
      <c r="C12">
        <v>1.9</v>
      </c>
      <c r="D12">
        <v>142</v>
      </c>
      <c r="E12">
        <f>AVERAGE(13,15,16)*2</f>
        <v>29.333333333333332</v>
      </c>
      <c r="F12">
        <f t="shared" si="5"/>
        <v>142.48888888888888</v>
      </c>
      <c r="G12">
        <f t="shared" si="1"/>
        <v>197.51111111111112</v>
      </c>
      <c r="I12">
        <v>1.9</v>
      </c>
      <c r="J12">
        <v>79</v>
      </c>
      <c r="K12">
        <f>AVERAGE(7,7,6)*2</f>
        <v>13.333333333333334</v>
      </c>
      <c r="L12">
        <f t="shared" si="2"/>
        <v>79.222222222222229</v>
      </c>
      <c r="M12">
        <f t="shared" si="3"/>
        <v>260.92222222222222</v>
      </c>
      <c r="P12">
        <v>1.9</v>
      </c>
      <c r="Q12">
        <v>155</v>
      </c>
      <c r="R12">
        <f>AVERAGE(11,10,10)*2</f>
        <v>20.666666666666668</v>
      </c>
      <c r="S12">
        <f t="shared" si="6"/>
        <v>155.34444444444443</v>
      </c>
      <c r="T12">
        <f t="shared" si="4"/>
        <v>4.1888888888888687</v>
      </c>
    </row>
    <row r="14" spans="1:20" x14ac:dyDescent="0.3">
      <c r="D14" t="s">
        <v>6</v>
      </c>
      <c r="E14" t="s">
        <v>9</v>
      </c>
      <c r="F14" t="s">
        <v>10</v>
      </c>
      <c r="P14" t="s">
        <v>6</v>
      </c>
      <c r="Q14" t="s">
        <v>9</v>
      </c>
      <c r="R14" t="s">
        <v>10</v>
      </c>
    </row>
    <row r="15" spans="1:20" x14ac:dyDescent="0.3">
      <c r="D15">
        <v>340</v>
      </c>
      <c r="E15">
        <f>AVERAGE(3,5,5)*2</f>
        <v>8.6666666666666661</v>
      </c>
      <c r="F15">
        <f t="shared" si="5"/>
        <v>340.14444444444445</v>
      </c>
      <c r="P15">
        <v>151</v>
      </c>
      <c r="Q15">
        <f>AVERAGE(4,5,5)*2</f>
        <v>9.3333333333333339</v>
      </c>
      <c r="R15">
        <f t="shared" ref="R15" si="7">P15+Q15/60</f>
        <v>151.15555555555557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3151-44FB-43B2-8C54-291771FD53B3}">
  <dimension ref="A1:G14"/>
  <sheetViews>
    <sheetView zoomScale="67" zoomScaleNormal="70" workbookViewId="0">
      <selection activeCell="K18" sqref="K18"/>
    </sheetView>
  </sheetViews>
  <sheetFormatPr defaultRowHeight="14" x14ac:dyDescent="0.3"/>
  <cols>
    <col min="2" max="3" width="16.08203125" customWidth="1"/>
    <col min="4" max="4" width="11.5" customWidth="1"/>
    <col min="5" max="5" width="17" customWidth="1"/>
  </cols>
  <sheetData>
    <row r="1" spans="1:7" x14ac:dyDescent="0.3">
      <c r="C1" s="2" t="s">
        <v>8</v>
      </c>
      <c r="D1" s="2"/>
      <c r="E1" s="2"/>
    </row>
    <row r="2" spans="1:7" x14ac:dyDescent="0.3">
      <c r="A2" t="s">
        <v>1</v>
      </c>
      <c r="C2" t="s">
        <v>0</v>
      </c>
      <c r="D2" t="s">
        <v>7</v>
      </c>
      <c r="E2" t="s">
        <v>9</v>
      </c>
      <c r="G2" t="s">
        <v>14</v>
      </c>
    </row>
    <row r="3" spans="1:7" x14ac:dyDescent="0.3">
      <c r="A3">
        <v>0.38009999999999999</v>
      </c>
      <c r="C3">
        <v>1</v>
      </c>
      <c r="D3">
        <v>149</v>
      </c>
      <c r="E3">
        <f>AVERAGE(23,25,25)*2</f>
        <v>48.666666666666664</v>
      </c>
      <c r="F3">
        <f>D3+E3/60</f>
        <v>149.8111111111111</v>
      </c>
      <c r="G3">
        <f>$F$14-F3</f>
        <v>188.66666666666666</v>
      </c>
    </row>
    <row r="4" spans="1:7" x14ac:dyDescent="0.3">
      <c r="A4">
        <v>0.41728000000000004</v>
      </c>
      <c r="C4">
        <v>1.1000000000000001</v>
      </c>
      <c r="D4">
        <v>147</v>
      </c>
      <c r="E4">
        <f>AVERAGE(27,23,27)*2</f>
        <v>51.333333333333336</v>
      </c>
      <c r="F4">
        <f t="shared" ref="F4:F12" si="0">D4+E4/60</f>
        <v>147.85555555555555</v>
      </c>
      <c r="G4">
        <f t="shared" ref="G4:G12" si="1">$F$14-F4</f>
        <v>190.62222222222221</v>
      </c>
    </row>
    <row r="5" spans="1:7" x14ac:dyDescent="0.3">
      <c r="A5">
        <v>0.45445999999999998</v>
      </c>
      <c r="C5">
        <v>1.2</v>
      </c>
      <c r="D5">
        <v>147</v>
      </c>
      <c r="E5">
        <f>AVERAGE(0,1,0)*2</f>
        <v>0.66666666666666663</v>
      </c>
      <c r="F5">
        <f t="shared" si="0"/>
        <v>147.01111111111112</v>
      </c>
      <c r="G5">
        <f t="shared" si="1"/>
        <v>191.46666666666664</v>
      </c>
    </row>
    <row r="6" spans="1:7" x14ac:dyDescent="0.3">
      <c r="A6">
        <v>0.49164000000000002</v>
      </c>
      <c r="C6">
        <v>1.3</v>
      </c>
      <c r="D6">
        <v>146</v>
      </c>
      <c r="E6">
        <f>AVERAGE(20,21,15)*2</f>
        <v>37.333333333333336</v>
      </c>
      <c r="F6">
        <f t="shared" si="0"/>
        <v>146.62222222222223</v>
      </c>
      <c r="G6">
        <f t="shared" si="1"/>
        <v>191.85555555555553</v>
      </c>
    </row>
    <row r="7" spans="1:7" x14ac:dyDescent="0.3">
      <c r="A7">
        <v>0.52881999999999996</v>
      </c>
      <c r="C7">
        <v>1.4</v>
      </c>
      <c r="D7">
        <v>145</v>
      </c>
      <c r="E7">
        <f>AVERAGE(29,26,29)*2</f>
        <v>56</v>
      </c>
      <c r="F7">
        <f t="shared" si="0"/>
        <v>145.93333333333334</v>
      </c>
      <c r="G7">
        <f t="shared" si="1"/>
        <v>192.54444444444442</v>
      </c>
    </row>
    <row r="8" spans="1:7" x14ac:dyDescent="0.3">
      <c r="A8">
        <v>0.56600000000000006</v>
      </c>
      <c r="C8">
        <v>1.5</v>
      </c>
      <c r="D8">
        <v>144</v>
      </c>
      <c r="E8">
        <f>AVERAGE(13,15,18)*2</f>
        <v>30.666666666666668</v>
      </c>
      <c r="F8">
        <f t="shared" si="0"/>
        <v>144.51111111111112</v>
      </c>
      <c r="G8">
        <f t="shared" si="1"/>
        <v>193.96666666666664</v>
      </c>
    </row>
    <row r="9" spans="1:7" x14ac:dyDescent="0.3">
      <c r="A9">
        <v>0.60318000000000005</v>
      </c>
      <c r="C9">
        <v>1.6</v>
      </c>
      <c r="D9">
        <v>143</v>
      </c>
      <c r="E9">
        <f>AVERAGE(13,14,10)*2</f>
        <v>24.666666666666668</v>
      </c>
      <c r="F9">
        <f t="shared" si="0"/>
        <v>143.4111111111111</v>
      </c>
      <c r="G9">
        <f t="shared" si="1"/>
        <v>195.06666666666666</v>
      </c>
    </row>
    <row r="10" spans="1:7" x14ac:dyDescent="0.3">
      <c r="A10">
        <v>0.64036000000000004</v>
      </c>
      <c r="C10">
        <v>1.7</v>
      </c>
      <c r="D10">
        <v>141</v>
      </c>
      <c r="E10">
        <f>AVERAGE(11,9,7)*2</f>
        <v>18</v>
      </c>
      <c r="F10">
        <f t="shared" si="0"/>
        <v>141.30000000000001</v>
      </c>
      <c r="G10">
        <f t="shared" si="1"/>
        <v>197.17777777777775</v>
      </c>
    </row>
    <row r="11" spans="1:7" x14ac:dyDescent="0.3">
      <c r="A11">
        <v>0.67754000000000003</v>
      </c>
      <c r="C11">
        <v>1.8</v>
      </c>
      <c r="D11">
        <v>140</v>
      </c>
      <c r="E11">
        <f>AVERAGE(23,22,24)*2</f>
        <v>46</v>
      </c>
      <c r="F11">
        <f t="shared" si="0"/>
        <v>140.76666666666668</v>
      </c>
      <c r="G11">
        <f t="shared" si="1"/>
        <v>197.71111111111108</v>
      </c>
    </row>
    <row r="12" spans="1:7" x14ac:dyDescent="0.3">
      <c r="A12">
        <v>0.71472000000000002</v>
      </c>
      <c r="C12">
        <v>1.9</v>
      </c>
      <c r="D12">
        <v>138</v>
      </c>
      <c r="E12">
        <f>AVERAGE(25,27,26)*2</f>
        <v>52</v>
      </c>
      <c r="F12">
        <f t="shared" si="0"/>
        <v>138.86666666666667</v>
      </c>
      <c r="G12">
        <f t="shared" si="1"/>
        <v>199.61111111111109</v>
      </c>
    </row>
    <row r="13" spans="1:7" x14ac:dyDescent="0.3">
      <c r="D13" t="s">
        <v>6</v>
      </c>
      <c r="E13" t="s">
        <v>9</v>
      </c>
    </row>
    <row r="14" spans="1:7" x14ac:dyDescent="0.3">
      <c r="D14">
        <v>338</v>
      </c>
      <c r="E14">
        <f>AVERAGE(15,14,14)*2</f>
        <v>28.666666666666668</v>
      </c>
      <c r="F14">
        <f>D14+E14/60</f>
        <v>338.47777777777776</v>
      </c>
    </row>
  </sheetData>
  <mergeCells count="1">
    <mergeCell ref="C1:E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D83C-D6BB-4326-AD21-6BFD7B704AD7}">
  <dimension ref="A1:O15"/>
  <sheetViews>
    <sheetView zoomScale="69" workbookViewId="0">
      <selection activeCell="I38" sqref="I38"/>
    </sheetView>
  </sheetViews>
  <sheetFormatPr defaultRowHeight="14" x14ac:dyDescent="0.3"/>
  <sheetData>
    <row r="1" spans="1:15" x14ac:dyDescent="0.3">
      <c r="D1" s="1" t="s">
        <v>8</v>
      </c>
      <c r="E1" s="1"/>
      <c r="F1" s="1"/>
      <c r="G1" s="1"/>
      <c r="K1" s="1" t="s">
        <v>11</v>
      </c>
      <c r="L1" s="1"/>
      <c r="M1" s="1"/>
    </row>
    <row r="2" spans="1:15" x14ac:dyDescent="0.3">
      <c r="A2" t="s">
        <v>2</v>
      </c>
      <c r="B2" t="s">
        <v>1</v>
      </c>
      <c r="D2" t="s">
        <v>0</v>
      </c>
      <c r="E2" t="s">
        <v>7</v>
      </c>
      <c r="F2" t="s">
        <v>9</v>
      </c>
      <c r="G2" t="s">
        <v>10</v>
      </c>
      <c r="H2" t="s">
        <v>14</v>
      </c>
      <c r="J2" t="s">
        <v>2</v>
      </c>
      <c r="K2" t="s">
        <v>0</v>
      </c>
      <c r="L2" t="s">
        <v>7</v>
      </c>
      <c r="M2" t="s">
        <v>9</v>
      </c>
      <c r="N2" t="s">
        <v>10</v>
      </c>
      <c r="O2" t="s">
        <v>14</v>
      </c>
    </row>
    <row r="3" spans="1:15" x14ac:dyDescent="0.3">
      <c r="B3">
        <v>0.38009999999999999</v>
      </c>
      <c r="D3">
        <v>1</v>
      </c>
      <c r="E3">
        <v>33</v>
      </c>
      <c r="F3">
        <f>AVERAGE(28,29,28)*2</f>
        <v>56.666666666666664</v>
      </c>
      <c r="G3">
        <f>E3+F3/60</f>
        <v>33.944444444444443</v>
      </c>
      <c r="H3">
        <f>$E$15-G3</f>
        <v>157.05555555555554</v>
      </c>
      <c r="J3">
        <f>K3*0.3718+0.0083</f>
        <v>0.38009999999999999</v>
      </c>
      <c r="K3">
        <v>1</v>
      </c>
      <c r="L3">
        <v>152</v>
      </c>
      <c r="M3">
        <f>AVERAGE(29,27,24)*2</f>
        <v>53.333333333333336</v>
      </c>
      <c r="N3">
        <f>L3+M3/60</f>
        <v>152.88888888888889</v>
      </c>
      <c r="O3">
        <f>$N$15-N3</f>
        <v>0.74444444444444002</v>
      </c>
    </row>
    <row r="4" spans="1:15" x14ac:dyDescent="0.3">
      <c r="B4">
        <v>0.41728000000000004</v>
      </c>
      <c r="D4">
        <v>1.1000000000000001</v>
      </c>
      <c r="E4">
        <v>31</v>
      </c>
      <c r="F4">
        <f>AVERAGE(17,14,15)*2</f>
        <v>30.666666666666668</v>
      </c>
      <c r="G4">
        <f t="shared" ref="G4:G15" si="0">E4+F4/60</f>
        <v>31.511111111111113</v>
      </c>
      <c r="H4">
        <f t="shared" ref="H4:H12" si="1">$E$15-G4</f>
        <v>159.48888888888888</v>
      </c>
      <c r="J4">
        <f t="shared" ref="J4:J7" si="2">K4*0.3718+0.0083</f>
        <v>0.56600000000000006</v>
      </c>
      <c r="K4">
        <v>1.5</v>
      </c>
      <c r="L4">
        <v>152</v>
      </c>
      <c r="M4">
        <f>AVERAGE(24,24,24)*2</f>
        <v>48</v>
      </c>
      <c r="N4">
        <f>L4+M4/60</f>
        <v>152.80000000000001</v>
      </c>
      <c r="O4">
        <f t="shared" ref="O4:O7" si="3">$N$15-N4</f>
        <v>0.83333333333331439</v>
      </c>
    </row>
    <row r="5" spans="1:15" x14ac:dyDescent="0.3">
      <c r="B5">
        <v>0.45445999999999998</v>
      </c>
      <c r="D5">
        <v>1.2</v>
      </c>
      <c r="E5">
        <v>29</v>
      </c>
      <c r="F5">
        <f>AVERAGE(21,19,21)*2</f>
        <v>40.666666666666664</v>
      </c>
      <c r="G5">
        <f t="shared" si="0"/>
        <v>29.677777777777777</v>
      </c>
      <c r="H5">
        <f t="shared" si="1"/>
        <v>161.32222222222222</v>
      </c>
      <c r="J5">
        <f t="shared" si="2"/>
        <v>0.75190000000000001</v>
      </c>
      <c r="K5">
        <v>2</v>
      </c>
      <c r="L5">
        <v>152</v>
      </c>
      <c r="M5">
        <f>AVERAGE(21,24,25)*2</f>
        <v>46.666666666666664</v>
      </c>
      <c r="N5">
        <f>L5+M5/60</f>
        <v>152.77777777777777</v>
      </c>
      <c r="O5">
        <f t="shared" si="3"/>
        <v>0.85555555555555429</v>
      </c>
    </row>
    <row r="6" spans="1:15" x14ac:dyDescent="0.3">
      <c r="B6">
        <v>0.49164000000000002</v>
      </c>
      <c r="D6">
        <v>1.3</v>
      </c>
      <c r="E6">
        <v>28</v>
      </c>
      <c r="F6">
        <f>AVERAGE(10,13,12)*2</f>
        <v>23.333333333333332</v>
      </c>
      <c r="G6">
        <f t="shared" si="0"/>
        <v>28.388888888888889</v>
      </c>
      <c r="H6">
        <f t="shared" si="1"/>
        <v>162.61111111111111</v>
      </c>
      <c r="J6">
        <f t="shared" si="2"/>
        <v>0.93779999999999997</v>
      </c>
      <c r="K6">
        <v>2.5</v>
      </c>
      <c r="L6">
        <v>152</v>
      </c>
      <c r="M6">
        <f>AVERAGE(26,24,28)*2</f>
        <v>52</v>
      </c>
      <c r="N6">
        <f>L6+M6/60</f>
        <v>152.86666666666667</v>
      </c>
      <c r="O6">
        <f t="shared" si="3"/>
        <v>0.76666666666665151</v>
      </c>
    </row>
    <row r="7" spans="1:15" x14ac:dyDescent="0.3">
      <c r="B7">
        <v>0.52881999999999996</v>
      </c>
      <c r="D7">
        <v>1.4</v>
      </c>
      <c r="E7">
        <v>26</v>
      </c>
      <c r="F7">
        <f>AVERAGE(9,9,6)*2</f>
        <v>16</v>
      </c>
      <c r="G7">
        <f t="shared" si="0"/>
        <v>26.266666666666666</v>
      </c>
      <c r="H7">
        <f t="shared" si="1"/>
        <v>164.73333333333335</v>
      </c>
      <c r="J7">
        <f t="shared" si="2"/>
        <v>1.1237000000000001</v>
      </c>
      <c r="K7">
        <v>3</v>
      </c>
      <c r="L7">
        <v>152</v>
      </c>
      <c r="M7">
        <f>AVERAGE(19,22,21)*2</f>
        <v>41.333333333333336</v>
      </c>
      <c r="N7">
        <f>L7+M7/60</f>
        <v>152.6888888888889</v>
      </c>
      <c r="O7">
        <f t="shared" si="3"/>
        <v>0.94444444444442865</v>
      </c>
    </row>
    <row r="8" spans="1:15" x14ac:dyDescent="0.3">
      <c r="B8">
        <v>0.56600000000000006</v>
      </c>
      <c r="D8">
        <v>1.5</v>
      </c>
      <c r="E8">
        <v>24</v>
      </c>
      <c r="F8">
        <f>AVERAGE(13,15,12)*2</f>
        <v>26.666666666666668</v>
      </c>
      <c r="G8">
        <f t="shared" si="0"/>
        <v>24.444444444444443</v>
      </c>
      <c r="H8">
        <f t="shared" si="1"/>
        <v>166.55555555555554</v>
      </c>
    </row>
    <row r="9" spans="1:15" x14ac:dyDescent="0.3">
      <c r="B9">
        <v>0.60318000000000005</v>
      </c>
      <c r="D9">
        <v>1.6</v>
      </c>
      <c r="E9">
        <v>22</v>
      </c>
      <c r="F9">
        <f>AVERAGE(13,14,14)*2</f>
        <v>27.333333333333332</v>
      </c>
      <c r="G9">
        <f t="shared" si="0"/>
        <v>22.455555555555556</v>
      </c>
      <c r="H9">
        <f t="shared" si="1"/>
        <v>168.54444444444445</v>
      </c>
    </row>
    <row r="10" spans="1:15" x14ac:dyDescent="0.3">
      <c r="B10">
        <v>0.64036000000000004</v>
      </c>
      <c r="D10">
        <v>1.7</v>
      </c>
      <c r="E10">
        <v>20</v>
      </c>
      <c r="F10">
        <f>AVERAGE(17,18,18)*2</f>
        <v>35.333333333333336</v>
      </c>
      <c r="G10">
        <f t="shared" si="0"/>
        <v>20.588888888888889</v>
      </c>
      <c r="H10">
        <f t="shared" si="1"/>
        <v>170.4111111111111</v>
      </c>
    </row>
    <row r="11" spans="1:15" x14ac:dyDescent="0.3">
      <c r="B11">
        <v>0.67754000000000003</v>
      </c>
      <c r="D11">
        <v>1.8</v>
      </c>
      <c r="E11">
        <v>19</v>
      </c>
      <c r="F11">
        <f>AVERAGE(0,0,1)*2</f>
        <v>0.66666666666666663</v>
      </c>
      <c r="G11">
        <f t="shared" si="0"/>
        <v>19.011111111111113</v>
      </c>
      <c r="H11">
        <f t="shared" si="1"/>
        <v>171.98888888888888</v>
      </c>
    </row>
    <row r="12" spans="1:15" x14ac:dyDescent="0.3">
      <c r="B12">
        <v>0.71472000000000002</v>
      </c>
      <c r="D12">
        <v>1.9</v>
      </c>
      <c r="E12">
        <v>16</v>
      </c>
      <c r="F12">
        <f>AVERAGE(12,15,11)*2</f>
        <v>25.333333333333332</v>
      </c>
      <c r="G12">
        <f t="shared" si="0"/>
        <v>16.422222222222221</v>
      </c>
      <c r="H12">
        <f t="shared" si="1"/>
        <v>174.57777777777778</v>
      </c>
    </row>
    <row r="14" spans="1:15" x14ac:dyDescent="0.3">
      <c r="E14" t="s">
        <v>6</v>
      </c>
      <c r="F14" t="s">
        <v>9</v>
      </c>
      <c r="G14" t="s">
        <v>10</v>
      </c>
      <c r="L14" t="s">
        <v>6</v>
      </c>
      <c r="M14" t="s">
        <v>9</v>
      </c>
      <c r="N14" t="s">
        <v>10</v>
      </c>
    </row>
    <row r="15" spans="1:15" x14ac:dyDescent="0.3">
      <c r="E15">
        <v>191</v>
      </c>
      <c r="F15">
        <f>AVERAGE(12,9,11)*2</f>
        <v>21.333333333333332</v>
      </c>
      <c r="G15">
        <f t="shared" si="0"/>
        <v>191.35555555555555</v>
      </c>
      <c r="L15">
        <v>153</v>
      </c>
      <c r="M15">
        <f>AVERAGE(18,21,18)*2</f>
        <v>38</v>
      </c>
      <c r="N15">
        <f t="shared" ref="N15" si="4">L15+M15/60</f>
        <v>153.63333333333333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磁场的定标与磁场均匀性</vt:lpstr>
      <vt:lpstr>倍频法</vt:lpstr>
      <vt:lpstr>消光法</vt:lpstr>
      <vt:lpstr>不可逆性验证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2025-05-13T15:05:00Z</dcterms:modified>
</cp:coreProperties>
</file>