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5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czang/Documents/papers/Cycle/Github/4B/"/>
    </mc:Choice>
  </mc:AlternateContent>
  <xr:revisionPtr revIDLastSave="0" documentId="13_ncr:1_{A836DAD1-471B-1D4F-8F6E-F3CE461815D5}" xr6:coauthVersionLast="47" xr6:coauthVersionMax="47" xr10:uidLastSave="{00000000-0000-0000-0000-000000000000}"/>
  <bookViews>
    <workbookView xWindow="31280" yWindow="2680" windowWidth="30240" windowHeight="18880" activeTab="1" xr2:uid="{94132B92-8310-424C-8691-1F2EF40DE06B}"/>
  </bookViews>
  <sheets>
    <sheet name="plot" sheetId="3" r:id="rId1"/>
    <sheet name="consolidate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7" i="2" l="1"/>
  <c r="K32" i="2"/>
  <c r="K31" i="2"/>
  <c r="K28" i="2"/>
  <c r="K29" i="2"/>
  <c r="K30" i="2"/>
  <c r="N28" i="2"/>
  <c r="N29" i="2"/>
  <c r="N30" i="2"/>
  <c r="N31" i="2"/>
  <c r="N32" i="2"/>
  <c r="N27" i="2"/>
  <c r="E27" i="2"/>
  <c r="H28" i="2"/>
  <c r="H29" i="2"/>
  <c r="H30" i="2"/>
  <c r="H31" i="2"/>
  <c r="H32" i="2"/>
  <c r="H27" i="2"/>
  <c r="E28" i="2"/>
  <c r="E29" i="2"/>
  <c r="E30" i="2"/>
  <c r="E31" i="2"/>
  <c r="E32" i="2"/>
  <c r="D38" i="2"/>
  <c r="M32" i="2"/>
  <c r="M28" i="2"/>
  <c r="M29" i="2"/>
  <c r="M30" i="2"/>
  <c r="M31" i="2"/>
  <c r="M27" i="2"/>
  <c r="J28" i="2"/>
  <c r="J29" i="2"/>
  <c r="J30" i="2"/>
  <c r="J31" i="2"/>
  <c r="J32" i="2"/>
  <c r="J27" i="2"/>
  <c r="G28" i="2"/>
  <c r="G29" i="2"/>
  <c r="G30" i="2"/>
  <c r="G31" i="2"/>
  <c r="G32" i="2"/>
  <c r="G27" i="2"/>
  <c r="D28" i="2"/>
  <c r="D29" i="2"/>
  <c r="D30" i="2"/>
  <c r="D31" i="2"/>
  <c r="D32" i="2"/>
  <c r="D27" i="2"/>
  <c r="C28" i="2"/>
  <c r="F28" i="2"/>
  <c r="I28" i="2"/>
  <c r="L28" i="2"/>
  <c r="C29" i="2"/>
  <c r="F29" i="2"/>
  <c r="I29" i="2"/>
  <c r="L29" i="2"/>
  <c r="C30" i="2"/>
  <c r="F30" i="2"/>
  <c r="I30" i="2"/>
  <c r="L30" i="2"/>
  <c r="C31" i="2"/>
  <c r="F31" i="2"/>
  <c r="I31" i="2"/>
  <c r="L31" i="2"/>
  <c r="C32" i="2"/>
  <c r="F32" i="2"/>
  <c r="I32" i="2"/>
  <c r="L32" i="2"/>
  <c r="F27" i="2"/>
  <c r="I27" i="2"/>
  <c r="L27" i="2"/>
  <c r="C27" i="2"/>
  <c r="C19" i="2"/>
  <c r="D19" i="2"/>
  <c r="E19" i="2"/>
  <c r="F19" i="2"/>
  <c r="G19" i="2"/>
  <c r="H19" i="2"/>
  <c r="I19" i="2"/>
  <c r="J19" i="2"/>
  <c r="K19" i="2"/>
  <c r="C20" i="2"/>
  <c r="D20" i="2"/>
  <c r="E20" i="2"/>
  <c r="F20" i="2"/>
  <c r="G20" i="2"/>
  <c r="H20" i="2"/>
  <c r="I20" i="2"/>
  <c r="J20" i="2"/>
  <c r="K20" i="2"/>
  <c r="C21" i="2"/>
  <c r="D21" i="2"/>
  <c r="E21" i="2"/>
  <c r="F21" i="2"/>
  <c r="G21" i="2"/>
  <c r="H21" i="2"/>
  <c r="I21" i="2"/>
  <c r="J21" i="2"/>
  <c r="K21" i="2"/>
  <c r="C22" i="2"/>
  <c r="D22" i="2"/>
  <c r="E22" i="2"/>
  <c r="F22" i="2"/>
  <c r="G22" i="2"/>
  <c r="H22" i="2"/>
  <c r="I22" i="2"/>
  <c r="J22" i="2"/>
  <c r="K22" i="2"/>
  <c r="C23" i="2"/>
  <c r="D23" i="2"/>
  <c r="E23" i="2"/>
  <c r="F23" i="2"/>
  <c r="G23" i="2"/>
  <c r="H23" i="2"/>
  <c r="I23" i="2"/>
  <c r="J23" i="2"/>
  <c r="K23" i="2"/>
  <c r="D18" i="2"/>
  <c r="E18" i="2"/>
  <c r="F18" i="2"/>
  <c r="G18" i="2"/>
  <c r="H18" i="2"/>
  <c r="I18" i="2"/>
  <c r="J18" i="2"/>
  <c r="K18" i="2"/>
  <c r="C18" i="2"/>
  <c r="K11" i="2"/>
  <c r="J11" i="2"/>
  <c r="I11" i="2"/>
  <c r="H11" i="2"/>
  <c r="G11" i="2"/>
  <c r="F11" i="2"/>
  <c r="E11" i="2"/>
  <c r="D11" i="2"/>
  <c r="C11" i="2"/>
  <c r="K10" i="2"/>
  <c r="J10" i="2"/>
  <c r="I10" i="2"/>
  <c r="H10" i="2"/>
  <c r="G10" i="2"/>
  <c r="F10" i="2"/>
  <c r="E10" i="2"/>
  <c r="D10" i="2"/>
  <c r="C10" i="2"/>
  <c r="K9" i="2"/>
  <c r="J9" i="2"/>
  <c r="I9" i="2"/>
  <c r="H9" i="2"/>
  <c r="G9" i="2"/>
  <c r="F9" i="2"/>
  <c r="E9" i="2"/>
  <c r="D9" i="2"/>
  <c r="C9" i="2"/>
  <c r="K8" i="2"/>
  <c r="J8" i="2"/>
  <c r="I8" i="2"/>
  <c r="H8" i="2"/>
  <c r="G8" i="2"/>
  <c r="F8" i="2"/>
  <c r="E8" i="2"/>
  <c r="D8" i="2"/>
  <c r="C8" i="2"/>
  <c r="K7" i="2"/>
  <c r="J7" i="2"/>
  <c r="I7" i="2"/>
  <c r="H7" i="2"/>
  <c r="G7" i="2"/>
  <c r="F7" i="2"/>
</calcChain>
</file>

<file path=xl/sharedStrings.xml><?xml version="1.0" encoding="utf-8"?>
<sst xmlns="http://schemas.openxmlformats.org/spreadsheetml/2006/main" count="73" uniqueCount="29">
  <si>
    <t>t=5h</t>
  </si>
  <si>
    <t>t=0</t>
  </si>
  <si>
    <t>t=1h</t>
  </si>
  <si>
    <t>t=2h</t>
  </si>
  <si>
    <t>t=3h</t>
  </si>
  <si>
    <t>t=4h</t>
  </si>
  <si>
    <t>rep 1</t>
  </si>
  <si>
    <t>rep 2</t>
  </si>
  <si>
    <t>rep 3</t>
  </si>
  <si>
    <t>24°C</t>
  </si>
  <si>
    <t>30°C</t>
  </si>
  <si>
    <t>37°C</t>
  </si>
  <si>
    <t>liposomes</t>
  </si>
  <si>
    <t>PFU/mL</t>
  </si>
  <si>
    <t>PFU/nL</t>
  </si>
  <si>
    <t>24°C rep 1</t>
  </si>
  <si>
    <t>30°C rep 1</t>
  </si>
  <si>
    <t>37°C rep 1</t>
  </si>
  <si>
    <t>liposomes rep 1</t>
  </si>
  <si>
    <t>24°C rep 2</t>
  </si>
  <si>
    <t>30°C rep 2</t>
  </si>
  <si>
    <t>37°C rep 2</t>
  </si>
  <si>
    <t>liposomes rep 2</t>
  </si>
  <si>
    <t>24°C rep 3</t>
  </si>
  <si>
    <t>30°C rep 3</t>
  </si>
  <si>
    <t>37°C rep 3</t>
  </si>
  <si>
    <t>liposomes rep 3</t>
  </si>
  <si>
    <t>DNA concentration 9nM)</t>
  </si>
  <si>
    <t>expected phage (nM)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</si>
</sst>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7">
    <xf numFmtId="0" fontId="0" fillId="0" borderId="0" xfId="0"/>
    <xf numFmtId="11" fontId="0" fillId="0" borderId="0" xfId="0" applyNumberFormat="1"/>
    <xf numFmtId="0" fontId="0" fillId="0" borderId="1" xfId="0" applyBorder="1"/>
    <xf numFmtId="11" fontId="0" fillId="0" borderId="1" xfId="0" applyNumberFormat="1" applyBorder="1"/>
    <xf numFmtId="0" fontId="1" fillId="0" borderId="0" xfId="0" applyFont="1"/>
    <xf numFmtId="9" fontId="0" fillId="0" borderId="0" xfId="1" applyFont="1"/>
    <xf numFmtId="0" fontId="0" fillId="0" borderId="1" xfId="0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A60EC-D77C-184A-AF7B-521BBCF4B57F}">
  <dimension ref="A1:N7"/>
  <sheetViews>
    <sheetView workbookViewId="0">
      <selection activeCell="D42" sqref="D42"/>
    </sheetView>
  </sheetViews>
  <sheetFormatPr baseColWidth="10" defaultRowHeight="15" x14ac:dyDescent="0.2"/>
  <sheetData>
    <row r="1" spans="1:14" x14ac:dyDescent="0.2">
      <c r="B1" t="s">
        <v>15</v>
      </c>
      <c r="C1" t="s">
        <v>19</v>
      </c>
      <c r="D1" t="s">
        <v>23</v>
      </c>
      <c r="E1" t="s">
        <v>16</v>
      </c>
      <c r="F1" t="s">
        <v>20</v>
      </c>
      <c r="G1" t="s">
        <v>24</v>
      </c>
      <c r="H1" t="s">
        <v>17</v>
      </c>
      <c r="I1" t="s">
        <v>21</v>
      </c>
      <c r="J1" t="s">
        <v>25</v>
      </c>
      <c r="K1" t="s">
        <v>18</v>
      </c>
      <c r="L1" t="s">
        <v>22</v>
      </c>
      <c r="M1" t="s">
        <v>26</v>
      </c>
    </row>
    <row r="2" spans="1:14" x14ac:dyDescent="0.2">
      <c r="A2" t="s">
        <v>1</v>
      </c>
      <c r="B2" s="1">
        <v>1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K2" s="1">
        <v>1</v>
      </c>
      <c r="L2" s="1">
        <v>1</v>
      </c>
      <c r="M2" s="1">
        <v>1</v>
      </c>
      <c r="N2" s="1"/>
    </row>
    <row r="3" spans="1:14" x14ac:dyDescent="0.2">
      <c r="A3" t="s">
        <v>2</v>
      </c>
      <c r="B3" s="1">
        <v>0</v>
      </c>
      <c r="C3" s="1">
        <v>0</v>
      </c>
      <c r="D3" s="1">
        <v>0</v>
      </c>
      <c r="E3" s="1">
        <v>571.42857142857144</v>
      </c>
      <c r="F3" s="1">
        <v>200</v>
      </c>
      <c r="G3" s="1">
        <v>400</v>
      </c>
      <c r="H3" s="1">
        <v>1714.285714285714</v>
      </c>
      <c r="I3" s="1">
        <v>3142.8571428571422</v>
      </c>
      <c r="J3" s="1">
        <v>1142.8571428571429</v>
      </c>
      <c r="K3" s="1">
        <v>1683.0274733998954</v>
      </c>
      <c r="L3" s="1">
        <v>2411.7713249902959</v>
      </c>
      <c r="M3" s="1">
        <v>513.75068898759901</v>
      </c>
    </row>
    <row r="4" spans="1:14" x14ac:dyDescent="0.2">
      <c r="A4" t="s">
        <v>3</v>
      </c>
      <c r="B4" s="1">
        <v>45.714285714285715</v>
      </c>
      <c r="C4" s="1">
        <v>11.428571428571429</v>
      </c>
      <c r="D4" s="1">
        <v>142.85714285714286</v>
      </c>
      <c r="E4" s="1">
        <v>34285.714285714283</v>
      </c>
      <c r="F4" s="1">
        <v>31428.571428571424</v>
      </c>
      <c r="G4" s="1">
        <v>31428.571428571424</v>
      </c>
      <c r="H4" s="1">
        <v>5714.2857142857147</v>
      </c>
      <c r="I4" s="1">
        <v>8571.4285714285706</v>
      </c>
      <c r="J4" s="1">
        <v>8571.4285714285706</v>
      </c>
      <c r="K4" s="1">
        <v>66118.936454995885</v>
      </c>
      <c r="L4" s="1">
        <v>60294.283124757392</v>
      </c>
      <c r="M4" s="1">
        <v>46704.608089781737</v>
      </c>
    </row>
    <row r="5" spans="1:14" x14ac:dyDescent="0.2">
      <c r="A5" t="s">
        <v>4</v>
      </c>
      <c r="B5" s="1">
        <v>11428.571428571429</v>
      </c>
      <c r="C5" s="1">
        <v>20000</v>
      </c>
      <c r="D5" s="1">
        <v>17142.857142857141</v>
      </c>
      <c r="E5" s="1">
        <v>17142.857142857141</v>
      </c>
      <c r="F5" s="1">
        <v>28571.428571428572</v>
      </c>
      <c r="G5" s="1">
        <v>25714.285714285714</v>
      </c>
      <c r="H5" s="1">
        <v>6285.7142857142844</v>
      </c>
      <c r="I5" s="1">
        <v>8571.4285714285706</v>
      </c>
      <c r="J5" s="1">
        <v>5714.2857142857147</v>
      </c>
      <c r="K5" s="1">
        <v>42075.686834997388</v>
      </c>
      <c r="L5" s="1">
        <v>52757.497734162716</v>
      </c>
      <c r="M5" s="1">
        <v>52542.684101004445</v>
      </c>
    </row>
    <row r="6" spans="1:14" x14ac:dyDescent="0.2">
      <c r="A6" t="s">
        <v>5</v>
      </c>
      <c r="B6" s="1">
        <v>65714.285714285725</v>
      </c>
      <c r="C6" s="1">
        <v>91428.571428571435</v>
      </c>
      <c r="D6" s="1">
        <v>85714.285714285696</v>
      </c>
      <c r="E6" s="1">
        <v>54285.714285714275</v>
      </c>
      <c r="F6" s="1">
        <v>62857.142857142848</v>
      </c>
      <c r="G6" s="1">
        <v>97142.857142857145</v>
      </c>
      <c r="H6" s="1">
        <v>25714.285714285714</v>
      </c>
      <c r="I6" s="1">
        <v>20000</v>
      </c>
      <c r="J6" s="1">
        <v>22857.142857142859</v>
      </c>
      <c r="K6" s="1">
        <v>66118.936454995899</v>
      </c>
      <c r="L6" s="1">
        <v>97978.21007773075</v>
      </c>
      <c r="M6" s="1">
        <v>58380.760112227166</v>
      </c>
    </row>
    <row r="7" spans="1:14" x14ac:dyDescent="0.2">
      <c r="A7" t="s">
        <v>0</v>
      </c>
      <c r="B7" s="1">
        <v>85714.285714285696</v>
      </c>
      <c r="C7" s="1">
        <v>114285.71428571429</v>
      </c>
      <c r="D7" s="1">
        <v>114285.71428571429</v>
      </c>
      <c r="E7" s="1">
        <v>57142.857142857145</v>
      </c>
      <c r="F7" s="1">
        <v>57142.857142857145</v>
      </c>
      <c r="G7" s="1">
        <v>114285.71428571429</v>
      </c>
      <c r="H7" s="1">
        <v>17142.857142857141</v>
      </c>
      <c r="I7" s="1">
        <v>31428.571428571424</v>
      </c>
      <c r="J7" s="1">
        <v>11428.571428571429</v>
      </c>
      <c r="K7" s="1">
        <v>60108.124049996266</v>
      </c>
      <c r="L7" s="1">
        <v>113051.78085892012</v>
      </c>
      <c r="M7" s="1">
        <v>110923.44421323162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3A425-D110-4B4F-8349-23A6D6D0E442}">
  <dimension ref="B3:O38"/>
  <sheetViews>
    <sheetView tabSelected="1" workbookViewId="0">
      <selection activeCell="I23" sqref="I23"/>
    </sheetView>
  </sheetViews>
  <sheetFormatPr baseColWidth="10" defaultRowHeight="15" x14ac:dyDescent="0.2"/>
  <sheetData>
    <row r="3" spans="2:14" x14ac:dyDescent="0.2">
      <c r="B3" t="s">
        <v>13</v>
      </c>
    </row>
    <row r="4" spans="2:14" x14ac:dyDescent="0.2">
      <c r="C4" s="6" t="s">
        <v>9</v>
      </c>
      <c r="D4" s="6"/>
      <c r="E4" s="6"/>
      <c r="F4" s="6" t="s">
        <v>10</v>
      </c>
      <c r="G4" s="6"/>
      <c r="H4" s="6"/>
      <c r="I4" s="6" t="s">
        <v>11</v>
      </c>
      <c r="J4" s="6"/>
      <c r="K4" s="6"/>
      <c r="L4" s="6" t="s">
        <v>12</v>
      </c>
      <c r="M4" s="6"/>
      <c r="N4" s="6"/>
    </row>
    <row r="5" spans="2:14" x14ac:dyDescent="0.2">
      <c r="C5" s="2" t="s">
        <v>6</v>
      </c>
      <c r="D5" s="2" t="s">
        <v>7</v>
      </c>
      <c r="E5" s="2" t="s">
        <v>8</v>
      </c>
      <c r="F5" s="2" t="s">
        <v>6</v>
      </c>
      <c r="G5" s="2" t="s">
        <v>7</v>
      </c>
      <c r="H5" s="2" t="s">
        <v>8</v>
      </c>
      <c r="I5" s="2" t="s">
        <v>6</v>
      </c>
      <c r="J5" s="2" t="s">
        <v>7</v>
      </c>
      <c r="K5" s="2" t="s">
        <v>8</v>
      </c>
    </row>
    <row r="6" spans="2:14" x14ac:dyDescent="0.2">
      <c r="B6" s="2" t="s">
        <v>1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</row>
    <row r="7" spans="2:14" x14ac:dyDescent="0.2">
      <c r="B7" s="2" t="s">
        <v>2</v>
      </c>
      <c r="C7" s="3">
        <v>0</v>
      </c>
      <c r="D7" s="3">
        <v>0</v>
      </c>
      <c r="E7" s="3">
        <v>0</v>
      </c>
      <c r="F7" s="3">
        <f>20*10^4/3.5*100*100</f>
        <v>571428571.42857146</v>
      </c>
      <c r="G7" s="3">
        <f>7*10^4/3.5*100*100</f>
        <v>200000000</v>
      </c>
      <c r="H7" s="3">
        <f>14*10^4/3.5*100*100</f>
        <v>400000000</v>
      </c>
      <c r="I7" s="3">
        <f>6*10^5/3.5*100*100</f>
        <v>1714285714.2857141</v>
      </c>
      <c r="J7" s="3">
        <f>11*10^5/3.5*100*100</f>
        <v>3142857142.8571424</v>
      </c>
      <c r="K7" s="3">
        <f>4*10^5/3.5*100*100</f>
        <v>1142857142.8571429</v>
      </c>
    </row>
    <row r="8" spans="2:14" x14ac:dyDescent="0.2">
      <c r="B8" s="2" t="s">
        <v>3</v>
      </c>
      <c r="C8" s="3">
        <f>16*10^3/3.5*100*100</f>
        <v>45714285.714285716</v>
      </c>
      <c r="D8" s="3">
        <f>4*10^3/3.5*100*100</f>
        <v>11428571.428571429</v>
      </c>
      <c r="E8" s="3">
        <f>5*10^4/3.5*100*100</f>
        <v>142857142.85714287</v>
      </c>
      <c r="F8" s="3">
        <f>12*10^6/3.5*100*100</f>
        <v>34285714285.714287</v>
      </c>
      <c r="G8" s="3">
        <f>11*10^6/3.5*100*100</f>
        <v>31428571428.571426</v>
      </c>
      <c r="H8" s="3">
        <f>11*10^6/3.5*100*100</f>
        <v>31428571428.571426</v>
      </c>
      <c r="I8" s="3">
        <f>2*10^6/3.5*100*100</f>
        <v>5714285714.2857151</v>
      </c>
      <c r="J8" s="3">
        <f>3*10^6/3.5*100*100</f>
        <v>8571428571.4285717</v>
      </c>
      <c r="K8" s="3">
        <f>3*10^6/3.5*100*100</f>
        <v>8571428571.4285717</v>
      </c>
    </row>
    <row r="9" spans="2:14" x14ac:dyDescent="0.2">
      <c r="B9" s="2" t="s">
        <v>4</v>
      </c>
      <c r="C9" s="3">
        <f>4*10^6/3.5*100*100</f>
        <v>11428571428.57143</v>
      </c>
      <c r="D9" s="3">
        <f>7*10^6/3.5*100*100</f>
        <v>20000000000</v>
      </c>
      <c r="E9" s="3">
        <f>6*10^6/3.5*100*100</f>
        <v>17142857142.857143</v>
      </c>
      <c r="F9" s="3">
        <f>6*10^6/3.5*100*100</f>
        <v>17142857142.857143</v>
      </c>
      <c r="G9" s="3">
        <f>10*10^6/3.5*100*100</f>
        <v>28571428571.428574</v>
      </c>
      <c r="H9" s="3">
        <f>9*10^6/3.5*100*100</f>
        <v>25714285714.285713</v>
      </c>
      <c r="I9" s="3">
        <f>22*10^5/3.5*100*100</f>
        <v>6285714285.7142849</v>
      </c>
      <c r="J9" s="3">
        <f>3*10^6/3.5*100*100</f>
        <v>8571428571.4285717</v>
      </c>
      <c r="K9" s="3">
        <f>2*10^6/3.5*100*100</f>
        <v>5714285714.2857151</v>
      </c>
    </row>
    <row r="10" spans="2:14" x14ac:dyDescent="0.2">
      <c r="B10" s="2" t="s">
        <v>5</v>
      </c>
      <c r="C10" s="3">
        <f>23*10^6/3.5*100*100</f>
        <v>65714285714.285721</v>
      </c>
      <c r="D10" s="3">
        <f>32*10^6/3.5*100*100</f>
        <v>91428571428.571442</v>
      </c>
      <c r="E10" s="3">
        <f>30*10^6/3.5*100*100</f>
        <v>85714285714.285706</v>
      </c>
      <c r="F10" s="3">
        <f>19*10^6/3.5*100*100</f>
        <v>54285714285.714279</v>
      </c>
      <c r="G10" s="3">
        <f>22*10^6/3.5*100*100</f>
        <v>62857142857.142853</v>
      </c>
      <c r="H10" s="3">
        <f>34*10^6/3.5*100*100</f>
        <v>97142857142.857147</v>
      </c>
      <c r="I10" s="3">
        <f>9*10^6/3.5*100*100</f>
        <v>25714285714.285713</v>
      </c>
      <c r="J10" s="3">
        <f>7*10^6/3.5*100*100</f>
        <v>20000000000</v>
      </c>
      <c r="K10" s="3">
        <f>8*10^6/3.5*100*100</f>
        <v>22857142857.14286</v>
      </c>
    </row>
    <row r="11" spans="2:14" x14ac:dyDescent="0.2">
      <c r="B11" s="2" t="s">
        <v>0</v>
      </c>
      <c r="C11" s="3">
        <f>3*10^7/3.5*100*100</f>
        <v>85714285714.285706</v>
      </c>
      <c r="D11" s="3">
        <f>4*10^7/3.5*100*100</f>
        <v>114285714285.71429</v>
      </c>
      <c r="E11" s="3">
        <f>4*10^7/3.5*100*100</f>
        <v>114285714285.71429</v>
      </c>
      <c r="F11" s="3">
        <f>2*10^7/3.5*100*100</f>
        <v>57142857142.857147</v>
      </c>
      <c r="G11" s="3">
        <f>2*10^7/3.5*100*100</f>
        <v>57142857142.857147</v>
      </c>
      <c r="H11" s="3">
        <f>4*10^7/3.5*100*100</f>
        <v>114285714285.71429</v>
      </c>
      <c r="I11" s="3">
        <f>6*10^6/3.5*100*100</f>
        <v>17142857142.857143</v>
      </c>
      <c r="J11" s="3">
        <f>11*10^6/3.5*100*100</f>
        <v>31428571428.571426</v>
      </c>
      <c r="K11" s="3">
        <f>4*10^6/3.5*100*100</f>
        <v>11428571428.57143</v>
      </c>
    </row>
    <row r="15" spans="2:14" x14ac:dyDescent="0.2">
      <c r="B15" t="s">
        <v>14</v>
      </c>
    </row>
    <row r="16" spans="2:14" x14ac:dyDescent="0.2">
      <c r="C16" s="6" t="s">
        <v>9</v>
      </c>
      <c r="D16" s="6"/>
      <c r="E16" s="6"/>
      <c r="F16" s="6" t="s">
        <v>10</v>
      </c>
      <c r="G16" s="6"/>
      <c r="H16" s="6"/>
      <c r="I16" s="6" t="s">
        <v>11</v>
      </c>
      <c r="J16" s="6"/>
      <c r="K16" s="6"/>
      <c r="L16" s="6" t="s">
        <v>12</v>
      </c>
      <c r="M16" s="6"/>
      <c r="N16" s="6"/>
    </row>
    <row r="17" spans="2:15" x14ac:dyDescent="0.2">
      <c r="C17" s="2" t="s">
        <v>6</v>
      </c>
      <c r="D17" s="2" t="s">
        <v>7</v>
      </c>
      <c r="E17" s="2" t="s">
        <v>8</v>
      </c>
      <c r="F17" s="2" t="s">
        <v>6</v>
      </c>
      <c r="G17" s="2" t="s">
        <v>7</v>
      </c>
      <c r="H17" s="2" t="s">
        <v>8</v>
      </c>
      <c r="I17" s="2" t="s">
        <v>6</v>
      </c>
      <c r="J17" s="2" t="s">
        <v>7</v>
      </c>
      <c r="K17" s="2" t="s">
        <v>8</v>
      </c>
      <c r="L17" s="4" t="s">
        <v>6</v>
      </c>
      <c r="M17" s="4" t="s">
        <v>7</v>
      </c>
      <c r="N17" s="4" t="s">
        <v>8</v>
      </c>
    </row>
    <row r="18" spans="2:15" x14ac:dyDescent="0.2">
      <c r="B18" s="2" t="s">
        <v>1</v>
      </c>
      <c r="C18" s="3">
        <f>C6*0.000001</f>
        <v>0</v>
      </c>
      <c r="D18" s="3">
        <f t="shared" ref="D18:K18" si="0">D6*0.000001</f>
        <v>0</v>
      </c>
      <c r="E18" s="3">
        <f t="shared" si="0"/>
        <v>0</v>
      </c>
      <c r="F18" s="3">
        <f t="shared" si="0"/>
        <v>0</v>
      </c>
      <c r="G18" s="3">
        <f t="shared" si="0"/>
        <v>0</v>
      </c>
      <c r="H18" s="3">
        <f t="shared" si="0"/>
        <v>0</v>
      </c>
      <c r="I18" s="3">
        <f t="shared" si="0"/>
        <v>0</v>
      </c>
      <c r="J18" s="3">
        <f t="shared" si="0"/>
        <v>0</v>
      </c>
      <c r="K18" s="3">
        <f t="shared" si="0"/>
        <v>0</v>
      </c>
      <c r="L18" s="1">
        <v>0</v>
      </c>
      <c r="M18" s="1">
        <v>0</v>
      </c>
      <c r="N18" s="1">
        <v>0</v>
      </c>
    </row>
    <row r="19" spans="2:15" x14ac:dyDescent="0.2">
      <c r="B19" s="2" t="s">
        <v>2</v>
      </c>
      <c r="C19" s="3">
        <f t="shared" ref="C19:K19" si="1">C7*0.000001</f>
        <v>0</v>
      </c>
      <c r="D19" s="3">
        <f t="shared" si="1"/>
        <v>0</v>
      </c>
      <c r="E19" s="3">
        <f t="shared" si="1"/>
        <v>0</v>
      </c>
      <c r="F19" s="3">
        <f t="shared" si="1"/>
        <v>571.42857142857144</v>
      </c>
      <c r="G19" s="3">
        <f t="shared" si="1"/>
        <v>200</v>
      </c>
      <c r="H19" s="3">
        <f t="shared" si="1"/>
        <v>400</v>
      </c>
      <c r="I19" s="3">
        <f t="shared" si="1"/>
        <v>1714.285714285714</v>
      </c>
      <c r="J19" s="3">
        <f t="shared" si="1"/>
        <v>3142.8571428571422</v>
      </c>
      <c r="K19" s="3">
        <f t="shared" si="1"/>
        <v>1142.8571428571429</v>
      </c>
      <c r="L19" s="1">
        <v>1683.0274733998954</v>
      </c>
      <c r="M19" s="1">
        <v>2411.7713249902959</v>
      </c>
      <c r="N19" s="1">
        <v>513.75068898759901</v>
      </c>
    </row>
    <row r="20" spans="2:15" x14ac:dyDescent="0.2">
      <c r="B20" s="2" t="s">
        <v>3</v>
      </c>
      <c r="C20" s="3">
        <f t="shared" ref="C20:K20" si="2">C8*0.000001</f>
        <v>45.714285714285715</v>
      </c>
      <c r="D20" s="3">
        <f t="shared" si="2"/>
        <v>11.428571428571429</v>
      </c>
      <c r="E20" s="3">
        <f t="shared" si="2"/>
        <v>142.85714285714286</v>
      </c>
      <c r="F20" s="3">
        <f t="shared" si="2"/>
        <v>34285.714285714283</v>
      </c>
      <c r="G20" s="3">
        <f t="shared" si="2"/>
        <v>31428.571428571424</v>
      </c>
      <c r="H20" s="3">
        <f t="shared" si="2"/>
        <v>31428.571428571424</v>
      </c>
      <c r="I20" s="3">
        <f t="shared" si="2"/>
        <v>5714.2857142857147</v>
      </c>
      <c r="J20" s="3">
        <f t="shared" si="2"/>
        <v>8571.4285714285706</v>
      </c>
      <c r="K20" s="3">
        <f t="shared" si="2"/>
        <v>8571.4285714285706</v>
      </c>
      <c r="L20" s="1">
        <v>66118.936454995885</v>
      </c>
      <c r="M20" s="1">
        <v>60294.283124757392</v>
      </c>
      <c r="N20" s="1">
        <v>46704.608089781737</v>
      </c>
    </row>
    <row r="21" spans="2:15" x14ac:dyDescent="0.2">
      <c r="B21" s="2" t="s">
        <v>4</v>
      </c>
      <c r="C21" s="3">
        <f t="shared" ref="C21:K21" si="3">C9*0.000001</f>
        <v>11428.571428571429</v>
      </c>
      <c r="D21" s="3">
        <f t="shared" si="3"/>
        <v>20000</v>
      </c>
      <c r="E21" s="3">
        <f t="shared" si="3"/>
        <v>17142.857142857141</v>
      </c>
      <c r="F21" s="3">
        <f t="shared" si="3"/>
        <v>17142.857142857141</v>
      </c>
      <c r="G21" s="3">
        <f t="shared" si="3"/>
        <v>28571.428571428572</v>
      </c>
      <c r="H21" s="3">
        <f t="shared" si="3"/>
        <v>25714.285714285714</v>
      </c>
      <c r="I21" s="3">
        <f t="shared" si="3"/>
        <v>6285.7142857142844</v>
      </c>
      <c r="J21" s="3">
        <f t="shared" si="3"/>
        <v>8571.4285714285706</v>
      </c>
      <c r="K21" s="3">
        <f t="shared" si="3"/>
        <v>5714.2857142857147</v>
      </c>
      <c r="L21" s="1">
        <v>42075.686834997388</v>
      </c>
      <c r="M21" s="1">
        <v>52757.497734162716</v>
      </c>
      <c r="N21" s="1">
        <v>52542.684101004445</v>
      </c>
    </row>
    <row r="22" spans="2:15" x14ac:dyDescent="0.2">
      <c r="B22" s="2" t="s">
        <v>5</v>
      </c>
      <c r="C22" s="3">
        <f t="shared" ref="C22:K22" si="4">C10*0.000001</f>
        <v>65714.285714285725</v>
      </c>
      <c r="D22" s="3">
        <f t="shared" si="4"/>
        <v>91428.571428571435</v>
      </c>
      <c r="E22" s="3">
        <f t="shared" si="4"/>
        <v>85714.285714285696</v>
      </c>
      <c r="F22" s="3">
        <f t="shared" si="4"/>
        <v>54285.714285714275</v>
      </c>
      <c r="G22" s="3">
        <f t="shared" si="4"/>
        <v>62857.142857142848</v>
      </c>
      <c r="H22" s="3">
        <f t="shared" si="4"/>
        <v>97142.857142857145</v>
      </c>
      <c r="I22" s="3">
        <f t="shared" si="4"/>
        <v>25714.285714285714</v>
      </c>
      <c r="J22" s="3">
        <f t="shared" si="4"/>
        <v>20000</v>
      </c>
      <c r="K22" s="3">
        <f t="shared" si="4"/>
        <v>22857.142857142859</v>
      </c>
      <c r="L22" s="1">
        <v>66118.936454995899</v>
      </c>
      <c r="M22" s="1">
        <v>97978.21007773075</v>
      </c>
      <c r="N22" s="1">
        <v>58380.760112227166</v>
      </c>
    </row>
    <row r="23" spans="2:15" x14ac:dyDescent="0.2">
      <c r="B23" s="2" t="s">
        <v>0</v>
      </c>
      <c r="C23" s="3">
        <f t="shared" ref="C23:K23" si="5">C11*0.000001</f>
        <v>85714.285714285696</v>
      </c>
      <c r="D23" s="3">
        <f t="shared" si="5"/>
        <v>114285.71428571429</v>
      </c>
      <c r="E23" s="3">
        <f t="shared" si="5"/>
        <v>114285.71428571429</v>
      </c>
      <c r="F23" s="3">
        <f t="shared" si="5"/>
        <v>57142.857142857145</v>
      </c>
      <c r="G23" s="3">
        <f t="shared" si="5"/>
        <v>57142.857142857145</v>
      </c>
      <c r="H23" s="3">
        <f t="shared" si="5"/>
        <v>114285.71428571429</v>
      </c>
      <c r="I23" s="3">
        <f t="shared" si="5"/>
        <v>17142.857142857141</v>
      </c>
      <c r="J23" s="3">
        <f t="shared" si="5"/>
        <v>31428.571428571424</v>
      </c>
      <c r="K23" s="3">
        <f t="shared" si="5"/>
        <v>11428.571428571429</v>
      </c>
      <c r="L23" s="1">
        <v>60108.124049996266</v>
      </c>
      <c r="M23" s="1">
        <v>113051.78085892012</v>
      </c>
      <c r="N23" s="1">
        <v>110923.44421323162</v>
      </c>
    </row>
    <row r="26" spans="2:15" x14ac:dyDescent="0.2">
      <c r="C26" s="6" t="s">
        <v>9</v>
      </c>
      <c r="D26" s="6"/>
      <c r="E26" s="6"/>
      <c r="F26" s="6" t="s">
        <v>10</v>
      </c>
      <c r="G26" s="6"/>
      <c r="H26" s="6"/>
      <c r="I26" s="6" t="s">
        <v>11</v>
      </c>
      <c r="J26" s="6"/>
      <c r="K26" s="6"/>
      <c r="L26" s="6" t="s">
        <v>12</v>
      </c>
      <c r="M26" s="6"/>
      <c r="N26" s="6"/>
    </row>
    <row r="27" spans="2:15" x14ac:dyDescent="0.2">
      <c r="B27" s="2" t="s">
        <v>1</v>
      </c>
      <c r="C27" s="1">
        <f>AVERAGE(C18:E18)</f>
        <v>0</v>
      </c>
      <c r="D27" s="1">
        <f>_xlfn.STDEV.S(C18:E18)</f>
        <v>0</v>
      </c>
      <c r="E27" s="5">
        <f>C27/$C$32</f>
        <v>0</v>
      </c>
      <c r="F27" s="1">
        <f t="shared" ref="F27:L27" si="6">AVERAGE(F18:H18)</f>
        <v>0</v>
      </c>
      <c r="G27" s="1">
        <f>_xlfn.STDEV.S(F18:H18)</f>
        <v>0</v>
      </c>
      <c r="H27" s="5">
        <f>F27/$F$32</f>
        <v>0</v>
      </c>
      <c r="I27" s="1">
        <f t="shared" si="6"/>
        <v>0</v>
      </c>
      <c r="J27" s="1">
        <f>_xlfn.STDEV.S(I18:K18)</f>
        <v>0</v>
      </c>
      <c r="K27" s="5">
        <f>I27/$I$32</f>
        <v>0</v>
      </c>
      <c r="L27" s="1">
        <f t="shared" si="6"/>
        <v>0</v>
      </c>
      <c r="M27" s="1">
        <f>_xlfn.STDEV.S(L18:N18)</f>
        <v>0</v>
      </c>
      <c r="N27" s="5">
        <f>L27/$L$32</f>
        <v>0</v>
      </c>
      <c r="O27" s="1"/>
    </row>
    <row r="28" spans="2:15" x14ac:dyDescent="0.2">
      <c r="B28" s="2" t="s">
        <v>2</v>
      </c>
      <c r="C28" s="1">
        <f t="shared" ref="C28:C32" si="7">AVERAGE(C19:E19)</f>
        <v>0</v>
      </c>
      <c r="D28" s="1">
        <f t="shared" ref="D28:D32" si="8">_xlfn.STDEV.S(C19:E19)</f>
        <v>0</v>
      </c>
      <c r="E28" s="5">
        <f t="shared" ref="E28:E32" si="9">C28/$C$32</f>
        <v>0</v>
      </c>
      <c r="F28" s="1">
        <f t="shared" ref="F28:F32" si="10">AVERAGE(F19:H19)</f>
        <v>390.47619047619054</v>
      </c>
      <c r="G28" s="1">
        <f t="shared" ref="G28:G32" si="11">_xlfn.STDEV.S(F19:H19)</f>
        <v>185.89734567564886</v>
      </c>
      <c r="H28" s="5">
        <f t="shared" ref="H28:H32" si="12">F28/$F$32</f>
        <v>5.1250000000000002E-3</v>
      </c>
      <c r="I28" s="1">
        <f t="shared" ref="I28:I32" si="13">AVERAGE(I19:K19)</f>
        <v>1999.9999999999998</v>
      </c>
      <c r="J28" s="1">
        <f t="shared" ref="J28:J32" si="14">_xlfn.STDEV.S(I19:K19)</f>
        <v>1030.1575072754247</v>
      </c>
      <c r="K28" s="5">
        <f t="shared" ref="K28:K30" si="15">I28/$I$32</f>
        <v>0.1</v>
      </c>
      <c r="L28" s="1">
        <f t="shared" ref="L28:L32" si="16">AVERAGE(L19:N19)</f>
        <v>1536.1831624592633</v>
      </c>
      <c r="M28" s="1">
        <f t="shared" ref="M28:M31" si="17">_xlfn.STDEV.S(L19:N19)</f>
        <v>957.49309261985934</v>
      </c>
      <c r="N28" s="5">
        <f t="shared" ref="N28:N32" si="18">L28/$L$32</f>
        <v>1.6222525894667064E-2</v>
      </c>
    </row>
    <row r="29" spans="2:15" x14ac:dyDescent="0.2">
      <c r="B29" s="2" t="s">
        <v>3</v>
      </c>
      <c r="C29" s="1">
        <f t="shared" si="7"/>
        <v>66.666666666666671</v>
      </c>
      <c r="D29" s="1">
        <f t="shared" si="8"/>
        <v>68.17344825970774</v>
      </c>
      <c r="E29" s="5">
        <f t="shared" si="9"/>
        <v>6.363636363636363E-4</v>
      </c>
      <c r="F29" s="1">
        <f t="shared" si="10"/>
        <v>32380.952380952378</v>
      </c>
      <c r="G29" s="1">
        <f t="shared" si="11"/>
        <v>1649.572197684646</v>
      </c>
      <c r="H29" s="5">
        <f t="shared" si="12"/>
        <v>0.42499999999999993</v>
      </c>
      <c r="I29" s="1">
        <f t="shared" si="13"/>
        <v>7619.0476190476184</v>
      </c>
      <c r="J29" s="1">
        <f t="shared" si="14"/>
        <v>1649.5721976846423</v>
      </c>
      <c r="K29" s="5">
        <f t="shared" si="15"/>
        <v>0.38095238095238099</v>
      </c>
      <c r="L29" s="1">
        <f t="shared" si="16"/>
        <v>57705.942556511669</v>
      </c>
      <c r="M29" s="1">
        <f t="shared" si="17"/>
        <v>9962.6134443232459</v>
      </c>
      <c r="N29" s="5">
        <f t="shared" si="18"/>
        <v>0.60939096995473363</v>
      </c>
    </row>
    <row r="30" spans="2:15" x14ac:dyDescent="0.2">
      <c r="B30" s="2" t="s">
        <v>4</v>
      </c>
      <c r="C30" s="1">
        <f t="shared" si="7"/>
        <v>16190.476190476189</v>
      </c>
      <c r="D30" s="1">
        <f t="shared" si="8"/>
        <v>4364.3578047198607</v>
      </c>
      <c r="E30" s="5">
        <f t="shared" si="9"/>
        <v>0.15454545454545451</v>
      </c>
      <c r="F30" s="1">
        <f t="shared" si="10"/>
        <v>23809.523809523806</v>
      </c>
      <c r="G30" s="1">
        <f t="shared" si="11"/>
        <v>5947.6171413318179</v>
      </c>
      <c r="H30" s="5">
        <f t="shared" si="12"/>
        <v>0.31249999999999989</v>
      </c>
      <c r="I30" s="1">
        <f t="shared" si="13"/>
        <v>6857.142857142856</v>
      </c>
      <c r="J30" s="1">
        <f t="shared" si="14"/>
        <v>1511.8578920369082</v>
      </c>
      <c r="K30" s="5">
        <f t="shared" si="15"/>
        <v>0.34285714285714286</v>
      </c>
      <c r="L30" s="1">
        <f t="shared" si="16"/>
        <v>49125.289556721516</v>
      </c>
      <c r="M30" s="1">
        <f t="shared" si="17"/>
        <v>6106.0797673182369</v>
      </c>
      <c r="N30" s="5">
        <f t="shared" si="18"/>
        <v>0.51877686293678904</v>
      </c>
    </row>
    <row r="31" spans="2:15" x14ac:dyDescent="0.2">
      <c r="B31" s="2" t="s">
        <v>5</v>
      </c>
      <c r="C31" s="1">
        <f t="shared" si="7"/>
        <v>80952.380952380947</v>
      </c>
      <c r="D31" s="1">
        <f t="shared" si="8"/>
        <v>13502.330360721764</v>
      </c>
      <c r="E31" s="5">
        <f t="shared" si="9"/>
        <v>0.7727272727272726</v>
      </c>
      <c r="F31" s="1">
        <f t="shared" si="10"/>
        <v>71428.57142857142</v>
      </c>
      <c r="G31" s="1">
        <f t="shared" si="11"/>
        <v>22677.868380553653</v>
      </c>
      <c r="H31" s="5">
        <f t="shared" si="12"/>
        <v>0.93749999999999978</v>
      </c>
      <c r="I31" s="1">
        <f t="shared" si="13"/>
        <v>22857.142857142855</v>
      </c>
      <c r="J31" s="1">
        <f t="shared" si="14"/>
        <v>2857.1428571428942</v>
      </c>
      <c r="K31" s="5">
        <f>I31/$I$32</f>
        <v>1.142857142857143</v>
      </c>
      <c r="L31" s="1">
        <f t="shared" si="16"/>
        <v>74159.302214984607</v>
      </c>
      <c r="M31" s="1">
        <f t="shared" si="17"/>
        <v>20987.499186621531</v>
      </c>
      <c r="N31" s="5">
        <f t="shared" si="18"/>
        <v>0.78314307168103148</v>
      </c>
    </row>
    <row r="32" spans="2:15" x14ac:dyDescent="0.2">
      <c r="B32" s="2" t="s">
        <v>0</v>
      </c>
      <c r="C32" s="1">
        <f t="shared" si="7"/>
        <v>104761.90476190478</v>
      </c>
      <c r="D32" s="1">
        <f t="shared" si="8"/>
        <v>16495.72197684638</v>
      </c>
      <c r="E32" s="5">
        <f t="shared" si="9"/>
        <v>1</v>
      </c>
      <c r="F32" s="1">
        <f t="shared" si="10"/>
        <v>76190.476190476198</v>
      </c>
      <c r="G32" s="1">
        <f t="shared" si="11"/>
        <v>32991.443953692906</v>
      </c>
      <c r="H32" s="5">
        <f t="shared" si="12"/>
        <v>1</v>
      </c>
      <c r="I32" s="1">
        <f t="shared" si="13"/>
        <v>19999.999999999996</v>
      </c>
      <c r="J32" s="1">
        <f t="shared" si="14"/>
        <v>10301.575072754256</v>
      </c>
      <c r="K32" s="5">
        <f>I32/$I$32</f>
        <v>1</v>
      </c>
      <c r="L32" s="1">
        <f t="shared" si="16"/>
        <v>94694.449707382664</v>
      </c>
      <c r="M32" s="1">
        <f>_xlfn.STDEV.S(L23:N23)</f>
        <v>29971.534763479031</v>
      </c>
      <c r="N32" s="5">
        <f t="shared" si="18"/>
        <v>1</v>
      </c>
    </row>
    <row r="33" spans="3:14" x14ac:dyDescent="0.2"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3:14" x14ac:dyDescent="0.2"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3:14" x14ac:dyDescent="0.2">
      <c r="C35" s="1"/>
      <c r="D35" s="1" t="s">
        <v>27</v>
      </c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3:14" x14ac:dyDescent="0.2">
      <c r="D36">
        <v>0.1</v>
      </c>
    </row>
    <row r="37" spans="3:14" x14ac:dyDescent="0.2">
      <c r="D37" t="s">
        <v>28</v>
      </c>
    </row>
    <row r="38" spans="3:14" x14ac:dyDescent="0.2">
      <c r="D38">
        <f>6*10000</f>
        <v>60000</v>
      </c>
    </row>
  </sheetData>
  <mergeCells count="12">
    <mergeCell ref="C26:E26"/>
    <mergeCell ref="F26:H26"/>
    <mergeCell ref="I26:K26"/>
    <mergeCell ref="L26:N26"/>
    <mergeCell ref="C4:E4"/>
    <mergeCell ref="F4:H4"/>
    <mergeCell ref="I4:K4"/>
    <mergeCell ref="L4:N4"/>
    <mergeCell ref="C16:E16"/>
    <mergeCell ref="F16:H16"/>
    <mergeCell ref="I16:K16"/>
    <mergeCell ref="L16:N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plot</vt:lpstr>
      <vt:lpstr>consolidated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Soudier</dc:creator>
  <cp:lastModifiedBy>Antoine LEVRIER</cp:lastModifiedBy>
  <dcterms:created xsi:type="dcterms:W3CDTF">2025-07-09T14:59:13Z</dcterms:created>
  <dcterms:modified xsi:type="dcterms:W3CDTF">2025-09-30T22:42:00Z</dcterms:modified>
</cp:coreProperties>
</file>