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Faks\ek1\program 2\"/>
    </mc:Choice>
  </mc:AlternateContent>
  <xr:revisionPtr revIDLastSave="0" documentId="13_ncr:1_{5D8D4BDA-EFE0-43A2-8E91-F560386998FA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Q21" i="1"/>
  <c r="R27" i="1" s="1"/>
  <c r="G9" i="1"/>
  <c r="G11" i="1" s="1"/>
  <c r="T20" i="1"/>
  <c r="T19" i="1"/>
  <c r="T18" i="1"/>
  <c r="T22" i="1" s="1"/>
  <c r="K21" i="1"/>
  <c r="K18" i="1"/>
  <c r="K19" i="1" s="1"/>
  <c r="C38" i="1"/>
  <c r="F31" i="1"/>
  <c r="F24" i="1"/>
  <c r="C31" i="1"/>
  <c r="C24" i="1"/>
  <c r="R10" i="1"/>
  <c r="N10" i="1"/>
  <c r="J10" i="1"/>
  <c r="N5" i="1"/>
  <c r="J4" i="1"/>
  <c r="J5" i="1" s="1"/>
  <c r="G12" i="1"/>
  <c r="C4" i="1"/>
  <c r="K25" i="1" l="1"/>
  <c r="W18" i="1"/>
  <c r="T21" i="1"/>
  <c r="W19" i="1" s="1"/>
  <c r="W21" i="1" s="1"/>
  <c r="U4" i="1"/>
  <c r="U7" i="1" s="1"/>
  <c r="N4" i="1"/>
  <c r="F15" i="1"/>
  <c r="R26" i="1" l="1"/>
  <c r="U29" i="1" s="1"/>
  <c r="V29" i="1" s="1"/>
  <c r="U9" i="1"/>
  <c r="U11" i="1" s="1"/>
  <c r="U10" i="1"/>
  <c r="R9" i="1"/>
  <c r="R11" i="1" s="1"/>
  <c r="R7" i="1"/>
  <c r="N6" i="1"/>
  <c r="N18" i="1"/>
  <c r="W20" i="1"/>
  <c r="R25" i="1" s="1"/>
  <c r="U28" i="1" s="1"/>
  <c r="V28" i="1" s="1"/>
</calcChain>
</file>

<file path=xl/sharedStrings.xml><?xml version="1.0" encoding="utf-8"?>
<sst xmlns="http://schemas.openxmlformats.org/spreadsheetml/2006/main" count="104" uniqueCount="66">
  <si>
    <t>F</t>
  </si>
  <si>
    <t>l</t>
  </si>
  <si>
    <t>l0</t>
  </si>
  <si>
    <t>Fr</t>
  </si>
  <si>
    <t>S</t>
  </si>
  <si>
    <t>E</t>
  </si>
  <si>
    <t>mi</t>
  </si>
  <si>
    <t>d3</t>
  </si>
  <si>
    <t>d3_potr</t>
  </si>
  <si>
    <t>Tr36x12(P6)</t>
  </si>
  <si>
    <t>Kraut 686.</t>
  </si>
  <si>
    <t>d2</t>
  </si>
  <si>
    <t>Ph</t>
  </si>
  <si>
    <t>P</t>
  </si>
  <si>
    <t>phi</t>
  </si>
  <si>
    <t>samokočnost</t>
  </si>
  <si>
    <t>Aj</t>
  </si>
  <si>
    <t>sigma_t</t>
  </si>
  <si>
    <t>Wp</t>
  </si>
  <si>
    <t>T</t>
  </si>
  <si>
    <t>tau</t>
  </si>
  <si>
    <t>sigma_DI</t>
  </si>
  <si>
    <t>tau_DI</t>
  </si>
  <si>
    <t>S_potr</t>
  </si>
  <si>
    <t>sigma_dop</t>
  </si>
  <si>
    <t>tau_dop</t>
  </si>
  <si>
    <t>lambda</t>
  </si>
  <si>
    <t>lambda0</t>
  </si>
  <si>
    <t>Euler</t>
  </si>
  <si>
    <t>Tetmajer</t>
  </si>
  <si>
    <t>sigma_k</t>
  </si>
  <si>
    <t>S_st</t>
  </si>
  <si>
    <t>Tr28x10(P5)</t>
  </si>
  <si>
    <t>Tr32x12(P6)</t>
  </si>
  <si>
    <t>Tr24x10(P5)</t>
  </si>
  <si>
    <t>Tr20x8(P4)</t>
  </si>
  <si>
    <t>d</t>
  </si>
  <si>
    <t>m</t>
  </si>
  <si>
    <t>H1</t>
  </si>
  <si>
    <t>p</t>
  </si>
  <si>
    <t>p_dop</t>
  </si>
  <si>
    <t>D_potr</t>
  </si>
  <si>
    <t>D</t>
  </si>
  <si>
    <t>a</t>
  </si>
  <si>
    <t>b</t>
  </si>
  <si>
    <t>t</t>
  </si>
  <si>
    <t>xT</t>
  </si>
  <si>
    <t>xT1</t>
  </si>
  <si>
    <t>xT2</t>
  </si>
  <si>
    <t>e1</t>
  </si>
  <si>
    <t>e2</t>
  </si>
  <si>
    <t>M</t>
  </si>
  <si>
    <t>Iy</t>
  </si>
  <si>
    <t>Wy1</t>
  </si>
  <si>
    <t>Wy2</t>
  </si>
  <si>
    <t>sigma_s1</t>
  </si>
  <si>
    <t>sigma_s2</t>
  </si>
  <si>
    <t>sigma_v</t>
  </si>
  <si>
    <t>sigma_uk1</t>
  </si>
  <si>
    <t>sigma_uk2</t>
  </si>
  <si>
    <t>sigma_dopV</t>
  </si>
  <si>
    <t>sigma_dopT</t>
  </si>
  <si>
    <t>ispod matice</t>
  </si>
  <si>
    <t>iznad matice</t>
  </si>
  <si>
    <t>rho'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</si>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</sst>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Aptos"/>
      <charset val="238"/>
    </font>
    <font>
      <sz val="11"/>
      <color rgb="FF006100"/>
      <name val="Aptos"/>
      <charset val="238"/>
    </font>
    <font>
      <sz val="11"/>
      <color rgb="FF9C0006"/>
      <name val="Aptos"/>
      <charset val="23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7" xfId="0" applyFont="1" applyBorder="1"/>
    <xf numFmtId="0" fontId="4" fillId="2" borderId="0" xfId="1" applyFont="1" applyBorder="1"/>
    <xf numFmtId="0" fontId="5" fillId="3" borderId="0" xfId="2" applyFont="1" applyBorder="1"/>
    <xf numFmtId="164" fontId="3" fillId="0" borderId="3" xfId="3" applyNumberFormat="1" applyFont="1" applyBorder="1"/>
    <xf numFmtId="164" fontId="3" fillId="0" borderId="5" xfId="3" applyNumberFormat="1" applyFont="1" applyBorder="1"/>
    <xf numFmtId="164" fontId="3" fillId="0" borderId="5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4">
    <cellStyle name="Dobro" xfId="1" builtinId="26"/>
    <cellStyle name="Loše" xfId="2" builtinId="27"/>
    <cellStyle name="Normalno" xfId="0" builtinId="0"/>
    <cellStyle name="Zarez" xfId="3" builtinId="3"/>
  </cellStyles>
  <dxfs count="20"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FF7575"/>
      <color rgb="FFFF7171"/>
      <color rgb="FFFF6D6D"/>
      <color rgb="FFFF8181"/>
      <color rgb="FFFFFFF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"/>
  <sheetViews>
    <sheetView tabSelected="1" topLeftCell="B1" workbookViewId="0">
      <selection activeCell="G3" sqref="G3"/>
    </sheetView>
  </sheetViews>
  <sheetFormatPr defaultRowHeight="14.25"/>
  <cols>
    <col min="1" max="1" width="9.140625" style="3"/>
    <col min="2" max="2" width="12.5703125" style="3" customWidth="1"/>
    <col min="3" max="3" width="10.42578125" style="3" customWidth="1"/>
    <col min="4" max="4" width="9.140625" style="3"/>
    <col min="5" max="5" width="12.42578125" style="3" customWidth="1"/>
    <col min="6" max="6" width="12.85546875" style="3" customWidth="1"/>
    <col min="7" max="8" width="9.140625" style="3"/>
    <col min="9" max="9" width="9.7109375" style="3" customWidth="1"/>
    <col min="10" max="16" width="9.140625" style="3"/>
    <col min="17" max="17" width="10.7109375" style="3" customWidth="1"/>
    <col min="18" max="19" width="9.140625" style="3"/>
    <col min="20" max="20" width="12.5703125" style="3" customWidth="1"/>
    <col min="21" max="22" width="9.140625" style="3"/>
    <col min="23" max="23" width="15.7109375" style="3" bestFit="1" customWidth="1"/>
    <col min="24" max="16384" width="9.140625" style="3"/>
  </cols>
  <sheetData>
    <row r="2" spans="2:21">
      <c r="B2" s="1" t="s">
        <v>0</v>
      </c>
      <c r="C2" s="2">
        <v>19000</v>
      </c>
      <c r="F2" s="1" t="s">
        <v>8</v>
      </c>
      <c r="G2" s="4">
        <f>ROUND(POWER((64*C2*C8*C4*C4)/(C7*PI()*PI()*PI()),0.25),2)</f>
        <v>26.94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</row>
    <row r="3" spans="2:21">
      <c r="B3" s="5" t="s">
        <v>1</v>
      </c>
      <c r="C3" s="6">
        <v>280</v>
      </c>
      <c r="F3" s="5"/>
      <c r="G3" s="7"/>
      <c r="H3" s="7"/>
      <c r="I3" s="17" t="s">
        <v>62</v>
      </c>
      <c r="J3" s="17"/>
      <c r="K3" s="7"/>
      <c r="L3" s="7"/>
      <c r="M3" s="17" t="s">
        <v>63</v>
      </c>
      <c r="N3" s="17"/>
      <c r="O3" s="7"/>
      <c r="P3" s="7"/>
      <c r="Q3" s="7"/>
      <c r="R3" s="7"/>
      <c r="S3" s="7"/>
      <c r="T3" s="7"/>
      <c r="U3" s="6"/>
    </row>
    <row r="4" spans="2:21">
      <c r="B4" s="5" t="s">
        <v>2</v>
      </c>
      <c r="C4" s="6">
        <f>2*C3</f>
        <v>560</v>
      </c>
      <c r="F4" s="11" t="s">
        <v>32</v>
      </c>
      <c r="G4" s="11" t="s">
        <v>10</v>
      </c>
      <c r="H4" s="7"/>
      <c r="I4" s="7" t="s">
        <v>16</v>
      </c>
      <c r="J4" s="7">
        <f>ROUND(G7*G7*PI()/4,1)</f>
        <v>397.6</v>
      </c>
      <c r="K4" s="7"/>
      <c r="L4" s="7"/>
      <c r="M4" s="7" t="s">
        <v>19</v>
      </c>
      <c r="N4" s="7">
        <f>ROUND(C2*G6/2*TAN((G11+G12)*PI()/180),0)</f>
        <v>56044</v>
      </c>
      <c r="O4" s="7"/>
      <c r="P4" s="7"/>
      <c r="Q4" s="7" t="s">
        <v>27</v>
      </c>
      <c r="R4" s="7">
        <v>89</v>
      </c>
      <c r="S4" s="7"/>
      <c r="T4" s="7" t="s">
        <v>26</v>
      </c>
      <c r="U4" s="6">
        <f>ROUND(4*C4/G7,2)</f>
        <v>99.56</v>
      </c>
    </row>
    <row r="5" spans="2:21">
      <c r="B5" s="8" t="s">
        <v>3</v>
      </c>
      <c r="C5" s="9">
        <v>250</v>
      </c>
      <c r="F5" s="11" t="s">
        <v>36</v>
      </c>
      <c r="G5" s="11">
        <v>28</v>
      </c>
      <c r="H5" s="7"/>
      <c r="I5" s="7" t="s">
        <v>17</v>
      </c>
      <c r="J5" s="7">
        <f>ROUND(C2/J4,2)</f>
        <v>47.79</v>
      </c>
      <c r="K5" s="7"/>
      <c r="L5" s="7"/>
      <c r="M5" s="7" t="s">
        <v>18</v>
      </c>
      <c r="N5" s="7">
        <f>ROUND(POWER(G7,3)*PI()/16,1)</f>
        <v>2236.5</v>
      </c>
      <c r="O5" s="7"/>
      <c r="P5" s="7"/>
      <c r="Q5" s="7"/>
      <c r="R5" s="7"/>
      <c r="S5" s="7"/>
      <c r="T5" s="7"/>
      <c r="U5" s="6"/>
    </row>
    <row r="6" spans="2:21">
      <c r="F6" s="11" t="s">
        <v>11</v>
      </c>
      <c r="G6" s="11">
        <v>25.5</v>
      </c>
      <c r="H6" s="7"/>
      <c r="I6" s="7"/>
      <c r="J6" s="7"/>
      <c r="K6" s="7"/>
      <c r="L6" s="7"/>
      <c r="M6" s="7" t="s">
        <v>20</v>
      </c>
      <c r="N6" s="7">
        <f>ROUND(N4/N5,2)</f>
        <v>25.06</v>
      </c>
      <c r="O6" s="7"/>
      <c r="P6" s="7"/>
      <c r="Q6" s="7"/>
      <c r="R6" s="7"/>
      <c r="S6" s="7"/>
      <c r="T6" s="7"/>
      <c r="U6" s="6"/>
    </row>
    <row r="7" spans="2:21">
      <c r="B7" s="3" t="s">
        <v>5</v>
      </c>
      <c r="C7" s="3">
        <v>210000</v>
      </c>
      <c r="F7" s="11" t="s">
        <v>7</v>
      </c>
      <c r="G7" s="11">
        <v>22.5</v>
      </c>
      <c r="H7" s="7"/>
      <c r="I7" s="7"/>
      <c r="J7" s="7"/>
      <c r="K7" s="7"/>
      <c r="L7" s="7"/>
      <c r="M7" s="7"/>
      <c r="N7" s="7"/>
      <c r="O7" s="7"/>
      <c r="P7" s="7"/>
      <c r="Q7" s="7" t="s">
        <v>28</v>
      </c>
      <c r="R7" s="7" t="b">
        <f>U4&gt;R4</f>
        <v>1</v>
      </c>
      <c r="S7" s="7"/>
      <c r="T7" s="7" t="s">
        <v>29</v>
      </c>
      <c r="U7" s="6" t="b">
        <f>U4&lt;R4</f>
        <v>0</v>
      </c>
    </row>
    <row r="8" spans="2:21">
      <c r="B8" s="3" t="s">
        <v>4</v>
      </c>
      <c r="C8" s="3">
        <v>9</v>
      </c>
      <c r="F8" s="11" t="s">
        <v>13</v>
      </c>
      <c r="G8" s="11">
        <v>5</v>
      </c>
      <c r="H8" s="7"/>
      <c r="I8" s="7" t="s">
        <v>21</v>
      </c>
      <c r="J8" s="7">
        <v>300</v>
      </c>
      <c r="K8" s="7"/>
      <c r="L8" s="7"/>
      <c r="M8" s="7" t="s">
        <v>22</v>
      </c>
      <c r="N8" s="7">
        <v>190</v>
      </c>
      <c r="O8" s="7"/>
      <c r="P8" s="7"/>
      <c r="Q8" s="7"/>
      <c r="R8" s="7"/>
      <c r="S8" s="7"/>
      <c r="T8" s="7"/>
      <c r="U8" s="6"/>
    </row>
    <row r="9" spans="2:21">
      <c r="B9" s="3" t="s">
        <v>6</v>
      </c>
      <c r="C9" s="3">
        <v>0.1</v>
      </c>
      <c r="F9" s="11" t="s">
        <v>12</v>
      </c>
      <c r="G9" s="11">
        <f>2*G8</f>
        <v>10</v>
      </c>
      <c r="H9" s="7"/>
      <c r="I9" s="7" t="s">
        <v>23</v>
      </c>
      <c r="J9" s="7">
        <v>2.5</v>
      </c>
      <c r="K9" s="7"/>
      <c r="L9" s="7"/>
      <c r="M9" s="7" t="s">
        <v>23</v>
      </c>
      <c r="N9" s="7">
        <v>2.5</v>
      </c>
      <c r="O9" s="7"/>
      <c r="P9" s="7"/>
      <c r="Q9" s="7" t="s">
        <v>30</v>
      </c>
      <c r="R9" s="7">
        <f>ROUND(PI()*PI()*C7/(U4*U4),1)</f>
        <v>209.1</v>
      </c>
      <c r="S9" s="7"/>
      <c r="T9" s="7" t="s">
        <v>30</v>
      </c>
      <c r="U9" s="6">
        <f>ROUND(IF(R4=89,335-0.62*U4,310-1.14*U4),1)</f>
        <v>273.3</v>
      </c>
    </row>
    <row r="10" spans="2:21">
      <c r="F10" s="5"/>
      <c r="G10" s="7"/>
      <c r="H10" s="7"/>
      <c r="I10" s="7" t="s">
        <v>24</v>
      </c>
      <c r="J10" s="7">
        <f>J8/J9</f>
        <v>120</v>
      </c>
      <c r="K10" s="7"/>
      <c r="L10" s="7"/>
      <c r="M10" s="7" t="s">
        <v>25</v>
      </c>
      <c r="N10" s="7">
        <f>N8/N9</f>
        <v>76</v>
      </c>
      <c r="O10" s="7"/>
      <c r="P10" s="7"/>
      <c r="Q10" s="7" t="s">
        <v>23</v>
      </c>
      <c r="R10" s="7">
        <f>ROUND(3+6/3*R4/250,2)</f>
        <v>3.71</v>
      </c>
      <c r="S10" s="7"/>
      <c r="T10" s="7" t="s">
        <v>23</v>
      </c>
      <c r="U10" s="6">
        <f>ROUND(2+4/2*U4*1/R4,2)</f>
        <v>4.24</v>
      </c>
    </row>
    <row r="11" spans="2:21">
      <c r="F11" s="5" t="s">
        <v>14</v>
      </c>
      <c r="G11" s="7">
        <f>ROUND(ATAN(G9/(G6*PI()))*180/PI(),3)</f>
        <v>7.1150000000000002</v>
      </c>
      <c r="H11" s="7"/>
      <c r="I11" s="7"/>
      <c r="J11" s="7"/>
      <c r="K11" s="7"/>
      <c r="L11" s="7"/>
      <c r="M11" s="7"/>
      <c r="N11" s="7"/>
      <c r="O11" s="7"/>
      <c r="P11" s="7"/>
      <c r="Q11" s="7" t="s">
        <v>31</v>
      </c>
      <c r="R11" s="7">
        <f>ROUND(R9/J5,2)</f>
        <v>4.38</v>
      </c>
      <c r="S11" s="7"/>
      <c r="T11" s="7" t="s">
        <v>31</v>
      </c>
      <c r="U11" s="6">
        <f>ROUND(U9/J5,2)</f>
        <v>5.72</v>
      </c>
    </row>
    <row r="12" spans="2:21">
      <c r="F12" s="5" t="s">
        <v>64</v>
      </c>
      <c r="G12" s="7">
        <f>ROUND(ATAN(C9/COS(15*PI()/180))*180/PI(),3)</f>
        <v>5.9109999999999996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6"/>
    </row>
    <row r="13" spans="2:21"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6"/>
    </row>
    <row r="14" spans="2:21">
      <c r="F14" s="16" t="s">
        <v>15</v>
      </c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6"/>
    </row>
    <row r="15" spans="2:21">
      <c r="F15" s="18" t="b">
        <f>G11&lt;G12</f>
        <v>0</v>
      </c>
      <c r="G15" s="1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/>
    </row>
    <row r="17" spans="1:23">
      <c r="A17" s="1"/>
    </row>
    <row r="18" spans="1:23">
      <c r="A18" s="5"/>
      <c r="B18" s="4"/>
      <c r="C18" s="4"/>
      <c r="D18" s="4"/>
      <c r="E18" s="4"/>
      <c r="F18" s="4"/>
      <c r="G18" s="2"/>
      <c r="J18" s="1" t="s">
        <v>36</v>
      </c>
      <c r="K18" s="2">
        <f>G5</f>
        <v>28</v>
      </c>
      <c r="M18" s="1" t="s">
        <v>41</v>
      </c>
      <c r="N18" s="2">
        <f>ROUND(N4/(C5/2),1)</f>
        <v>448.4</v>
      </c>
      <c r="P18" s="1" t="s">
        <v>43</v>
      </c>
      <c r="Q18" s="4">
        <v>90</v>
      </c>
      <c r="R18" s="4"/>
      <c r="S18" s="4" t="s">
        <v>46</v>
      </c>
      <c r="T18" s="4">
        <f>ROUND(0.5*(Q19*Q19+2*Q18*Q19+Q18*Q20)/(Q18+Q19),2)</f>
        <v>63.41</v>
      </c>
      <c r="U18" s="4"/>
      <c r="V18" s="4" t="s">
        <v>51</v>
      </c>
      <c r="W18" s="13">
        <f>C2*(C3-K19/2)</f>
        <v>4655000</v>
      </c>
    </row>
    <row r="19" spans="1:23">
      <c r="A19" s="5"/>
      <c r="B19" s="11" t="s">
        <v>9</v>
      </c>
      <c r="C19" s="11" t="s">
        <v>10</v>
      </c>
      <c r="D19" s="7"/>
      <c r="E19" s="11" t="s">
        <v>33</v>
      </c>
      <c r="F19" s="11" t="s">
        <v>10</v>
      </c>
      <c r="G19" s="6"/>
      <c r="J19" s="5" t="s">
        <v>37</v>
      </c>
      <c r="K19" s="6">
        <f>K18*2.5</f>
        <v>70</v>
      </c>
      <c r="M19" s="8" t="s">
        <v>42</v>
      </c>
      <c r="N19" s="9">
        <v>500</v>
      </c>
      <c r="P19" s="5" t="s">
        <v>44</v>
      </c>
      <c r="Q19" s="7">
        <v>75</v>
      </c>
      <c r="R19" s="7"/>
      <c r="S19" s="7" t="s">
        <v>47</v>
      </c>
      <c r="T19" s="7">
        <f>Q19+Q20/2</f>
        <v>85</v>
      </c>
      <c r="U19" s="7"/>
      <c r="V19" s="7" t="s">
        <v>52</v>
      </c>
      <c r="W19" s="14">
        <f>ROUND(Q18*POWER(Q20,3)/12+T21*T21*Q20*Q18+Q20*POWER(Q19,3)/12+T22*T22*Q20*Q19,0)</f>
        <v>2609148</v>
      </c>
    </row>
    <row r="20" spans="1:23">
      <c r="A20" s="5"/>
      <c r="B20" s="11" t="s">
        <v>36</v>
      </c>
      <c r="C20" s="11">
        <v>36</v>
      </c>
      <c r="D20" s="7"/>
      <c r="E20" s="11" t="s">
        <v>36</v>
      </c>
      <c r="F20" s="11">
        <v>32</v>
      </c>
      <c r="G20" s="6"/>
      <c r="J20" s="5"/>
      <c r="K20" s="6"/>
      <c r="P20" s="5" t="s">
        <v>45</v>
      </c>
      <c r="Q20" s="7">
        <v>20</v>
      </c>
      <c r="R20" s="7"/>
      <c r="S20" s="7" t="s">
        <v>48</v>
      </c>
      <c r="T20" s="7">
        <f>Q19/2</f>
        <v>37.5</v>
      </c>
      <c r="U20" s="7"/>
      <c r="V20" s="7" t="s">
        <v>53</v>
      </c>
      <c r="W20" s="15">
        <f>W19/T18</f>
        <v>41147.26383851128</v>
      </c>
    </row>
    <row r="21" spans="1:23">
      <c r="A21" s="5"/>
      <c r="B21" s="11" t="s">
        <v>11</v>
      </c>
      <c r="C21" s="11">
        <v>33</v>
      </c>
      <c r="D21" s="7"/>
      <c r="E21" s="11" t="s">
        <v>11</v>
      </c>
      <c r="F21" s="11">
        <v>29</v>
      </c>
      <c r="G21" s="6"/>
      <c r="J21" s="5" t="s">
        <v>11</v>
      </c>
      <c r="K21" s="6">
        <f>G6</f>
        <v>25.5</v>
      </c>
      <c r="P21" s="5" t="s">
        <v>65</v>
      </c>
      <c r="Q21" s="7">
        <f>Q20*(Q18+Q19)</f>
        <v>3300</v>
      </c>
      <c r="R21" s="7"/>
      <c r="S21" s="7" t="s">
        <v>49</v>
      </c>
      <c r="T21" s="7">
        <f>T19-T18</f>
        <v>21.590000000000003</v>
      </c>
      <c r="U21" s="7"/>
      <c r="V21" s="7" t="s">
        <v>54</v>
      </c>
      <c r="W21" s="15">
        <f>W19/(Q19+Q20-T18)</f>
        <v>82594.112060778716</v>
      </c>
    </row>
    <row r="22" spans="1:23">
      <c r="A22" s="5"/>
      <c r="B22" s="11" t="s">
        <v>7</v>
      </c>
      <c r="C22" s="11">
        <v>29</v>
      </c>
      <c r="D22" s="7"/>
      <c r="E22" s="11" t="s">
        <v>7</v>
      </c>
      <c r="F22" s="11">
        <v>25</v>
      </c>
      <c r="G22" s="6"/>
      <c r="J22" s="5" t="s">
        <v>38</v>
      </c>
      <c r="K22" s="6">
        <v>2.5</v>
      </c>
      <c r="P22" s="5"/>
      <c r="R22" s="7"/>
      <c r="S22" s="7" t="s">
        <v>50</v>
      </c>
      <c r="T22" s="7">
        <f>T18-T20</f>
        <v>25.909999999999997</v>
      </c>
      <c r="U22" s="7"/>
      <c r="V22" s="7"/>
      <c r="W22" s="6"/>
    </row>
    <row r="23" spans="1:23">
      <c r="A23" s="5"/>
      <c r="B23" s="11" t="s">
        <v>13</v>
      </c>
      <c r="C23" s="11">
        <v>6</v>
      </c>
      <c r="D23" s="7"/>
      <c r="E23" s="11" t="s">
        <v>13</v>
      </c>
      <c r="F23" s="11">
        <v>6</v>
      </c>
      <c r="G23" s="6"/>
      <c r="J23" s="5"/>
      <c r="K23" s="6"/>
      <c r="P23" s="5"/>
      <c r="Q23" s="7"/>
      <c r="R23" s="7"/>
      <c r="S23" s="7"/>
      <c r="T23" s="7"/>
      <c r="U23" s="7"/>
      <c r="V23" s="7"/>
      <c r="W23" s="6"/>
    </row>
    <row r="24" spans="1:23">
      <c r="A24" s="5"/>
      <c r="B24" s="11" t="s">
        <v>12</v>
      </c>
      <c r="C24" s="11">
        <f>2*C23</f>
        <v>12</v>
      </c>
      <c r="D24" s="7"/>
      <c r="E24" s="11" t="s">
        <v>12</v>
      </c>
      <c r="F24" s="11">
        <f>2*F23</f>
        <v>12</v>
      </c>
      <c r="G24" s="6"/>
      <c r="J24" s="5" t="s">
        <v>40</v>
      </c>
      <c r="K24" s="6">
        <v>10</v>
      </c>
      <c r="P24" s="5"/>
      <c r="Q24" s="7"/>
      <c r="R24" s="7"/>
      <c r="S24" s="7"/>
      <c r="T24" s="7"/>
      <c r="U24" s="7"/>
      <c r="V24" s="7"/>
      <c r="W24" s="6"/>
    </row>
    <row r="25" spans="1:23">
      <c r="A25" s="5"/>
      <c r="B25" s="7"/>
      <c r="C25" s="7"/>
      <c r="D25" s="7"/>
      <c r="E25" s="7"/>
      <c r="F25" s="7"/>
      <c r="G25" s="6"/>
      <c r="J25" s="8" t="s">
        <v>39</v>
      </c>
      <c r="K25" s="9">
        <f>ROUND(C2*G8/(K21*PI()*K22*K19),2)</f>
        <v>6.78</v>
      </c>
      <c r="P25" s="5"/>
      <c r="Q25" s="7" t="s">
        <v>55</v>
      </c>
      <c r="R25" s="7">
        <f>-ROUND(W18/W20,2)</f>
        <v>-113.13</v>
      </c>
      <c r="S25" s="7"/>
      <c r="T25" s="7" t="s">
        <v>60</v>
      </c>
      <c r="U25" s="7">
        <v>160</v>
      </c>
      <c r="V25" s="7"/>
      <c r="W25" s="6"/>
    </row>
    <row r="26" spans="1:23">
      <c r="A26" s="5"/>
      <c r="B26" s="11" t="s">
        <v>32</v>
      </c>
      <c r="C26" s="11" t="s">
        <v>10</v>
      </c>
      <c r="D26" s="7"/>
      <c r="E26" s="12" t="s">
        <v>34</v>
      </c>
      <c r="F26" s="12" t="s">
        <v>10</v>
      </c>
      <c r="G26" s="6"/>
      <c r="P26" s="5"/>
      <c r="Q26" s="7" t="s">
        <v>56</v>
      </c>
      <c r="R26" s="7">
        <f>ROUND(W18/W21,2)</f>
        <v>56.36</v>
      </c>
      <c r="S26" s="7"/>
      <c r="T26" s="7" t="s">
        <v>61</v>
      </c>
      <c r="U26" s="7">
        <v>190</v>
      </c>
      <c r="V26" s="7"/>
      <c r="W26" s="6"/>
    </row>
    <row r="27" spans="1:23">
      <c r="A27" s="5"/>
      <c r="B27" s="11" t="s">
        <v>36</v>
      </c>
      <c r="C27" s="11">
        <v>28</v>
      </c>
      <c r="D27" s="7"/>
      <c r="E27" s="12" t="s">
        <v>36</v>
      </c>
      <c r="F27" s="12">
        <v>24</v>
      </c>
      <c r="G27" s="6"/>
      <c r="P27" s="5"/>
      <c r="Q27" s="7" t="s">
        <v>57</v>
      </c>
      <c r="R27" s="7">
        <f>ROUND(C2/Q21,2)</f>
        <v>5.76</v>
      </c>
      <c r="S27" s="7"/>
      <c r="T27" s="7"/>
      <c r="U27" s="7"/>
      <c r="V27" s="7"/>
      <c r="W27" s="6"/>
    </row>
    <row r="28" spans="1:23">
      <c r="A28" s="5"/>
      <c r="B28" s="11" t="s">
        <v>11</v>
      </c>
      <c r="C28" s="11">
        <v>25.5</v>
      </c>
      <c r="D28" s="7"/>
      <c r="E28" s="12" t="s">
        <v>11</v>
      </c>
      <c r="F28" s="12">
        <v>21.5</v>
      </c>
      <c r="G28" s="6"/>
      <c r="P28" s="5"/>
      <c r="Q28" s="7"/>
      <c r="R28" s="7"/>
      <c r="S28" s="7"/>
      <c r="T28" s="7" t="s">
        <v>58</v>
      </c>
      <c r="U28" s="7">
        <f>ABS(R25+R27)</f>
        <v>107.36999999999999</v>
      </c>
      <c r="V28" s="7">
        <f>ROUND(U26/U28,2)</f>
        <v>1.77</v>
      </c>
      <c r="W28" s="6"/>
    </row>
    <row r="29" spans="1:23">
      <c r="A29" s="5"/>
      <c r="B29" s="11" t="s">
        <v>7</v>
      </c>
      <c r="C29" s="11">
        <v>22.5</v>
      </c>
      <c r="D29" s="7"/>
      <c r="E29" s="12" t="s">
        <v>7</v>
      </c>
      <c r="F29" s="12">
        <v>18.5</v>
      </c>
      <c r="G29" s="6"/>
      <c r="P29" s="8"/>
      <c r="Q29" s="10"/>
      <c r="R29" s="10"/>
      <c r="S29" s="10"/>
      <c r="T29" s="10" t="s">
        <v>59</v>
      </c>
      <c r="U29" s="10">
        <f>R26+R27</f>
        <v>62.12</v>
      </c>
      <c r="V29" s="10">
        <f>ROUND(U25/U29,2)</f>
        <v>2.58</v>
      </c>
      <c r="W29" s="9"/>
    </row>
    <row r="30" spans="1:23">
      <c r="A30" s="5"/>
      <c r="B30" s="11" t="s">
        <v>13</v>
      </c>
      <c r="C30" s="11">
        <v>5</v>
      </c>
      <c r="D30" s="7"/>
      <c r="E30" s="12" t="s">
        <v>13</v>
      </c>
      <c r="F30" s="12">
        <v>5</v>
      </c>
      <c r="G30" s="6"/>
    </row>
    <row r="31" spans="1:23">
      <c r="A31" s="5"/>
      <c r="B31" s="11" t="s">
        <v>12</v>
      </c>
      <c r="C31" s="11">
        <f>2*C30</f>
        <v>10</v>
      </c>
      <c r="D31" s="7"/>
      <c r="E31" s="12" t="s">
        <v>12</v>
      </c>
      <c r="F31" s="12">
        <f>2*F30</f>
        <v>10</v>
      </c>
      <c r="G31" s="6"/>
    </row>
    <row r="32" spans="1:23">
      <c r="A32" s="5"/>
      <c r="B32" s="7"/>
      <c r="C32" s="7"/>
      <c r="D32" s="7"/>
      <c r="E32" s="7"/>
      <c r="F32" s="7"/>
      <c r="G32" s="6"/>
    </row>
    <row r="33" spans="1:7">
      <c r="A33" s="5"/>
      <c r="B33" s="12" t="s">
        <v>35</v>
      </c>
      <c r="C33" s="12" t="s">
        <v>10</v>
      </c>
      <c r="D33" s="7"/>
      <c r="E33" s="7"/>
      <c r="F33" s="7"/>
      <c r="G33" s="6"/>
    </row>
    <row r="34" spans="1:7">
      <c r="A34" s="5"/>
      <c r="B34" s="12" t="s">
        <v>36</v>
      </c>
      <c r="C34" s="12">
        <v>20</v>
      </c>
      <c r="D34" s="7"/>
      <c r="E34" s="7"/>
      <c r="F34" s="7"/>
      <c r="G34" s="6"/>
    </row>
    <row r="35" spans="1:7">
      <c r="A35" s="5"/>
      <c r="B35" s="12" t="s">
        <v>11</v>
      </c>
      <c r="C35" s="12">
        <v>18</v>
      </c>
      <c r="D35" s="7"/>
      <c r="E35" s="7"/>
      <c r="F35" s="7"/>
      <c r="G35" s="6"/>
    </row>
    <row r="36" spans="1:7">
      <c r="A36" s="5"/>
      <c r="B36" s="12" t="s">
        <v>7</v>
      </c>
      <c r="C36" s="12">
        <v>15.5</v>
      </c>
      <c r="D36" s="7"/>
      <c r="E36" s="7"/>
      <c r="F36" s="7"/>
      <c r="G36" s="6"/>
    </row>
    <row r="37" spans="1:7">
      <c r="A37" s="5"/>
      <c r="B37" s="12" t="s">
        <v>13</v>
      </c>
      <c r="C37" s="12">
        <v>4</v>
      </c>
      <c r="D37" s="7"/>
      <c r="E37" s="7"/>
      <c r="F37" s="7"/>
      <c r="G37" s="6"/>
    </row>
    <row r="38" spans="1:7">
      <c r="A38" s="8"/>
      <c r="B38" s="12" t="s">
        <v>12</v>
      </c>
      <c r="C38" s="12">
        <f>2*C37</f>
        <v>8</v>
      </c>
      <c r="D38" s="7"/>
      <c r="E38" s="7"/>
      <c r="F38" s="7"/>
      <c r="G38" s="6"/>
    </row>
    <row r="39" spans="1:7">
      <c r="B39" s="10"/>
      <c r="C39" s="10"/>
      <c r="D39" s="10"/>
      <c r="E39" s="10"/>
      <c r="F39" s="10"/>
      <c r="G39" s="9"/>
    </row>
    <row r="40" spans="1:7">
      <c r="B40" s="7"/>
      <c r="C40" s="7"/>
      <c r="D40" s="7"/>
    </row>
    <row r="41" spans="1:7">
      <c r="B41" s="7"/>
      <c r="C41" s="7"/>
      <c r="D41" s="7"/>
    </row>
    <row r="42" spans="1:7">
      <c r="B42" s="7"/>
      <c r="C42" s="7"/>
      <c r="D42" s="7"/>
    </row>
  </sheetData>
  <mergeCells count="4">
    <mergeCell ref="F14:G14"/>
    <mergeCell ref="F15:G15"/>
    <mergeCell ref="I3:J3"/>
    <mergeCell ref="M3:N3"/>
  </mergeCells>
  <conditionalFormatting sqref="F15:G15">
    <cfRule type="cellIs" dxfId="19" priority="21" operator="equal">
      <formula>FALSE</formula>
    </cfRule>
    <cfRule type="cellIs" dxfId="18" priority="22" operator="equal">
      <formula>TRUE</formula>
    </cfRule>
  </conditionalFormatting>
  <conditionalFormatting sqref="J5">
    <cfRule type="cellIs" dxfId="17" priority="19" operator="greaterThan">
      <formula>$J$10</formula>
    </cfRule>
    <cfRule type="cellIs" dxfId="16" priority="20" operator="lessThanOrEqual">
      <formula>$J$10</formula>
    </cfRule>
  </conditionalFormatting>
  <conditionalFormatting sqref="N6">
    <cfRule type="cellIs" dxfId="15" priority="17" operator="greaterThan">
      <formula>$N$10</formula>
    </cfRule>
    <cfRule type="cellIs" dxfId="14" priority="18" operator="lessThanOrEqual">
      <formula>$N$10</formula>
    </cfRule>
  </conditionalFormatting>
  <conditionalFormatting sqref="R7">
    <cfRule type="cellIs" dxfId="13" priority="15" operator="equal">
      <formula>FALSE</formula>
    </cfRule>
    <cfRule type="cellIs" dxfId="12" priority="16" operator="equal">
      <formula>TRUE</formula>
    </cfRule>
  </conditionalFormatting>
  <conditionalFormatting sqref="U7">
    <cfRule type="cellIs" dxfId="11" priority="13" operator="equal">
      <formula>FALSE</formula>
    </cfRule>
    <cfRule type="cellIs" dxfId="10" priority="14" operator="equal">
      <formula>TRUE</formula>
    </cfRule>
  </conditionalFormatting>
  <conditionalFormatting sqref="U11">
    <cfRule type="cellIs" dxfId="9" priority="9" operator="lessThan">
      <formula>$U$10</formula>
    </cfRule>
    <cfRule type="cellIs" dxfId="8" priority="10" operator="greaterThanOrEqual">
      <formula>$U$10</formula>
    </cfRule>
  </conditionalFormatting>
  <conditionalFormatting sqref="R11">
    <cfRule type="cellIs" dxfId="7" priority="7" operator="lessThan">
      <formula>$R$10</formula>
    </cfRule>
    <cfRule type="cellIs" dxfId="6" priority="8" operator="greaterThanOrEqual">
      <formula>$R$10</formula>
    </cfRule>
  </conditionalFormatting>
  <conditionalFormatting sqref="K25">
    <cfRule type="cellIs" dxfId="5" priority="5" operator="greaterThan">
      <formula>$K$24</formula>
    </cfRule>
    <cfRule type="cellIs" dxfId="4" priority="6" operator="lessThanOrEqual">
      <formula>$K$24</formula>
    </cfRule>
  </conditionalFormatting>
  <conditionalFormatting sqref="U28">
    <cfRule type="cellIs" dxfId="3" priority="3" operator="greaterThan">
      <formula>$U$26</formula>
    </cfRule>
    <cfRule type="cellIs" dxfId="2" priority="4" operator="lessThanOrEqual">
      <formula>$U$26</formula>
    </cfRule>
  </conditionalFormatting>
  <conditionalFormatting sqref="U29">
    <cfRule type="cellIs" dxfId="1" priority="1" operator="greaterThan">
      <formula>$U$25</formula>
    </cfRule>
    <cfRule type="cellIs" dxfId="0" priority="2" operator="lessThanOrEqual">
      <formula>$U$25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2015-06-05T18:19:34Z</dcterms:created>
  <dcterms:modified xsi:type="dcterms:W3CDTF">2024-12-30T11:17:36Z</dcterms:modified>
</cp:coreProperties>
</file>