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giria\Downloads\"/>
    </mc:Choice>
  </mc:AlternateContent>
  <xr:revisionPtr revIDLastSave="0" documentId="13_ncr:1_{8AD6CDAB-B111-4C20-846B-EF03C00C3E91}" xr6:coauthVersionLast="47" xr6:coauthVersionMax="47" xr10:uidLastSave="{00000000-0000-0000-0000-000000000000}"/>
  <bookViews>
    <workbookView xWindow="33285" yWindow="225" windowWidth="21600" windowHeight="11385" xr2:uid="{00000000-000D-0000-FFFF-FFFF00000000}"/>
  </bookViews>
  <sheets>
    <sheet name="Inputs_Results" sheetId="1" r:id="rId1"/>
    <sheet name="Notes" sheetId="2" r:id="rId2"/>
    <sheet name="Small - RR" sheetId="3" r:id="rId3"/>
    <sheet name="Small - Standard" sheetId="4" r:id="rId4"/>
    <sheet name="Large - RR" sheetId="5" r:id="rId5"/>
    <sheet name="Large - Standar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6" l="1"/>
  <c r="B58" i="6" s="1"/>
  <c r="B54" i="6"/>
  <c r="B56" i="5"/>
  <c r="B58" i="5" s="1"/>
  <c r="B54" i="5"/>
  <c r="B56" i="3"/>
  <c r="B58" i="3" s="1"/>
  <c r="B54" i="3"/>
  <c r="B58" i="4"/>
  <c r="B40" i="6"/>
  <c r="B39" i="6" s="1"/>
  <c r="B46" i="6" s="1"/>
  <c r="B38" i="6"/>
  <c r="B41" i="6" s="1"/>
  <c r="B26" i="6"/>
  <c r="B21" i="6"/>
  <c r="B14" i="6"/>
  <c r="B16" i="6" s="1"/>
  <c r="B11" i="6"/>
  <c r="B6" i="6"/>
  <c r="B40" i="5"/>
  <c r="B39" i="5" s="1"/>
  <c r="B46" i="5" s="1"/>
  <c r="B38" i="5"/>
  <c r="B41" i="5" s="1"/>
  <c r="B26" i="5"/>
  <c r="B21" i="5"/>
  <c r="B11" i="5"/>
  <c r="B14" i="5" s="1"/>
  <c r="B16" i="5" s="1"/>
  <c r="B27" i="5" s="1"/>
  <c r="B28" i="5" s="1"/>
  <c r="B6" i="5"/>
  <c r="B40" i="4"/>
  <c r="B39" i="4" s="1"/>
  <c r="B46" i="4" s="1"/>
  <c r="B38" i="4"/>
  <c r="B26" i="4"/>
  <c r="B21" i="4"/>
  <c r="B11" i="4"/>
  <c r="B14" i="4" s="1"/>
  <c r="B16" i="4" s="1"/>
  <c r="B6" i="4"/>
  <c r="B40" i="3"/>
  <c r="B39" i="3" s="1"/>
  <c r="B38" i="3"/>
  <c r="B26" i="3"/>
  <c r="B21" i="3"/>
  <c r="B14" i="3"/>
  <c r="B16" i="3" s="1"/>
  <c r="B11" i="3"/>
  <c r="B6" i="3"/>
  <c r="B40" i="1"/>
  <c r="B39" i="1" s="1"/>
  <c r="B46" i="1" s="1"/>
  <c r="B38" i="1"/>
  <c r="B26" i="1"/>
  <c r="B21" i="1"/>
  <c r="B11" i="1"/>
  <c r="B14" i="1" s="1"/>
  <c r="B16" i="1" s="1"/>
  <c r="B6" i="1"/>
  <c r="B57" i="6" l="1"/>
  <c r="B57" i="5"/>
  <c r="B57" i="3"/>
  <c r="B27" i="6"/>
  <c r="B28" i="6" s="1"/>
  <c r="B45" i="5"/>
  <c r="B44" i="5"/>
  <c r="B47" i="5"/>
  <c r="B49" i="5"/>
  <c r="B27" i="4"/>
  <c r="B41" i="4"/>
  <c r="B27" i="3"/>
  <c r="B28" i="3" s="1"/>
  <c r="B41" i="3"/>
  <c r="B46" i="3"/>
  <c r="B27" i="1"/>
  <c r="B28" i="1" s="1"/>
  <c r="B41" i="1"/>
  <c r="B28" i="4" l="1"/>
  <c r="B45" i="4" s="1"/>
  <c r="B47" i="4" s="1"/>
  <c r="B54" i="4" s="1"/>
  <c r="B56" i="4"/>
  <c r="B57" i="4" s="1"/>
  <c r="B44" i="6"/>
  <c r="B45" i="6"/>
  <c r="B47" i="6" s="1"/>
  <c r="B49" i="6"/>
  <c r="B48" i="5"/>
  <c r="B51" i="5"/>
  <c r="B50" i="5"/>
  <c r="B45" i="3"/>
  <c r="B47" i="3" s="1"/>
  <c r="B44" i="3"/>
  <c r="B49" i="3"/>
  <c r="B44" i="1"/>
  <c r="B45" i="1"/>
  <c r="B47" i="1" s="1"/>
  <c r="B49" i="1"/>
  <c r="B44" i="4" l="1"/>
  <c r="B48" i="4" s="1"/>
  <c r="B49" i="4"/>
  <c r="B51" i="6"/>
  <c r="B48" i="6"/>
  <c r="B50" i="6" s="1"/>
  <c r="B51" i="4"/>
  <c r="B50" i="4"/>
  <c r="B51" i="3"/>
  <c r="B48" i="3"/>
  <c r="B50" i="3" s="1"/>
  <c r="B51" i="1"/>
  <c r="B48" i="1"/>
  <c r="B50" i="1" s="1"/>
</calcChain>
</file>

<file path=xl/sharedStrings.xml><?xml version="1.0" encoding="utf-8"?>
<sst xmlns="http://schemas.openxmlformats.org/spreadsheetml/2006/main" count="349" uniqueCount="83">
  <si>
    <t>MS Stud Hole‑Carding: Two‑Phase Trip Calculator (Scouting‑only days → Playing‑only days)</t>
  </si>
  <si>
    <t>Game performance (enter sim/logs)</t>
  </si>
  <si>
    <t>EV per hand ($)</t>
  </si>
  <si>
    <t>Hands per hour (hph)</t>
  </si>
  <si>
    <t>EV per hour = EV/hand × hph</t>
  </si>
  <si>
    <t>Scouting block (inputs)</t>
  </si>
  <si>
    <t>Scouting days</t>
  </si>
  <si>
    <t>Scouting hours per day (usable)</t>
  </si>
  <si>
    <t>Total scouting hours</t>
  </si>
  <si>
    <t>p = Prob(dealer is flashable when checked)</t>
  </si>
  <si>
    <t>DPH = Dealers checked per hour while scouting</t>
  </si>
  <si>
    <t>Expected finds = p × DPH × Total scouting hours</t>
  </si>
  <si>
    <t>Raw count of playable dealers discovered during scouting (expected).</t>
  </si>
  <si>
    <t>False‑positive/quality filter (0–1)</t>
  </si>
  <si>
    <t>Discount for misreads/false positives or dealers you wouldn't actually play.</t>
  </si>
  <si>
    <t>Finds after quality filter</t>
  </si>
  <si>
    <t>Play block (inputs)</t>
  </si>
  <si>
    <t>Play days</t>
  </si>
  <si>
    <t>Play hours per day (usable)</t>
  </si>
  <si>
    <t>Total play hours available</t>
  </si>
  <si>
    <t>H_play (hours per find if dealer available)</t>
  </si>
  <si>
    <t>q_seat (seat conversion)</t>
  </si>
  <si>
    <t>q_persist (opportunity persists)</t>
  </si>
  <si>
    <t>f_avail (dealer availability match from scouting→play days)</t>
  </si>
  <si>
    <t>Match factor: fraction of found dealers likely on shift during play days.</t>
  </si>
  <si>
    <t>H_play_eff per find = H_play × q_seat × q_persist</t>
  </si>
  <si>
    <t>Total exploitable hours from all finds = H_play_eff × finds × f_avail</t>
  </si>
  <si>
    <t>Realized play hours = MIN(available play hours, exploitable hours)</t>
  </si>
  <si>
    <t>Capped by your available play hours (can’t exceed total play time).</t>
  </si>
  <si>
    <t>Costs</t>
  </si>
  <si>
    <t>Hotel $/night</t>
  </si>
  <si>
    <t>Food $/day</t>
  </si>
  <si>
    <t>Other fixed trip costs (parking/tolls/etc.)</t>
  </si>
  <si>
    <t>Travel costs (gas/transport total)</t>
  </si>
  <si>
    <t>Soft hourly (your time) while SCOUTING</t>
  </si>
  <si>
    <t>Soft hourly (your time) while PLAYING</t>
  </si>
  <si>
    <t>Sleep hours per day</t>
  </si>
  <si>
    <t>Awake hours/day = 24 - sleep</t>
  </si>
  <si>
    <t>Daily burn = Hotel + Food + (Other fixed / total days)</t>
  </si>
  <si>
    <t>Total days = Scouting days + Play days</t>
  </si>
  <si>
    <t>On‑site hourly burn (excl. soft cost) = Daily burn / Awake hours</t>
  </si>
  <si>
    <t>Outputs</t>
  </si>
  <si>
    <t>Gross EV total = EV/hour × Realized play hours</t>
  </si>
  <si>
    <t>On‑site soft cost = Soft_scout × Total scouting hours + Soft_play × Realized play hours</t>
  </si>
  <si>
    <t>Lets you value your time differently between scouting vs playing.</t>
  </si>
  <si>
    <t>On‑site hard cost = Daily burn × Total days</t>
  </si>
  <si>
    <t>Total trip cost = On‑site hard + On‑site soft + Travel</t>
  </si>
  <si>
    <t>Net trip EV = Gross EV − Total trip cost</t>
  </si>
  <si>
    <t>Total hours on trip (scouting + realized play)</t>
  </si>
  <si>
    <t>Net EV per hour (trip) = Net trip EV / Total hours</t>
  </si>
  <si>
    <t>Utilization = Realized play hours / Total hours</t>
  </si>
  <si>
    <t>How this two‑phase model works</t>
  </si>
  <si>
    <t>Trip structure: you spend some days scouting only, then separate days playing only.</t>
  </si>
  <si>
    <t>Scouting productivity is p × DPH × Total scouting hours. A quality filter accounts for misreads or unplayable cases.</t>
  </si>
  <si>
    <t>Each valid 'find' yields H_play_eff hours if the dealer is available during your play block; f_avail handles schedule mismatch.</t>
  </si>
  <si>
    <t>Total exploitable hours is the sum over finds, capped by your total available play hours.</t>
  </si>
  <si>
    <t>Costs: hotel/food/other scale by total days; travel is a fixed add; soft hourly time can differ for scouting vs playing.</t>
  </si>
  <si>
    <t>Key outputs: Net trip EV, net EV per hour across ALL hours (scouting + play), and utilization (how much of your time is in the chair).</t>
  </si>
  <si>
    <t>Tune f_avail using your logs: fraction of cataloged dealers that you actually encounter during the play block.</t>
  </si>
  <si>
    <t>Compare Net EV/hour to Blackjack or your opportunity‑cost hurdle to decide whether the trip structure is worth it.</t>
  </si>
  <si>
    <t>chance I actually get/keep a seat when I return (chance I get the seat I need)</t>
  </si>
  <si>
    <t>chance I actually get to keep the seat (1 - chance of getting kicked out or dealer leaving)</t>
  </si>
  <si>
    <t>number of hours I expect the dealer to be playing on the table for ((dealer on shift time * number of hours in the shift) / 60)</t>
  </si>
  <si>
    <t>Schedule capacity (number of days I could play given unlimited flashing for the entire period)</t>
  </si>
  <si>
    <t>Schedule capacity (number of hours per day I could play given unlimited flashing for the entire period)</t>
  </si>
  <si>
    <t>Number of hours I sleep</t>
  </si>
  <si>
    <t>Use same sleep hours for scouting &amp; play, or adjust inputs accordingly. (How much each hour is costing in terms of static costs)</t>
  </si>
  <si>
    <t>If this number is positive, the game is expected to be a good play. Otherwise, it is expected to be a bad play.</t>
  </si>
  <si>
    <t>$ I'd take to be doing nothing (per hour) instead of scouting</t>
  </si>
  <si>
    <t>$ I'd take to be doing nothing (per hour) instead of playing</t>
  </si>
  <si>
    <t>how many dealers were checked per hour on average (just casino hours)</t>
  </si>
  <si>
    <t>Round-Robin system: Higher DPH, lower reliability, lower playable hours</t>
  </si>
  <si>
    <t>Standard system: Lower DPH, higher reliability, higher playable hours</t>
  </si>
  <si>
    <t>Smaller casinos: Slightly lower DPH (less tables), higher chance of spotting sloppy dealer (worse training, worse countermeasures)</t>
  </si>
  <si>
    <t>Bigger casinos: Slightly higher DPH (more tables), lower chance of spotting sloppy dealer (better training, better countermeasures)</t>
  </si>
  <si>
    <t>More reliable flashing: Higher quality game</t>
  </si>
  <si>
    <t>Less reliable flashing: Lower quality game</t>
  </si>
  <si>
    <t>Fun Calculations</t>
  </si>
  <si>
    <t>Minimum Required EV/hr To Beat Costs</t>
  </si>
  <si>
    <t>Full Time Salary Requirment</t>
  </si>
  <si>
    <t>Projected Yearly Hours</t>
  </si>
  <si>
    <t>Full Time EV/hr Requirement</t>
  </si>
  <si>
    <t>Full Time Hours/Week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</si>
</sst>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name val="Calibri"/>
    </font>
    <font>
      <b/>
      <sz val="12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3" fillId="0" borderId="0" xfId="0" applyFont="1"/>
    <xf numFmtId="0" fontId="0" fillId="0" borderId="0" xfId="0" applyFill="1" applyBorder="1" applyAlignment="1">
      <alignment horizontal="left"/>
    </xf>
    <xf numFmtId="16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>
      <selection activeCell="C22" sqref="C22"/>
    </sheetView>
  </sheetViews>
  <sheetFormatPr defaultRowHeight="15" x14ac:dyDescent="0.25"/>
  <cols>
    <col min="1" max="1" width="64" customWidth="1"/>
    <col min="2" max="2" width="22" customWidth="1"/>
    <col min="3" max="3" width="113.85546875" customWidth="1"/>
  </cols>
  <sheetData>
    <row r="1" spans="1:3" ht="18.75" x14ac:dyDescent="0.3">
      <c r="A1" s="1" t="s">
        <v>0</v>
      </c>
    </row>
    <row r="3" spans="1:3" x14ac:dyDescent="0.25">
      <c r="A3" s="2" t="s">
        <v>1</v>
      </c>
      <c r="B3" s="3"/>
      <c r="C3" s="2"/>
    </row>
    <row r="4" spans="1:3" x14ac:dyDescent="0.25">
      <c r="A4" s="4" t="s">
        <v>2</v>
      </c>
      <c r="B4" s="5">
        <v>9.65</v>
      </c>
      <c r="C4" s="4"/>
    </row>
    <row r="5" spans="1:3" x14ac:dyDescent="0.25">
      <c r="A5" s="4" t="s">
        <v>3</v>
      </c>
      <c r="B5" s="5">
        <v>30</v>
      </c>
      <c r="C5" s="4"/>
    </row>
    <row r="6" spans="1:3" x14ac:dyDescent="0.25">
      <c r="A6" s="4" t="s">
        <v>4</v>
      </c>
      <c r="B6" s="6">
        <f>B4*B5</f>
        <v>289.5</v>
      </c>
      <c r="C6" s="4"/>
    </row>
    <row r="7" spans="1:3" x14ac:dyDescent="0.25">
      <c r="A7" s="4"/>
      <c r="B7" s="7"/>
      <c r="C7" s="4"/>
    </row>
    <row r="8" spans="1:3" x14ac:dyDescent="0.25">
      <c r="A8" s="2" t="s">
        <v>5</v>
      </c>
      <c r="B8" s="3"/>
      <c r="C8" s="2"/>
    </row>
    <row r="9" spans="1:3" x14ac:dyDescent="0.25">
      <c r="A9" s="4" t="s">
        <v>6</v>
      </c>
      <c r="B9" s="5">
        <v>4</v>
      </c>
      <c r="C9" s="4"/>
    </row>
    <row r="10" spans="1:3" x14ac:dyDescent="0.25">
      <c r="A10" s="4" t="s">
        <v>7</v>
      </c>
      <c r="B10" s="5">
        <v>10</v>
      </c>
      <c r="C10" s="4"/>
    </row>
    <row r="11" spans="1:3" x14ac:dyDescent="0.25">
      <c r="A11" s="4" t="s">
        <v>8</v>
      </c>
      <c r="B11" s="5">
        <f>B9*B10</f>
        <v>40</v>
      </c>
      <c r="C11" s="4"/>
    </row>
    <row r="12" spans="1:3" x14ac:dyDescent="0.25">
      <c r="A12" s="4" t="s">
        <v>9</v>
      </c>
      <c r="B12" s="5">
        <v>0.05</v>
      </c>
      <c r="C12" s="4"/>
    </row>
    <row r="13" spans="1:3" x14ac:dyDescent="0.25">
      <c r="A13" s="4" t="s">
        <v>10</v>
      </c>
      <c r="B13" s="5">
        <v>1.25</v>
      </c>
      <c r="C13" s="4" t="s">
        <v>70</v>
      </c>
    </row>
    <row r="14" spans="1:3" x14ac:dyDescent="0.25">
      <c r="A14" s="4" t="s">
        <v>11</v>
      </c>
      <c r="B14" s="5">
        <f>B12*B13*B11</f>
        <v>2.5</v>
      </c>
      <c r="C14" s="4" t="s">
        <v>12</v>
      </c>
    </row>
    <row r="15" spans="1:3" x14ac:dyDescent="0.25">
      <c r="A15" s="4" t="s">
        <v>13</v>
      </c>
      <c r="B15" s="5">
        <v>0.95</v>
      </c>
      <c r="C15" s="4" t="s">
        <v>14</v>
      </c>
    </row>
    <row r="16" spans="1:3" x14ac:dyDescent="0.25">
      <c r="A16" s="4" t="s">
        <v>15</v>
      </c>
      <c r="B16" s="5">
        <f>B14*B15</f>
        <v>2.375</v>
      </c>
      <c r="C16" s="4"/>
    </row>
    <row r="17" spans="1:3" x14ac:dyDescent="0.25">
      <c r="A17" s="4"/>
      <c r="B17" s="7"/>
      <c r="C17" s="4"/>
    </row>
    <row r="18" spans="1:3" x14ac:dyDescent="0.25">
      <c r="A18" s="2" t="s">
        <v>16</v>
      </c>
      <c r="B18" s="3"/>
      <c r="C18" s="2"/>
    </row>
    <row r="19" spans="1:3" x14ac:dyDescent="0.25">
      <c r="A19" s="4" t="s">
        <v>17</v>
      </c>
      <c r="B19" s="5">
        <v>5</v>
      </c>
      <c r="C19" s="4" t="s">
        <v>63</v>
      </c>
    </row>
    <row r="20" spans="1:3" x14ac:dyDescent="0.25">
      <c r="A20" s="4" t="s">
        <v>18</v>
      </c>
      <c r="B20" s="5">
        <v>8</v>
      </c>
      <c r="C20" s="4" t="s">
        <v>64</v>
      </c>
    </row>
    <row r="21" spans="1:3" x14ac:dyDescent="0.25">
      <c r="A21" s="4" t="s">
        <v>19</v>
      </c>
      <c r="B21" s="5">
        <f>B19*B20</f>
        <v>40</v>
      </c>
      <c r="C21" s="4"/>
    </row>
    <row r="22" spans="1:3" x14ac:dyDescent="0.25">
      <c r="A22" s="4" t="s">
        <v>20</v>
      </c>
      <c r="B22" s="5">
        <v>5.33</v>
      </c>
      <c r="C22" s="4" t="s">
        <v>62</v>
      </c>
    </row>
    <row r="23" spans="1:3" x14ac:dyDescent="0.25">
      <c r="A23" s="4" t="s">
        <v>21</v>
      </c>
      <c r="B23" s="5">
        <v>0.9</v>
      </c>
      <c r="C23" s="4" t="s">
        <v>60</v>
      </c>
    </row>
    <row r="24" spans="1:3" x14ac:dyDescent="0.25">
      <c r="A24" s="4" t="s">
        <v>22</v>
      </c>
      <c r="B24" s="5">
        <v>0.9</v>
      </c>
      <c r="C24" s="4" t="s">
        <v>61</v>
      </c>
    </row>
    <row r="25" spans="1:3" x14ac:dyDescent="0.25">
      <c r="A25" s="4" t="s">
        <v>23</v>
      </c>
      <c r="B25" s="5">
        <v>0.95</v>
      </c>
      <c r="C25" s="4" t="s">
        <v>24</v>
      </c>
    </row>
    <row r="26" spans="1:3" x14ac:dyDescent="0.25">
      <c r="A26" s="4" t="s">
        <v>25</v>
      </c>
      <c r="B26" s="5">
        <f>B22*B23*B24</f>
        <v>4.3173000000000004</v>
      </c>
      <c r="C26" s="4"/>
    </row>
    <row r="27" spans="1:3" x14ac:dyDescent="0.25">
      <c r="A27" s="4" t="s">
        <v>26</v>
      </c>
      <c r="B27" s="5">
        <f>B26*B16*B25</f>
        <v>9.7409081249999989</v>
      </c>
      <c r="C27" s="4"/>
    </row>
    <row r="28" spans="1:3" x14ac:dyDescent="0.25">
      <c r="A28" s="4" t="s">
        <v>27</v>
      </c>
      <c r="B28" s="5">
        <f>MIN(B21,B27)</f>
        <v>9.7409081249999989</v>
      </c>
      <c r="C28" s="4" t="s">
        <v>28</v>
      </c>
    </row>
    <row r="29" spans="1:3" x14ac:dyDescent="0.25">
      <c r="A29" s="4"/>
      <c r="B29" s="7"/>
      <c r="C29" s="4"/>
    </row>
    <row r="30" spans="1:3" x14ac:dyDescent="0.25">
      <c r="A30" s="2" t="s">
        <v>29</v>
      </c>
      <c r="B30" s="3"/>
      <c r="C30" s="2"/>
    </row>
    <row r="31" spans="1:3" x14ac:dyDescent="0.25">
      <c r="A31" s="4" t="s">
        <v>30</v>
      </c>
      <c r="B31" s="5">
        <v>100</v>
      </c>
      <c r="C31" s="4"/>
    </row>
    <row r="32" spans="1:3" x14ac:dyDescent="0.25">
      <c r="A32" s="4" t="s">
        <v>31</v>
      </c>
      <c r="B32" s="5">
        <v>30</v>
      </c>
      <c r="C32" s="4"/>
    </row>
    <row r="33" spans="1:3" x14ac:dyDescent="0.25">
      <c r="A33" s="4" t="s">
        <v>32</v>
      </c>
      <c r="B33" s="5">
        <v>20</v>
      </c>
      <c r="C33" s="4"/>
    </row>
    <row r="34" spans="1:3" x14ac:dyDescent="0.25">
      <c r="A34" s="4" t="s">
        <v>33</v>
      </c>
      <c r="B34" s="5">
        <v>150</v>
      </c>
      <c r="C34" s="4"/>
    </row>
    <row r="35" spans="1:3" x14ac:dyDescent="0.25">
      <c r="A35" s="4" t="s">
        <v>34</v>
      </c>
      <c r="B35" s="5">
        <v>10</v>
      </c>
      <c r="C35" s="4" t="s">
        <v>68</v>
      </c>
    </row>
    <row r="36" spans="1:3" x14ac:dyDescent="0.25">
      <c r="A36" s="4" t="s">
        <v>35</v>
      </c>
      <c r="B36" s="5">
        <v>5</v>
      </c>
      <c r="C36" s="4" t="s">
        <v>69</v>
      </c>
    </row>
    <row r="37" spans="1:3" x14ac:dyDescent="0.25">
      <c r="A37" s="4" t="s">
        <v>36</v>
      </c>
      <c r="B37" s="5">
        <v>7.5</v>
      </c>
      <c r="C37" s="4" t="s">
        <v>65</v>
      </c>
    </row>
    <row r="38" spans="1:3" x14ac:dyDescent="0.25">
      <c r="A38" s="4" t="s">
        <v>37</v>
      </c>
      <c r="B38" s="5">
        <f>24-B37</f>
        <v>16.5</v>
      </c>
      <c r="C38" s="4"/>
    </row>
    <row r="39" spans="1:3" x14ac:dyDescent="0.25">
      <c r="A39" s="4" t="s">
        <v>38</v>
      </c>
      <c r="B39" s="6">
        <f>B31+B32+IF(B40&gt;0,B33/B40,0)</f>
        <v>132.22222222222223</v>
      </c>
      <c r="C39" s="4"/>
    </row>
    <row r="40" spans="1:3" x14ac:dyDescent="0.25">
      <c r="A40" s="4" t="s">
        <v>39</v>
      </c>
      <c r="B40" s="5">
        <f>B9+B19</f>
        <v>9</v>
      </c>
      <c r="C40" s="4"/>
    </row>
    <row r="41" spans="1:3" x14ac:dyDescent="0.25">
      <c r="A41" s="4" t="s">
        <v>40</v>
      </c>
      <c r="B41" s="6">
        <f>IF(B38&gt;0,B39/B38,"")</f>
        <v>8.0134680134680139</v>
      </c>
      <c r="C41" s="4" t="s">
        <v>66</v>
      </c>
    </row>
    <row r="42" spans="1:3" x14ac:dyDescent="0.25">
      <c r="A42" s="4"/>
      <c r="B42" s="7"/>
      <c r="C42" s="4"/>
    </row>
    <row r="43" spans="1:3" x14ac:dyDescent="0.25">
      <c r="A43" s="2" t="s">
        <v>41</v>
      </c>
      <c r="B43" s="3"/>
      <c r="C43" s="2"/>
    </row>
    <row r="44" spans="1:3" x14ac:dyDescent="0.25">
      <c r="A44" s="4" t="s">
        <v>42</v>
      </c>
      <c r="B44" s="6">
        <f>B6*B28</f>
        <v>2819.9929021874996</v>
      </c>
      <c r="C44" s="4"/>
    </row>
    <row r="45" spans="1:3" x14ac:dyDescent="0.25">
      <c r="A45" s="4" t="s">
        <v>43</v>
      </c>
      <c r="B45" s="6">
        <f>B35*B11+B36*B28</f>
        <v>448.70454062499999</v>
      </c>
      <c r="C45" s="4" t="s">
        <v>44</v>
      </c>
    </row>
    <row r="46" spans="1:3" x14ac:dyDescent="0.25">
      <c r="A46" s="4" t="s">
        <v>45</v>
      </c>
      <c r="B46" s="6">
        <f>B39*B40</f>
        <v>1190</v>
      </c>
      <c r="C46" s="4"/>
    </row>
    <row r="47" spans="1:3" x14ac:dyDescent="0.25">
      <c r="A47" s="4" t="s">
        <v>46</v>
      </c>
      <c r="B47" s="6">
        <f>B46+B45+B34</f>
        <v>1788.7045406249999</v>
      </c>
      <c r="C47" s="4"/>
    </row>
    <row r="48" spans="1:3" x14ac:dyDescent="0.25">
      <c r="A48" s="4" t="s">
        <v>47</v>
      </c>
      <c r="B48" s="6">
        <f>B44-B47</f>
        <v>1031.2883615624996</v>
      </c>
      <c r="C48" s="4"/>
    </row>
    <row r="49" spans="1:3" x14ac:dyDescent="0.25">
      <c r="A49" s="4" t="s">
        <v>48</v>
      </c>
      <c r="B49" s="5">
        <f>B11+B28</f>
        <v>49.740908124999997</v>
      </c>
      <c r="C49" s="4"/>
    </row>
    <row r="50" spans="1:3" x14ac:dyDescent="0.25">
      <c r="A50" s="4" t="s">
        <v>49</v>
      </c>
      <c r="B50" s="6">
        <f>IF(B49&gt;0,B48/B49,"")</f>
        <v>20.733203321717596</v>
      </c>
      <c r="C50" s="4" t="s">
        <v>67</v>
      </c>
    </row>
    <row r="51" spans="1:3" x14ac:dyDescent="0.25">
      <c r="A51" s="4" t="s">
        <v>50</v>
      </c>
      <c r="B51" s="8">
        <f>IF(B49&gt;0,B28/B49,"")</f>
        <v>0.19583293695645609</v>
      </c>
      <c r="C51" s="4"/>
    </row>
  </sheetData>
  <conditionalFormatting sqref="B50">
    <cfRule type="cellIs" dxfId="8" priority="2" operator="greaterThan">
      <formula>0</formula>
    </cfRule>
    <cfRule type="cellIs" dxfId="9" priority="1" operator="lessThan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"/>
  <sheetViews>
    <sheetView workbookViewId="0">
      <selection activeCell="A16" sqref="A16"/>
    </sheetView>
  </sheetViews>
  <sheetFormatPr defaultRowHeight="15" x14ac:dyDescent="0.25"/>
  <cols>
    <col min="1" max="1" width="118.140625" customWidth="1"/>
  </cols>
  <sheetData>
    <row r="1" spans="1:1" ht="15.75" x14ac:dyDescent="0.25">
      <c r="A1" s="9" t="s">
        <v>51</v>
      </c>
    </row>
    <row r="3" spans="1:1" x14ac:dyDescent="0.25">
      <c r="A3" t="s">
        <v>52</v>
      </c>
    </row>
    <row r="4" spans="1:1" x14ac:dyDescent="0.25">
      <c r="A4" t="s">
        <v>53</v>
      </c>
    </row>
    <row r="5" spans="1:1" x14ac:dyDescent="0.25">
      <c r="A5" t="s">
        <v>54</v>
      </c>
    </row>
    <row r="6" spans="1:1" x14ac:dyDescent="0.25">
      <c r="A6" t="s">
        <v>55</v>
      </c>
    </row>
    <row r="7" spans="1:1" x14ac:dyDescent="0.25">
      <c r="A7" t="s">
        <v>56</v>
      </c>
    </row>
    <row r="9" spans="1:1" x14ac:dyDescent="0.25">
      <c r="A9" t="s">
        <v>57</v>
      </c>
    </row>
    <row r="10" spans="1:1" x14ac:dyDescent="0.25">
      <c r="A10" t="s">
        <v>58</v>
      </c>
    </row>
    <row r="11" spans="1:1" x14ac:dyDescent="0.25">
      <c r="A11" t="s">
        <v>59</v>
      </c>
    </row>
    <row r="13" spans="1:1" x14ac:dyDescent="0.25">
      <c r="A13" t="s">
        <v>71</v>
      </c>
    </row>
    <row r="14" spans="1:1" x14ac:dyDescent="0.25">
      <c r="A14" t="s">
        <v>72</v>
      </c>
    </row>
    <row r="16" spans="1:1" x14ac:dyDescent="0.25">
      <c r="A16" t="s">
        <v>74</v>
      </c>
    </row>
    <row r="17" spans="1:1" x14ac:dyDescent="0.25">
      <c r="A17" t="s">
        <v>73</v>
      </c>
    </row>
    <row r="19" spans="1:1" x14ac:dyDescent="0.25">
      <c r="A19" t="s">
        <v>75</v>
      </c>
    </row>
    <row r="20" spans="1:1" x14ac:dyDescent="0.25">
      <c r="A20" t="s">
        <v>76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FCF0-4173-4947-82C0-68C35E7AF5D8}">
  <dimension ref="A1:C58"/>
  <sheetViews>
    <sheetView topLeftCell="A33" workbookViewId="0">
      <selection activeCell="B22" sqref="B22"/>
    </sheetView>
  </sheetViews>
  <sheetFormatPr defaultRowHeight="15" x14ac:dyDescent="0.25"/>
  <cols>
    <col min="1" max="1" width="64" customWidth="1"/>
    <col min="2" max="2" width="22" customWidth="1"/>
    <col min="3" max="3" width="113.85546875" customWidth="1"/>
  </cols>
  <sheetData>
    <row r="1" spans="1:3" ht="18.75" x14ac:dyDescent="0.3">
      <c r="A1" s="1" t="s">
        <v>0</v>
      </c>
    </row>
    <row r="3" spans="1:3" x14ac:dyDescent="0.25">
      <c r="A3" s="2" t="s">
        <v>1</v>
      </c>
      <c r="B3" s="3"/>
      <c r="C3" s="2"/>
    </row>
    <row r="4" spans="1:3" x14ac:dyDescent="0.25">
      <c r="A4" s="4" t="s">
        <v>2</v>
      </c>
      <c r="B4" s="5">
        <v>2</v>
      </c>
      <c r="C4" s="4"/>
    </row>
    <row r="5" spans="1:3" x14ac:dyDescent="0.25">
      <c r="A5" s="4" t="s">
        <v>3</v>
      </c>
      <c r="B5" s="5">
        <v>20</v>
      </c>
      <c r="C5" s="4"/>
    </row>
    <row r="6" spans="1:3" x14ac:dyDescent="0.25">
      <c r="A6" s="4" t="s">
        <v>4</v>
      </c>
      <c r="B6" s="6">
        <f>B4*B5</f>
        <v>40</v>
      </c>
      <c r="C6" s="4"/>
    </row>
    <row r="7" spans="1:3" x14ac:dyDescent="0.25">
      <c r="A7" s="4"/>
      <c r="B7" s="7"/>
      <c r="C7" s="4"/>
    </row>
    <row r="8" spans="1:3" x14ac:dyDescent="0.25">
      <c r="A8" s="2" t="s">
        <v>5</v>
      </c>
      <c r="B8" s="3"/>
      <c r="C8" s="2"/>
    </row>
    <row r="9" spans="1:3" x14ac:dyDescent="0.25">
      <c r="A9" s="4" t="s">
        <v>6</v>
      </c>
      <c r="B9" s="5">
        <v>4</v>
      </c>
      <c r="C9" s="4"/>
    </row>
    <row r="10" spans="1:3" x14ac:dyDescent="0.25">
      <c r="A10" s="4" t="s">
        <v>7</v>
      </c>
      <c r="B10" s="5">
        <v>10</v>
      </c>
      <c r="C10" s="4"/>
    </row>
    <row r="11" spans="1:3" x14ac:dyDescent="0.25">
      <c r="A11" s="4" t="s">
        <v>8</v>
      </c>
      <c r="B11" s="5">
        <f>B9*B10</f>
        <v>40</v>
      </c>
      <c r="C11" s="4"/>
    </row>
    <row r="12" spans="1:3" x14ac:dyDescent="0.25">
      <c r="A12" s="4" t="s">
        <v>9</v>
      </c>
      <c r="B12" s="5">
        <v>0.1</v>
      </c>
      <c r="C12" s="4"/>
    </row>
    <row r="13" spans="1:3" x14ac:dyDescent="0.25">
      <c r="A13" s="4" t="s">
        <v>10</v>
      </c>
      <c r="B13" s="5">
        <v>2</v>
      </c>
      <c r="C13" s="4" t="s">
        <v>70</v>
      </c>
    </row>
    <row r="14" spans="1:3" x14ac:dyDescent="0.25">
      <c r="A14" s="4" t="s">
        <v>11</v>
      </c>
      <c r="B14" s="5">
        <f>B12*B13*B11</f>
        <v>8</v>
      </c>
      <c r="C14" s="4" t="s">
        <v>12</v>
      </c>
    </row>
    <row r="15" spans="1:3" x14ac:dyDescent="0.25">
      <c r="A15" s="4" t="s">
        <v>13</v>
      </c>
      <c r="B15" s="5">
        <v>0.95</v>
      </c>
      <c r="C15" s="4" t="s">
        <v>14</v>
      </c>
    </row>
    <row r="16" spans="1:3" x14ac:dyDescent="0.25">
      <c r="A16" s="4" t="s">
        <v>15</v>
      </c>
      <c r="B16" s="5">
        <f>B14*B15</f>
        <v>7.6</v>
      </c>
      <c r="C16" s="4"/>
    </row>
    <row r="17" spans="1:3" x14ac:dyDescent="0.25">
      <c r="A17" s="4"/>
      <c r="B17" s="7"/>
      <c r="C17" s="4"/>
    </row>
    <row r="18" spans="1:3" x14ac:dyDescent="0.25">
      <c r="A18" s="2" t="s">
        <v>16</v>
      </c>
      <c r="B18" s="3"/>
      <c r="C18" s="2"/>
    </row>
    <row r="19" spans="1:3" x14ac:dyDescent="0.25">
      <c r="A19" s="4" t="s">
        <v>17</v>
      </c>
      <c r="B19" s="5">
        <v>5</v>
      </c>
      <c r="C19" s="4" t="s">
        <v>63</v>
      </c>
    </row>
    <row r="20" spans="1:3" x14ac:dyDescent="0.25">
      <c r="A20" s="4" t="s">
        <v>18</v>
      </c>
      <c r="B20" s="5">
        <v>8</v>
      </c>
      <c r="C20" s="4" t="s">
        <v>64</v>
      </c>
    </row>
    <row r="21" spans="1:3" x14ac:dyDescent="0.25">
      <c r="A21" s="4" t="s">
        <v>19</v>
      </c>
      <c r="B21" s="5">
        <f>B19*B20</f>
        <v>40</v>
      </c>
      <c r="C21" s="4"/>
    </row>
    <row r="22" spans="1:3" x14ac:dyDescent="0.25">
      <c r="A22" s="4" t="s">
        <v>20</v>
      </c>
      <c r="B22" s="5">
        <v>1.5</v>
      </c>
      <c r="C22" s="4" t="s">
        <v>62</v>
      </c>
    </row>
    <row r="23" spans="1:3" x14ac:dyDescent="0.25">
      <c r="A23" s="4" t="s">
        <v>21</v>
      </c>
      <c r="B23" s="5">
        <v>0.9</v>
      </c>
      <c r="C23" s="4" t="s">
        <v>60</v>
      </c>
    </row>
    <row r="24" spans="1:3" x14ac:dyDescent="0.25">
      <c r="A24" s="4" t="s">
        <v>22</v>
      </c>
      <c r="B24" s="5">
        <v>0.95</v>
      </c>
      <c r="C24" s="4" t="s">
        <v>61</v>
      </c>
    </row>
    <row r="25" spans="1:3" x14ac:dyDescent="0.25">
      <c r="A25" s="4" t="s">
        <v>23</v>
      </c>
      <c r="B25" s="5">
        <v>0.95</v>
      </c>
      <c r="C25" s="4" t="s">
        <v>24</v>
      </c>
    </row>
    <row r="26" spans="1:3" x14ac:dyDescent="0.25">
      <c r="A26" s="4" t="s">
        <v>25</v>
      </c>
      <c r="B26" s="5">
        <f>B22*B23*B24</f>
        <v>1.2825</v>
      </c>
      <c r="C26" s="4"/>
    </row>
    <row r="27" spans="1:3" x14ac:dyDescent="0.25">
      <c r="A27" s="4" t="s">
        <v>26</v>
      </c>
      <c r="B27" s="5">
        <f>B26*B16*B25</f>
        <v>9.2596499999999988</v>
      </c>
      <c r="C27" s="4"/>
    </row>
    <row r="28" spans="1:3" x14ac:dyDescent="0.25">
      <c r="A28" s="4" t="s">
        <v>27</v>
      </c>
      <c r="B28" s="5">
        <f>MIN(B21,B27)</f>
        <v>9.2596499999999988</v>
      </c>
      <c r="C28" s="4" t="s">
        <v>28</v>
      </c>
    </row>
    <row r="29" spans="1:3" x14ac:dyDescent="0.25">
      <c r="A29" s="4"/>
      <c r="B29" s="7"/>
      <c r="C29" s="4"/>
    </row>
    <row r="30" spans="1:3" x14ac:dyDescent="0.25">
      <c r="A30" s="2" t="s">
        <v>29</v>
      </c>
      <c r="B30" s="3"/>
      <c r="C30" s="2"/>
    </row>
    <row r="31" spans="1:3" x14ac:dyDescent="0.25">
      <c r="A31" s="4" t="s">
        <v>30</v>
      </c>
      <c r="B31" s="5">
        <v>100</v>
      </c>
      <c r="C31" s="4"/>
    </row>
    <row r="32" spans="1:3" x14ac:dyDescent="0.25">
      <c r="A32" s="4" t="s">
        <v>31</v>
      </c>
      <c r="B32" s="5">
        <v>30</v>
      </c>
      <c r="C32" s="4"/>
    </row>
    <row r="33" spans="1:3" x14ac:dyDescent="0.25">
      <c r="A33" s="4" t="s">
        <v>32</v>
      </c>
      <c r="B33" s="5">
        <v>20</v>
      </c>
      <c r="C33" s="4"/>
    </row>
    <row r="34" spans="1:3" x14ac:dyDescent="0.25">
      <c r="A34" s="4" t="s">
        <v>33</v>
      </c>
      <c r="B34" s="5">
        <v>150</v>
      </c>
      <c r="C34" s="4"/>
    </row>
    <row r="35" spans="1:3" x14ac:dyDescent="0.25">
      <c r="A35" s="4" t="s">
        <v>34</v>
      </c>
      <c r="B35" s="5">
        <v>10</v>
      </c>
      <c r="C35" s="4" t="s">
        <v>68</v>
      </c>
    </row>
    <row r="36" spans="1:3" x14ac:dyDescent="0.25">
      <c r="A36" s="4" t="s">
        <v>35</v>
      </c>
      <c r="B36" s="5">
        <v>5</v>
      </c>
      <c r="C36" s="4" t="s">
        <v>69</v>
      </c>
    </row>
    <row r="37" spans="1:3" x14ac:dyDescent="0.25">
      <c r="A37" s="4" t="s">
        <v>36</v>
      </c>
      <c r="B37" s="5">
        <v>7.5</v>
      </c>
      <c r="C37" s="4" t="s">
        <v>65</v>
      </c>
    </row>
    <row r="38" spans="1:3" x14ac:dyDescent="0.25">
      <c r="A38" s="4" t="s">
        <v>37</v>
      </c>
      <c r="B38" s="5">
        <f>24-B37</f>
        <v>16.5</v>
      </c>
      <c r="C38" s="4"/>
    </row>
    <row r="39" spans="1:3" x14ac:dyDescent="0.25">
      <c r="A39" s="4" t="s">
        <v>38</v>
      </c>
      <c r="B39" s="6">
        <f>B31+B32+IF(B40&gt;0,B33/B40,0)</f>
        <v>132.22222222222223</v>
      </c>
      <c r="C39" s="4"/>
    </row>
    <row r="40" spans="1:3" x14ac:dyDescent="0.25">
      <c r="A40" s="4" t="s">
        <v>39</v>
      </c>
      <c r="B40" s="5">
        <f>B9+B19</f>
        <v>9</v>
      </c>
      <c r="C40" s="4"/>
    </row>
    <row r="41" spans="1:3" x14ac:dyDescent="0.25">
      <c r="A41" s="4" t="s">
        <v>40</v>
      </c>
      <c r="B41" s="6">
        <f>IF(B38&gt;0,B39/B38,"")</f>
        <v>8.0134680134680139</v>
      </c>
      <c r="C41" s="4" t="s">
        <v>66</v>
      </c>
    </row>
    <row r="42" spans="1:3" x14ac:dyDescent="0.25">
      <c r="A42" s="4"/>
      <c r="B42" s="7"/>
      <c r="C42" s="4"/>
    </row>
    <row r="43" spans="1:3" x14ac:dyDescent="0.25">
      <c r="A43" s="2" t="s">
        <v>41</v>
      </c>
      <c r="B43" s="3"/>
      <c r="C43" s="2"/>
    </row>
    <row r="44" spans="1:3" x14ac:dyDescent="0.25">
      <c r="A44" s="4" t="s">
        <v>42</v>
      </c>
      <c r="B44" s="6">
        <f>B6*B28</f>
        <v>370.38599999999997</v>
      </c>
      <c r="C44" s="4"/>
    </row>
    <row r="45" spans="1:3" x14ac:dyDescent="0.25">
      <c r="A45" s="4" t="s">
        <v>43</v>
      </c>
      <c r="B45" s="6">
        <f>B35*B11+B36*B28</f>
        <v>446.29825</v>
      </c>
      <c r="C45" s="4" t="s">
        <v>44</v>
      </c>
    </row>
    <row r="46" spans="1:3" x14ac:dyDescent="0.25">
      <c r="A46" s="4" t="s">
        <v>45</v>
      </c>
      <c r="B46" s="6">
        <f>B39*B40</f>
        <v>1190</v>
      </c>
      <c r="C46" s="4"/>
    </row>
    <row r="47" spans="1:3" x14ac:dyDescent="0.25">
      <c r="A47" s="4" t="s">
        <v>46</v>
      </c>
      <c r="B47" s="6">
        <f>B46+B45+B34</f>
        <v>1786.2982500000001</v>
      </c>
      <c r="C47" s="4"/>
    </row>
    <row r="48" spans="1:3" x14ac:dyDescent="0.25">
      <c r="A48" s="4" t="s">
        <v>47</v>
      </c>
      <c r="B48" s="6">
        <f>B44-B47</f>
        <v>-1415.9122500000001</v>
      </c>
      <c r="C48" s="4"/>
    </row>
    <row r="49" spans="1:3" x14ac:dyDescent="0.25">
      <c r="A49" s="4" t="s">
        <v>48</v>
      </c>
      <c r="B49" s="5">
        <f>B11+B28</f>
        <v>49.259650000000001</v>
      </c>
      <c r="C49" s="4"/>
    </row>
    <row r="50" spans="1:3" x14ac:dyDescent="0.25">
      <c r="A50" s="4" t="s">
        <v>49</v>
      </c>
      <c r="B50" s="6">
        <f>IF(B49&gt;0,B48/B49,"")</f>
        <v>-28.743855264907488</v>
      </c>
      <c r="C50" s="4" t="s">
        <v>67</v>
      </c>
    </row>
    <row r="51" spans="1:3" x14ac:dyDescent="0.25">
      <c r="A51" s="4" t="s">
        <v>50</v>
      </c>
      <c r="B51" s="8">
        <f>IF(B49&gt;0,B28/B49,"")</f>
        <v>0.18797636605213391</v>
      </c>
      <c r="C51" s="4"/>
    </row>
    <row r="53" spans="1:3" x14ac:dyDescent="0.25">
      <c r="A53" s="2" t="s">
        <v>77</v>
      </c>
      <c r="B53" s="3"/>
      <c r="C53" s="2"/>
    </row>
    <row r="54" spans="1:3" x14ac:dyDescent="0.25">
      <c r="A54" s="10" t="s">
        <v>78</v>
      </c>
      <c r="B54" s="11">
        <f>B47/B27</f>
        <v>192.91207011064137</v>
      </c>
    </row>
    <row r="55" spans="1:3" x14ac:dyDescent="0.25">
      <c r="A55" s="10" t="s">
        <v>79</v>
      </c>
      <c r="B55" s="12">
        <v>100000</v>
      </c>
    </row>
    <row r="56" spans="1:3" x14ac:dyDescent="0.25">
      <c r="A56" s="10" t="s">
        <v>80</v>
      </c>
      <c r="B56">
        <f>2*B27*12</f>
        <v>222.23159999999996</v>
      </c>
    </row>
    <row r="57" spans="1:3" x14ac:dyDescent="0.25">
      <c r="A57" s="10" t="s">
        <v>81</v>
      </c>
      <c r="B57" s="12">
        <f>B55/B56</f>
        <v>449.98101080134427</v>
      </c>
    </row>
    <row r="58" spans="1:3" x14ac:dyDescent="0.25">
      <c r="A58" s="10" t="s">
        <v>82</v>
      </c>
      <c r="B58">
        <f>B56/52</f>
        <v>4.2736846153846146</v>
      </c>
    </row>
  </sheetData>
  <conditionalFormatting sqref="B50">
    <cfRule type="cellIs" dxfId="6" priority="1" operator="lessThan">
      <formula>0</formula>
    </cfRule>
    <cfRule type="cellIs" dxfId="7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FF1C-6422-4C2B-A341-D3BC39303A83}">
  <dimension ref="A1:C58"/>
  <sheetViews>
    <sheetView topLeftCell="A36" workbookViewId="0">
      <selection activeCell="B65" sqref="B65"/>
    </sheetView>
  </sheetViews>
  <sheetFormatPr defaultRowHeight="15" x14ac:dyDescent="0.25"/>
  <cols>
    <col min="1" max="1" width="64" customWidth="1"/>
    <col min="2" max="2" width="22" customWidth="1"/>
    <col min="3" max="3" width="113.85546875" customWidth="1"/>
  </cols>
  <sheetData>
    <row r="1" spans="1:3" ht="18.75" x14ac:dyDescent="0.3">
      <c r="A1" s="1" t="s">
        <v>0</v>
      </c>
    </row>
    <row r="3" spans="1:3" x14ac:dyDescent="0.25">
      <c r="A3" s="2" t="s">
        <v>1</v>
      </c>
      <c r="B3" s="3"/>
      <c r="C3" s="2"/>
    </row>
    <row r="4" spans="1:3" x14ac:dyDescent="0.25">
      <c r="A4" s="4" t="s">
        <v>2</v>
      </c>
      <c r="B4" s="5">
        <v>3.7</v>
      </c>
      <c r="C4" s="4"/>
    </row>
    <row r="5" spans="1:3" x14ac:dyDescent="0.25">
      <c r="A5" s="4" t="s">
        <v>3</v>
      </c>
      <c r="B5" s="5">
        <v>38</v>
      </c>
      <c r="C5" s="4"/>
    </row>
    <row r="6" spans="1:3" x14ac:dyDescent="0.25">
      <c r="A6" s="4" t="s">
        <v>4</v>
      </c>
      <c r="B6" s="6">
        <f>B4*B5</f>
        <v>140.6</v>
      </c>
      <c r="C6" s="4"/>
    </row>
    <row r="7" spans="1:3" x14ac:dyDescent="0.25">
      <c r="A7" s="4"/>
      <c r="B7" s="7"/>
      <c r="C7" s="4"/>
    </row>
    <row r="8" spans="1:3" x14ac:dyDescent="0.25">
      <c r="A8" s="2" t="s">
        <v>5</v>
      </c>
      <c r="B8" s="3"/>
      <c r="C8" s="2"/>
    </row>
    <row r="9" spans="1:3" x14ac:dyDescent="0.25">
      <c r="A9" s="4" t="s">
        <v>6</v>
      </c>
      <c r="B9" s="5">
        <v>4</v>
      </c>
      <c r="C9" s="4"/>
    </row>
    <row r="10" spans="1:3" x14ac:dyDescent="0.25">
      <c r="A10" s="4" t="s">
        <v>7</v>
      </c>
      <c r="B10" s="5">
        <v>10</v>
      </c>
      <c r="C10" s="4"/>
    </row>
    <row r="11" spans="1:3" x14ac:dyDescent="0.25">
      <c r="A11" s="4" t="s">
        <v>8</v>
      </c>
      <c r="B11" s="5">
        <f>B9*B10</f>
        <v>40</v>
      </c>
      <c r="C11" s="4"/>
    </row>
    <row r="12" spans="1:3" x14ac:dyDescent="0.25">
      <c r="A12" s="4" t="s">
        <v>9</v>
      </c>
      <c r="B12" s="5">
        <v>0.1</v>
      </c>
      <c r="C12" s="4"/>
    </row>
    <row r="13" spans="1:3" x14ac:dyDescent="0.25">
      <c r="A13" s="4" t="s">
        <v>10</v>
      </c>
      <c r="B13" s="5">
        <v>0.8</v>
      </c>
      <c r="C13" s="4" t="s">
        <v>70</v>
      </c>
    </row>
    <row r="14" spans="1:3" x14ac:dyDescent="0.25">
      <c r="A14" s="4" t="s">
        <v>11</v>
      </c>
      <c r="B14" s="5">
        <f>B12*B13*B11</f>
        <v>3.2000000000000006</v>
      </c>
      <c r="C14" s="4" t="s">
        <v>12</v>
      </c>
    </row>
    <row r="15" spans="1:3" x14ac:dyDescent="0.25">
      <c r="A15" s="4" t="s">
        <v>13</v>
      </c>
      <c r="B15" s="5">
        <v>0.95</v>
      </c>
      <c r="C15" s="4" t="s">
        <v>14</v>
      </c>
    </row>
    <row r="16" spans="1:3" x14ac:dyDescent="0.25">
      <c r="A16" s="4" t="s">
        <v>15</v>
      </c>
      <c r="B16" s="5">
        <f>B14*B15</f>
        <v>3.0400000000000005</v>
      </c>
      <c r="C16" s="4"/>
    </row>
    <row r="17" spans="1:3" x14ac:dyDescent="0.25">
      <c r="A17" s="4"/>
      <c r="B17" s="7"/>
      <c r="C17" s="4"/>
    </row>
    <row r="18" spans="1:3" x14ac:dyDescent="0.25">
      <c r="A18" s="2" t="s">
        <v>16</v>
      </c>
      <c r="B18" s="3"/>
      <c r="C18" s="2"/>
    </row>
    <row r="19" spans="1:3" x14ac:dyDescent="0.25">
      <c r="A19" s="4" t="s">
        <v>17</v>
      </c>
      <c r="B19" s="5">
        <v>5</v>
      </c>
      <c r="C19" s="4" t="s">
        <v>63</v>
      </c>
    </row>
    <row r="20" spans="1:3" x14ac:dyDescent="0.25">
      <c r="A20" s="4" t="s">
        <v>18</v>
      </c>
      <c r="B20" s="5">
        <v>8</v>
      </c>
      <c r="C20" s="4" t="s">
        <v>64</v>
      </c>
    </row>
    <row r="21" spans="1:3" x14ac:dyDescent="0.25">
      <c r="A21" s="4" t="s">
        <v>19</v>
      </c>
      <c r="B21" s="5">
        <f>B19*B20</f>
        <v>40</v>
      </c>
      <c r="C21" s="4"/>
    </row>
    <row r="22" spans="1:3" x14ac:dyDescent="0.25">
      <c r="A22" s="4" t="s">
        <v>20</v>
      </c>
      <c r="B22" s="5">
        <v>15</v>
      </c>
      <c r="C22" s="4" t="s">
        <v>62</v>
      </c>
    </row>
    <row r="23" spans="1:3" x14ac:dyDescent="0.25">
      <c r="A23" s="4" t="s">
        <v>21</v>
      </c>
      <c r="B23" s="5">
        <v>0.9</v>
      </c>
      <c r="C23" s="4" t="s">
        <v>60</v>
      </c>
    </row>
    <row r="24" spans="1:3" x14ac:dyDescent="0.25">
      <c r="A24" s="4" t="s">
        <v>22</v>
      </c>
      <c r="B24" s="5">
        <v>0.95</v>
      </c>
      <c r="C24" s="4" t="s">
        <v>61</v>
      </c>
    </row>
    <row r="25" spans="1:3" x14ac:dyDescent="0.25">
      <c r="A25" s="4" t="s">
        <v>23</v>
      </c>
      <c r="B25" s="5">
        <v>0.95</v>
      </c>
      <c r="C25" s="4" t="s">
        <v>24</v>
      </c>
    </row>
    <row r="26" spans="1:3" x14ac:dyDescent="0.25">
      <c r="A26" s="4" t="s">
        <v>25</v>
      </c>
      <c r="B26" s="5">
        <f>B22*B23*B24</f>
        <v>12.824999999999999</v>
      </c>
      <c r="C26" s="4"/>
    </row>
    <row r="27" spans="1:3" x14ac:dyDescent="0.25">
      <c r="A27" s="4" t="s">
        <v>26</v>
      </c>
      <c r="B27" s="5">
        <f>B26*B16*B25</f>
        <v>37.038600000000002</v>
      </c>
      <c r="C27" s="4"/>
    </row>
    <row r="28" spans="1:3" x14ac:dyDescent="0.25">
      <c r="A28" s="4" t="s">
        <v>27</v>
      </c>
      <c r="B28" s="5">
        <f>MIN(B21,B27)</f>
        <v>37.038600000000002</v>
      </c>
      <c r="C28" s="4" t="s">
        <v>28</v>
      </c>
    </row>
    <row r="29" spans="1:3" x14ac:dyDescent="0.25">
      <c r="A29" s="4"/>
      <c r="B29" s="7"/>
      <c r="C29" s="4"/>
    </row>
    <row r="30" spans="1:3" x14ac:dyDescent="0.25">
      <c r="A30" s="2" t="s">
        <v>29</v>
      </c>
      <c r="B30" s="3"/>
      <c r="C30" s="2"/>
    </row>
    <row r="31" spans="1:3" x14ac:dyDescent="0.25">
      <c r="A31" s="4" t="s">
        <v>30</v>
      </c>
      <c r="B31" s="5">
        <v>100</v>
      </c>
      <c r="C31" s="4"/>
    </row>
    <row r="32" spans="1:3" x14ac:dyDescent="0.25">
      <c r="A32" s="4" t="s">
        <v>31</v>
      </c>
      <c r="B32" s="5">
        <v>30</v>
      </c>
      <c r="C32" s="4"/>
    </row>
    <row r="33" spans="1:3" x14ac:dyDescent="0.25">
      <c r="A33" s="4" t="s">
        <v>32</v>
      </c>
      <c r="B33" s="5">
        <v>20</v>
      </c>
      <c r="C33" s="4"/>
    </row>
    <row r="34" spans="1:3" x14ac:dyDescent="0.25">
      <c r="A34" s="4" t="s">
        <v>33</v>
      </c>
      <c r="B34" s="5">
        <v>150</v>
      </c>
      <c r="C34" s="4"/>
    </row>
    <row r="35" spans="1:3" x14ac:dyDescent="0.25">
      <c r="A35" s="4" t="s">
        <v>34</v>
      </c>
      <c r="B35" s="5">
        <v>10</v>
      </c>
      <c r="C35" s="4" t="s">
        <v>68</v>
      </c>
    </row>
    <row r="36" spans="1:3" x14ac:dyDescent="0.25">
      <c r="A36" s="4" t="s">
        <v>35</v>
      </c>
      <c r="B36" s="5">
        <v>5</v>
      </c>
      <c r="C36" s="4" t="s">
        <v>69</v>
      </c>
    </row>
    <row r="37" spans="1:3" x14ac:dyDescent="0.25">
      <c r="A37" s="4" t="s">
        <v>36</v>
      </c>
      <c r="B37" s="5">
        <v>7.5</v>
      </c>
      <c r="C37" s="4" t="s">
        <v>65</v>
      </c>
    </row>
    <row r="38" spans="1:3" x14ac:dyDescent="0.25">
      <c r="A38" s="4" t="s">
        <v>37</v>
      </c>
      <c r="B38" s="5">
        <f>24-B37</f>
        <v>16.5</v>
      </c>
      <c r="C38" s="4"/>
    </row>
    <row r="39" spans="1:3" x14ac:dyDescent="0.25">
      <c r="A39" s="4" t="s">
        <v>38</v>
      </c>
      <c r="B39" s="6">
        <f>B31+B32+IF(B40&gt;0,B33/B40,0)</f>
        <v>132.22222222222223</v>
      </c>
      <c r="C39" s="4"/>
    </row>
    <row r="40" spans="1:3" x14ac:dyDescent="0.25">
      <c r="A40" s="4" t="s">
        <v>39</v>
      </c>
      <c r="B40" s="5">
        <f>B9+B19</f>
        <v>9</v>
      </c>
      <c r="C40" s="4"/>
    </row>
    <row r="41" spans="1:3" x14ac:dyDescent="0.25">
      <c r="A41" s="4" t="s">
        <v>40</v>
      </c>
      <c r="B41" s="6">
        <f>IF(B38&gt;0,B39/B38,"")</f>
        <v>8.0134680134680139</v>
      </c>
      <c r="C41" s="4" t="s">
        <v>66</v>
      </c>
    </row>
    <row r="42" spans="1:3" x14ac:dyDescent="0.25">
      <c r="A42" s="4"/>
      <c r="B42" s="7"/>
      <c r="C42" s="4"/>
    </row>
    <row r="43" spans="1:3" x14ac:dyDescent="0.25">
      <c r="A43" s="2" t="s">
        <v>41</v>
      </c>
      <c r="B43" s="3"/>
      <c r="C43" s="2"/>
    </row>
    <row r="44" spans="1:3" x14ac:dyDescent="0.25">
      <c r="A44" s="4" t="s">
        <v>42</v>
      </c>
      <c r="B44" s="6">
        <f>B6*B28</f>
        <v>5207.62716</v>
      </c>
      <c r="C44" s="4"/>
    </row>
    <row r="45" spans="1:3" x14ac:dyDescent="0.25">
      <c r="A45" s="4" t="s">
        <v>43</v>
      </c>
      <c r="B45" s="6">
        <f>B35*B11+B36*B28</f>
        <v>585.19299999999998</v>
      </c>
      <c r="C45" s="4" t="s">
        <v>44</v>
      </c>
    </row>
    <row r="46" spans="1:3" x14ac:dyDescent="0.25">
      <c r="A46" s="4" t="s">
        <v>45</v>
      </c>
      <c r="B46" s="6">
        <f>B39*B40</f>
        <v>1190</v>
      </c>
      <c r="C46" s="4"/>
    </row>
    <row r="47" spans="1:3" x14ac:dyDescent="0.25">
      <c r="A47" s="4" t="s">
        <v>46</v>
      </c>
      <c r="B47" s="6">
        <f>B46+B45+B34</f>
        <v>1925.193</v>
      </c>
      <c r="C47" s="4"/>
    </row>
    <row r="48" spans="1:3" x14ac:dyDescent="0.25">
      <c r="A48" s="4" t="s">
        <v>47</v>
      </c>
      <c r="B48" s="6">
        <f>B44-B47</f>
        <v>3282.4341599999998</v>
      </c>
      <c r="C48" s="4"/>
    </row>
    <row r="49" spans="1:3" x14ac:dyDescent="0.25">
      <c r="A49" s="4" t="s">
        <v>48</v>
      </c>
      <c r="B49" s="5">
        <f>B11+B28</f>
        <v>77.038600000000002</v>
      </c>
      <c r="C49" s="4"/>
    </row>
    <row r="50" spans="1:3" x14ac:dyDescent="0.25">
      <c r="A50" s="4" t="s">
        <v>49</v>
      </c>
      <c r="B50" s="6">
        <f>IF(B49&gt;0,B48/B49,"")</f>
        <v>42.607655902365821</v>
      </c>
      <c r="C50" s="4" t="s">
        <v>67</v>
      </c>
    </row>
    <row r="51" spans="1:3" x14ac:dyDescent="0.25">
      <c r="A51" s="4" t="s">
        <v>50</v>
      </c>
      <c r="B51" s="8">
        <f>IF(B49&gt;0,B28/B49,"")</f>
        <v>0.4807797649489996</v>
      </c>
      <c r="C51" s="4"/>
    </row>
    <row r="53" spans="1:3" x14ac:dyDescent="0.25">
      <c r="A53" s="2" t="s">
        <v>77</v>
      </c>
      <c r="B53" s="3"/>
      <c r="C53" s="2"/>
    </row>
    <row r="54" spans="1:3" x14ac:dyDescent="0.25">
      <c r="A54" s="10" t="s">
        <v>78</v>
      </c>
      <c r="B54" s="11">
        <f>B47/B27</f>
        <v>51.978017527660327</v>
      </c>
    </row>
    <row r="55" spans="1:3" x14ac:dyDescent="0.25">
      <c r="A55" s="10" t="s">
        <v>79</v>
      </c>
      <c r="B55" s="12">
        <v>100000</v>
      </c>
    </row>
    <row r="56" spans="1:3" x14ac:dyDescent="0.25">
      <c r="A56" s="10" t="s">
        <v>80</v>
      </c>
      <c r="B56">
        <f>2*B27*12</f>
        <v>888.92640000000006</v>
      </c>
    </row>
    <row r="57" spans="1:3" x14ac:dyDescent="0.25">
      <c r="A57" s="10" t="s">
        <v>81</v>
      </c>
      <c r="B57" s="12">
        <f>B55/B56</f>
        <v>112.49525270033604</v>
      </c>
    </row>
    <row r="58" spans="1:3" x14ac:dyDescent="0.25">
      <c r="A58" s="10" t="s">
        <v>82</v>
      </c>
      <c r="B58">
        <f>B56/52</f>
        <v>17.094738461538462</v>
      </c>
    </row>
  </sheetData>
  <conditionalFormatting sqref="B50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083BC-E285-4F43-A0DE-9B32FAB3BFD1}">
  <dimension ref="A1:C58"/>
  <sheetViews>
    <sheetView topLeftCell="A30" workbookViewId="0">
      <selection activeCell="A53" sqref="A53:C58"/>
    </sheetView>
  </sheetViews>
  <sheetFormatPr defaultRowHeight="15" x14ac:dyDescent="0.25"/>
  <cols>
    <col min="1" max="1" width="64" customWidth="1"/>
    <col min="2" max="2" width="22" customWidth="1"/>
    <col min="3" max="3" width="113.85546875" customWidth="1"/>
  </cols>
  <sheetData>
    <row r="1" spans="1:3" ht="18.75" x14ac:dyDescent="0.3">
      <c r="A1" s="1" t="s">
        <v>0</v>
      </c>
    </row>
    <row r="3" spans="1:3" x14ac:dyDescent="0.25">
      <c r="A3" s="2" t="s">
        <v>1</v>
      </c>
      <c r="B3" s="3"/>
      <c r="C3" s="2"/>
    </row>
    <row r="4" spans="1:3" x14ac:dyDescent="0.25">
      <c r="A4" s="4" t="s">
        <v>2</v>
      </c>
      <c r="B4" s="5">
        <v>9.65</v>
      </c>
      <c r="C4" s="4"/>
    </row>
    <row r="5" spans="1:3" x14ac:dyDescent="0.25">
      <c r="A5" s="4" t="s">
        <v>3</v>
      </c>
      <c r="B5" s="5">
        <v>30</v>
      </c>
      <c r="C5" s="4"/>
    </row>
    <row r="6" spans="1:3" x14ac:dyDescent="0.25">
      <c r="A6" s="4" t="s">
        <v>4</v>
      </c>
      <c r="B6" s="6">
        <f>B4*B5</f>
        <v>289.5</v>
      </c>
      <c r="C6" s="4"/>
    </row>
    <row r="7" spans="1:3" x14ac:dyDescent="0.25">
      <c r="A7" s="4"/>
      <c r="B7" s="7"/>
      <c r="C7" s="4"/>
    </row>
    <row r="8" spans="1:3" x14ac:dyDescent="0.25">
      <c r="A8" s="2" t="s">
        <v>5</v>
      </c>
      <c r="B8" s="3"/>
      <c r="C8" s="2"/>
    </row>
    <row r="9" spans="1:3" x14ac:dyDescent="0.25">
      <c r="A9" s="4" t="s">
        <v>6</v>
      </c>
      <c r="B9" s="5">
        <v>4</v>
      </c>
      <c r="C9" s="4"/>
    </row>
    <row r="10" spans="1:3" x14ac:dyDescent="0.25">
      <c r="A10" s="4" t="s">
        <v>7</v>
      </c>
      <c r="B10" s="5">
        <v>10</v>
      </c>
      <c r="C10" s="4"/>
    </row>
    <row r="11" spans="1:3" x14ac:dyDescent="0.25">
      <c r="A11" s="4" t="s">
        <v>8</v>
      </c>
      <c r="B11" s="5">
        <f>B9*B10</f>
        <v>40</v>
      </c>
      <c r="C11" s="4"/>
    </row>
    <row r="12" spans="1:3" x14ac:dyDescent="0.25">
      <c r="A12" s="4" t="s">
        <v>9</v>
      </c>
      <c r="B12" s="5">
        <v>0.05</v>
      </c>
      <c r="C12" s="4"/>
    </row>
    <row r="13" spans="1:3" x14ac:dyDescent="0.25">
      <c r="A13" s="4" t="s">
        <v>10</v>
      </c>
      <c r="B13" s="5">
        <v>4</v>
      </c>
      <c r="C13" s="4" t="s">
        <v>70</v>
      </c>
    </row>
    <row r="14" spans="1:3" x14ac:dyDescent="0.25">
      <c r="A14" s="4" t="s">
        <v>11</v>
      </c>
      <c r="B14" s="5">
        <f>B12*B13*B11</f>
        <v>8</v>
      </c>
      <c r="C14" s="4" t="s">
        <v>12</v>
      </c>
    </row>
    <row r="15" spans="1:3" x14ac:dyDescent="0.25">
      <c r="A15" s="4" t="s">
        <v>13</v>
      </c>
      <c r="B15" s="5">
        <v>0.95</v>
      </c>
      <c r="C15" s="4" t="s">
        <v>14</v>
      </c>
    </row>
    <row r="16" spans="1:3" x14ac:dyDescent="0.25">
      <c r="A16" s="4" t="s">
        <v>15</v>
      </c>
      <c r="B16" s="5">
        <f>B14*B15</f>
        <v>7.6</v>
      </c>
      <c r="C16" s="4"/>
    </row>
    <row r="17" spans="1:3" x14ac:dyDescent="0.25">
      <c r="A17" s="4"/>
      <c r="B17" s="7"/>
      <c r="C17" s="4"/>
    </row>
    <row r="18" spans="1:3" x14ac:dyDescent="0.25">
      <c r="A18" s="2" t="s">
        <v>16</v>
      </c>
      <c r="B18" s="3"/>
      <c r="C18" s="2"/>
    </row>
    <row r="19" spans="1:3" x14ac:dyDescent="0.25">
      <c r="A19" s="4" t="s">
        <v>17</v>
      </c>
      <c r="B19" s="5">
        <v>5</v>
      </c>
      <c r="C19" s="4" t="s">
        <v>63</v>
      </c>
    </row>
    <row r="20" spans="1:3" x14ac:dyDescent="0.25">
      <c r="A20" s="4" t="s">
        <v>18</v>
      </c>
      <c r="B20" s="5">
        <v>8</v>
      </c>
      <c r="C20" s="4" t="s">
        <v>64</v>
      </c>
    </row>
    <row r="21" spans="1:3" x14ac:dyDescent="0.25">
      <c r="A21" s="4" t="s">
        <v>19</v>
      </c>
      <c r="B21" s="5">
        <f>B19*B20</f>
        <v>40</v>
      </c>
      <c r="C21" s="4"/>
    </row>
    <row r="22" spans="1:3" x14ac:dyDescent="0.25">
      <c r="A22" s="4" t="s">
        <v>20</v>
      </c>
      <c r="B22" s="5">
        <v>1.5</v>
      </c>
      <c r="C22" s="4" t="s">
        <v>62</v>
      </c>
    </row>
    <row r="23" spans="1:3" x14ac:dyDescent="0.25">
      <c r="A23" s="4" t="s">
        <v>21</v>
      </c>
      <c r="B23" s="5">
        <v>0.9</v>
      </c>
      <c r="C23" s="4" t="s">
        <v>60</v>
      </c>
    </row>
    <row r="24" spans="1:3" x14ac:dyDescent="0.25">
      <c r="A24" s="4" t="s">
        <v>22</v>
      </c>
      <c r="B24" s="5">
        <v>0.95</v>
      </c>
      <c r="C24" s="4" t="s">
        <v>61</v>
      </c>
    </row>
    <row r="25" spans="1:3" x14ac:dyDescent="0.25">
      <c r="A25" s="4" t="s">
        <v>23</v>
      </c>
      <c r="B25" s="5">
        <v>0.95</v>
      </c>
      <c r="C25" s="4" t="s">
        <v>24</v>
      </c>
    </row>
    <row r="26" spans="1:3" x14ac:dyDescent="0.25">
      <c r="A26" s="4" t="s">
        <v>25</v>
      </c>
      <c r="B26" s="5">
        <f>B22*B23*B24</f>
        <v>1.2825</v>
      </c>
      <c r="C26" s="4"/>
    </row>
    <row r="27" spans="1:3" x14ac:dyDescent="0.25">
      <c r="A27" s="4" t="s">
        <v>26</v>
      </c>
      <c r="B27" s="5">
        <f>B26*B16*B25</f>
        <v>9.2596499999999988</v>
      </c>
      <c r="C27" s="4"/>
    </row>
    <row r="28" spans="1:3" x14ac:dyDescent="0.25">
      <c r="A28" s="4" t="s">
        <v>27</v>
      </c>
      <c r="B28" s="5">
        <f>MIN(B21,B27)</f>
        <v>9.2596499999999988</v>
      </c>
      <c r="C28" s="4" t="s">
        <v>28</v>
      </c>
    </row>
    <row r="29" spans="1:3" x14ac:dyDescent="0.25">
      <c r="A29" s="4"/>
      <c r="B29" s="7"/>
      <c r="C29" s="4"/>
    </row>
    <row r="30" spans="1:3" x14ac:dyDescent="0.25">
      <c r="A30" s="2" t="s">
        <v>29</v>
      </c>
      <c r="B30" s="3"/>
      <c r="C30" s="2"/>
    </row>
    <row r="31" spans="1:3" x14ac:dyDescent="0.25">
      <c r="A31" s="4" t="s">
        <v>30</v>
      </c>
      <c r="B31" s="5">
        <v>100</v>
      </c>
      <c r="C31" s="4"/>
    </row>
    <row r="32" spans="1:3" x14ac:dyDescent="0.25">
      <c r="A32" s="4" t="s">
        <v>31</v>
      </c>
      <c r="B32" s="5">
        <v>30</v>
      </c>
      <c r="C32" s="4"/>
    </row>
    <row r="33" spans="1:3" x14ac:dyDescent="0.25">
      <c r="A33" s="4" t="s">
        <v>32</v>
      </c>
      <c r="B33" s="5">
        <v>20</v>
      </c>
      <c r="C33" s="4"/>
    </row>
    <row r="34" spans="1:3" x14ac:dyDescent="0.25">
      <c r="A34" s="4" t="s">
        <v>33</v>
      </c>
      <c r="B34" s="5">
        <v>150</v>
      </c>
      <c r="C34" s="4"/>
    </row>
    <row r="35" spans="1:3" x14ac:dyDescent="0.25">
      <c r="A35" s="4" t="s">
        <v>34</v>
      </c>
      <c r="B35" s="5">
        <v>10</v>
      </c>
      <c r="C35" s="4" t="s">
        <v>68</v>
      </c>
    </row>
    <row r="36" spans="1:3" x14ac:dyDescent="0.25">
      <c r="A36" s="4" t="s">
        <v>35</v>
      </c>
      <c r="B36" s="5">
        <v>5</v>
      </c>
      <c r="C36" s="4" t="s">
        <v>69</v>
      </c>
    </row>
    <row r="37" spans="1:3" x14ac:dyDescent="0.25">
      <c r="A37" s="4" t="s">
        <v>36</v>
      </c>
      <c r="B37" s="5">
        <v>7.5</v>
      </c>
      <c r="C37" s="4" t="s">
        <v>65</v>
      </c>
    </row>
    <row r="38" spans="1:3" x14ac:dyDescent="0.25">
      <c r="A38" s="4" t="s">
        <v>37</v>
      </c>
      <c r="B38" s="5">
        <f>24-B37</f>
        <v>16.5</v>
      </c>
      <c r="C38" s="4"/>
    </row>
    <row r="39" spans="1:3" x14ac:dyDescent="0.25">
      <c r="A39" s="4" t="s">
        <v>38</v>
      </c>
      <c r="B39" s="6">
        <f>B31+B32+IF(B40&gt;0,B33/B40,0)</f>
        <v>132.22222222222223</v>
      </c>
      <c r="C39" s="4"/>
    </row>
    <row r="40" spans="1:3" x14ac:dyDescent="0.25">
      <c r="A40" s="4" t="s">
        <v>39</v>
      </c>
      <c r="B40" s="5">
        <f>B9+B19</f>
        <v>9</v>
      </c>
      <c r="C40" s="4"/>
    </row>
    <row r="41" spans="1:3" x14ac:dyDescent="0.25">
      <c r="A41" s="4" t="s">
        <v>40</v>
      </c>
      <c r="B41" s="6">
        <f>IF(B38&gt;0,B39/B38,"")</f>
        <v>8.0134680134680139</v>
      </c>
      <c r="C41" s="4" t="s">
        <v>66</v>
      </c>
    </row>
    <row r="42" spans="1:3" x14ac:dyDescent="0.25">
      <c r="A42" s="4"/>
      <c r="B42" s="7"/>
      <c r="C42" s="4"/>
    </row>
    <row r="43" spans="1:3" x14ac:dyDescent="0.25">
      <c r="A43" s="2" t="s">
        <v>41</v>
      </c>
      <c r="B43" s="3"/>
      <c r="C43" s="2"/>
    </row>
    <row r="44" spans="1:3" x14ac:dyDescent="0.25">
      <c r="A44" s="4" t="s">
        <v>42</v>
      </c>
      <c r="B44" s="6">
        <f>B6*B28</f>
        <v>2680.6686749999994</v>
      </c>
      <c r="C44" s="4"/>
    </row>
    <row r="45" spans="1:3" x14ac:dyDescent="0.25">
      <c r="A45" s="4" t="s">
        <v>43</v>
      </c>
      <c r="B45" s="6">
        <f>B35*B11+B36*B28</f>
        <v>446.29825</v>
      </c>
      <c r="C45" s="4" t="s">
        <v>44</v>
      </c>
    </row>
    <row r="46" spans="1:3" x14ac:dyDescent="0.25">
      <c r="A46" s="4" t="s">
        <v>45</v>
      </c>
      <c r="B46" s="6">
        <f>B39*B40</f>
        <v>1190</v>
      </c>
      <c r="C46" s="4"/>
    </row>
    <row r="47" spans="1:3" x14ac:dyDescent="0.25">
      <c r="A47" s="4" t="s">
        <v>46</v>
      </c>
      <c r="B47" s="6">
        <f>B46+B45+B34</f>
        <v>1786.2982500000001</v>
      </c>
      <c r="C47" s="4"/>
    </row>
    <row r="48" spans="1:3" x14ac:dyDescent="0.25">
      <c r="A48" s="4" t="s">
        <v>47</v>
      </c>
      <c r="B48" s="6">
        <f>B44-B47</f>
        <v>894.37042499999939</v>
      </c>
      <c r="C48" s="4"/>
    </row>
    <row r="49" spans="1:3" x14ac:dyDescent="0.25">
      <c r="A49" s="4" t="s">
        <v>48</v>
      </c>
      <c r="B49" s="5">
        <f>B11+B28</f>
        <v>49.259650000000001</v>
      </c>
      <c r="C49" s="4"/>
    </row>
    <row r="50" spans="1:3" x14ac:dyDescent="0.25">
      <c r="A50" s="4" t="s">
        <v>49</v>
      </c>
      <c r="B50" s="6">
        <f>IF(B49&gt;0,B48/B49,"")</f>
        <v>18.156248065099923</v>
      </c>
      <c r="C50" s="4" t="s">
        <v>67</v>
      </c>
    </row>
    <row r="51" spans="1:3" x14ac:dyDescent="0.25">
      <c r="A51" s="4" t="s">
        <v>50</v>
      </c>
      <c r="B51" s="8">
        <f>IF(B49&gt;0,B28/B49,"")</f>
        <v>0.18797636605213391</v>
      </c>
      <c r="C51" s="4"/>
    </row>
    <row r="53" spans="1:3" x14ac:dyDescent="0.25">
      <c r="A53" s="2" t="s">
        <v>77</v>
      </c>
      <c r="B53" s="3"/>
      <c r="C53" s="2"/>
    </row>
    <row r="54" spans="1:3" x14ac:dyDescent="0.25">
      <c r="A54" s="10" t="s">
        <v>78</v>
      </c>
      <c r="B54" s="11">
        <f>B47/B27</f>
        <v>192.91207011064137</v>
      </c>
    </row>
    <row r="55" spans="1:3" x14ac:dyDescent="0.25">
      <c r="A55" s="10" t="s">
        <v>79</v>
      </c>
      <c r="B55" s="12">
        <v>100000</v>
      </c>
    </row>
    <row r="56" spans="1:3" x14ac:dyDescent="0.25">
      <c r="A56" s="10" t="s">
        <v>80</v>
      </c>
      <c r="B56">
        <f>2*B27*12</f>
        <v>222.23159999999996</v>
      </c>
    </row>
    <row r="57" spans="1:3" x14ac:dyDescent="0.25">
      <c r="A57" s="10" t="s">
        <v>81</v>
      </c>
      <c r="B57" s="12">
        <f>B55/B56</f>
        <v>449.98101080134427</v>
      </c>
    </row>
    <row r="58" spans="1:3" x14ac:dyDescent="0.25">
      <c r="A58" s="10" t="s">
        <v>82</v>
      </c>
      <c r="B58">
        <f>B56/52</f>
        <v>4.2736846153846146</v>
      </c>
    </row>
  </sheetData>
  <conditionalFormatting sqref="B50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90B2-D119-48FB-BEF7-D971921EAC52}">
  <dimension ref="A1:C58"/>
  <sheetViews>
    <sheetView topLeftCell="A27" workbookViewId="0">
      <selection activeCell="C57" sqref="C57"/>
    </sheetView>
  </sheetViews>
  <sheetFormatPr defaultRowHeight="15" x14ac:dyDescent="0.25"/>
  <cols>
    <col min="1" max="1" width="64" customWidth="1"/>
    <col min="2" max="2" width="22" customWidth="1"/>
    <col min="3" max="3" width="113.85546875" customWidth="1"/>
  </cols>
  <sheetData>
    <row r="1" spans="1:3" ht="18.75" x14ac:dyDescent="0.3">
      <c r="A1" s="1" t="s">
        <v>0</v>
      </c>
    </row>
    <row r="3" spans="1:3" x14ac:dyDescent="0.25">
      <c r="A3" s="2" t="s">
        <v>1</v>
      </c>
      <c r="B3" s="3"/>
      <c r="C3" s="2"/>
    </row>
    <row r="4" spans="1:3" x14ac:dyDescent="0.25">
      <c r="A4" s="4" t="s">
        <v>2</v>
      </c>
      <c r="B4" s="5">
        <v>9.65</v>
      </c>
      <c r="C4" s="4"/>
    </row>
    <row r="5" spans="1:3" x14ac:dyDescent="0.25">
      <c r="A5" s="4" t="s">
        <v>3</v>
      </c>
      <c r="B5" s="5">
        <v>30</v>
      </c>
      <c r="C5" s="4"/>
    </row>
    <row r="6" spans="1:3" x14ac:dyDescent="0.25">
      <c r="A6" s="4" t="s">
        <v>4</v>
      </c>
      <c r="B6" s="6">
        <f>B4*B5</f>
        <v>289.5</v>
      </c>
      <c r="C6" s="4"/>
    </row>
    <row r="7" spans="1:3" x14ac:dyDescent="0.25">
      <c r="A7" s="4"/>
      <c r="B7" s="7"/>
      <c r="C7" s="4"/>
    </row>
    <row r="8" spans="1:3" x14ac:dyDescent="0.25">
      <c r="A8" s="2" t="s">
        <v>5</v>
      </c>
      <c r="B8" s="3"/>
      <c r="C8" s="2"/>
    </row>
    <row r="9" spans="1:3" x14ac:dyDescent="0.25">
      <c r="A9" s="4" t="s">
        <v>6</v>
      </c>
      <c r="B9" s="5">
        <v>4</v>
      </c>
      <c r="C9" s="4"/>
    </row>
    <row r="10" spans="1:3" x14ac:dyDescent="0.25">
      <c r="A10" s="4" t="s">
        <v>7</v>
      </c>
      <c r="B10" s="5">
        <v>10</v>
      </c>
      <c r="C10" s="4"/>
    </row>
    <row r="11" spans="1:3" x14ac:dyDescent="0.25">
      <c r="A11" s="4" t="s">
        <v>8</v>
      </c>
      <c r="B11" s="5">
        <f>B9*B10</f>
        <v>40</v>
      </c>
      <c r="C11" s="4"/>
    </row>
    <row r="12" spans="1:3" x14ac:dyDescent="0.25">
      <c r="A12" s="4" t="s">
        <v>9</v>
      </c>
      <c r="B12" s="5">
        <v>0.05</v>
      </c>
      <c r="C12" s="4"/>
    </row>
    <row r="13" spans="1:3" x14ac:dyDescent="0.25">
      <c r="A13" s="4" t="s">
        <v>10</v>
      </c>
      <c r="B13" s="5">
        <v>2</v>
      </c>
      <c r="C13" s="4" t="s">
        <v>70</v>
      </c>
    </row>
    <row r="14" spans="1:3" x14ac:dyDescent="0.25">
      <c r="A14" s="4" t="s">
        <v>11</v>
      </c>
      <c r="B14" s="5">
        <f>B12*B13*B11</f>
        <v>4</v>
      </c>
      <c r="C14" s="4" t="s">
        <v>12</v>
      </c>
    </row>
    <row r="15" spans="1:3" x14ac:dyDescent="0.25">
      <c r="A15" s="4" t="s">
        <v>13</v>
      </c>
      <c r="B15" s="5">
        <v>0.95</v>
      </c>
      <c r="C15" s="4" t="s">
        <v>14</v>
      </c>
    </row>
    <row r="16" spans="1:3" x14ac:dyDescent="0.25">
      <c r="A16" s="4" t="s">
        <v>15</v>
      </c>
      <c r="B16" s="5">
        <f>B14*B15</f>
        <v>3.8</v>
      </c>
      <c r="C16" s="4"/>
    </row>
    <row r="17" spans="1:3" x14ac:dyDescent="0.25">
      <c r="A17" s="4"/>
      <c r="B17" s="7"/>
      <c r="C17" s="4"/>
    </row>
    <row r="18" spans="1:3" x14ac:dyDescent="0.25">
      <c r="A18" s="2" t="s">
        <v>16</v>
      </c>
      <c r="B18" s="3"/>
      <c r="C18" s="2"/>
    </row>
    <row r="19" spans="1:3" x14ac:dyDescent="0.25">
      <c r="A19" s="4" t="s">
        <v>17</v>
      </c>
      <c r="B19" s="5">
        <v>5</v>
      </c>
      <c r="C19" s="4" t="s">
        <v>63</v>
      </c>
    </row>
    <row r="20" spans="1:3" x14ac:dyDescent="0.25">
      <c r="A20" s="4" t="s">
        <v>18</v>
      </c>
      <c r="B20" s="5">
        <v>8</v>
      </c>
      <c r="C20" s="4" t="s">
        <v>64</v>
      </c>
    </row>
    <row r="21" spans="1:3" x14ac:dyDescent="0.25">
      <c r="A21" s="4" t="s">
        <v>19</v>
      </c>
      <c r="B21" s="5">
        <f>B19*B20</f>
        <v>40</v>
      </c>
      <c r="C21" s="4"/>
    </row>
    <row r="22" spans="1:3" x14ac:dyDescent="0.25">
      <c r="A22" s="4" t="s">
        <v>20</v>
      </c>
      <c r="B22" s="5">
        <v>5.3</v>
      </c>
      <c r="C22" s="4" t="s">
        <v>62</v>
      </c>
    </row>
    <row r="23" spans="1:3" x14ac:dyDescent="0.25">
      <c r="A23" s="4" t="s">
        <v>21</v>
      </c>
      <c r="B23" s="5">
        <v>0.9</v>
      </c>
      <c r="C23" s="4" t="s">
        <v>60</v>
      </c>
    </row>
    <row r="24" spans="1:3" x14ac:dyDescent="0.25">
      <c r="A24" s="4" t="s">
        <v>22</v>
      </c>
      <c r="B24" s="5">
        <v>0.95</v>
      </c>
      <c r="C24" s="4" t="s">
        <v>61</v>
      </c>
    </row>
    <row r="25" spans="1:3" x14ac:dyDescent="0.25">
      <c r="A25" s="4" t="s">
        <v>23</v>
      </c>
      <c r="B25" s="5">
        <v>0.95</v>
      </c>
      <c r="C25" s="4" t="s">
        <v>24</v>
      </c>
    </row>
    <row r="26" spans="1:3" x14ac:dyDescent="0.25">
      <c r="A26" s="4" t="s">
        <v>25</v>
      </c>
      <c r="B26" s="5">
        <f>B22*B23*B24</f>
        <v>4.5314999999999994</v>
      </c>
      <c r="C26" s="4"/>
    </row>
    <row r="27" spans="1:3" x14ac:dyDescent="0.25">
      <c r="A27" s="4" t="s">
        <v>26</v>
      </c>
      <c r="B27" s="5">
        <f>B26*B16*B25</f>
        <v>16.358714999999997</v>
      </c>
      <c r="C27" s="4"/>
    </row>
    <row r="28" spans="1:3" x14ac:dyDescent="0.25">
      <c r="A28" s="4" t="s">
        <v>27</v>
      </c>
      <c r="B28" s="5">
        <f>MIN(B21,B27)</f>
        <v>16.358714999999997</v>
      </c>
      <c r="C28" s="4" t="s">
        <v>28</v>
      </c>
    </row>
    <row r="29" spans="1:3" x14ac:dyDescent="0.25">
      <c r="A29" s="4"/>
      <c r="B29" s="7"/>
      <c r="C29" s="4"/>
    </row>
    <row r="30" spans="1:3" x14ac:dyDescent="0.25">
      <c r="A30" s="2" t="s">
        <v>29</v>
      </c>
      <c r="B30" s="3"/>
      <c r="C30" s="2"/>
    </row>
    <row r="31" spans="1:3" x14ac:dyDescent="0.25">
      <c r="A31" s="4" t="s">
        <v>30</v>
      </c>
      <c r="B31" s="5">
        <v>100</v>
      </c>
      <c r="C31" s="4"/>
    </row>
    <row r="32" spans="1:3" x14ac:dyDescent="0.25">
      <c r="A32" s="4" t="s">
        <v>31</v>
      </c>
      <c r="B32" s="5">
        <v>30</v>
      </c>
      <c r="C32" s="4"/>
    </row>
    <row r="33" spans="1:3" x14ac:dyDescent="0.25">
      <c r="A33" s="4" t="s">
        <v>32</v>
      </c>
      <c r="B33" s="5">
        <v>20</v>
      </c>
      <c r="C33" s="4"/>
    </row>
    <row r="34" spans="1:3" x14ac:dyDescent="0.25">
      <c r="A34" s="4" t="s">
        <v>33</v>
      </c>
      <c r="B34" s="5">
        <v>150</v>
      </c>
      <c r="C34" s="4"/>
    </row>
    <row r="35" spans="1:3" x14ac:dyDescent="0.25">
      <c r="A35" s="4" t="s">
        <v>34</v>
      </c>
      <c r="B35" s="5">
        <v>10</v>
      </c>
      <c r="C35" s="4" t="s">
        <v>68</v>
      </c>
    </row>
    <row r="36" spans="1:3" x14ac:dyDescent="0.25">
      <c r="A36" s="4" t="s">
        <v>35</v>
      </c>
      <c r="B36" s="5">
        <v>5</v>
      </c>
      <c r="C36" s="4" t="s">
        <v>69</v>
      </c>
    </row>
    <row r="37" spans="1:3" x14ac:dyDescent="0.25">
      <c r="A37" s="4" t="s">
        <v>36</v>
      </c>
      <c r="B37" s="5">
        <v>7.5</v>
      </c>
      <c r="C37" s="4" t="s">
        <v>65</v>
      </c>
    </row>
    <row r="38" spans="1:3" x14ac:dyDescent="0.25">
      <c r="A38" s="4" t="s">
        <v>37</v>
      </c>
      <c r="B38" s="5">
        <f>24-B37</f>
        <v>16.5</v>
      </c>
      <c r="C38" s="4"/>
    </row>
    <row r="39" spans="1:3" x14ac:dyDescent="0.25">
      <c r="A39" s="4" t="s">
        <v>38</v>
      </c>
      <c r="B39" s="6">
        <f>B31+B32+IF(B40&gt;0,B33/B40,0)</f>
        <v>132.22222222222223</v>
      </c>
      <c r="C39" s="4"/>
    </row>
    <row r="40" spans="1:3" x14ac:dyDescent="0.25">
      <c r="A40" s="4" t="s">
        <v>39</v>
      </c>
      <c r="B40" s="5">
        <f>B9+B19</f>
        <v>9</v>
      </c>
      <c r="C40" s="4"/>
    </row>
    <row r="41" spans="1:3" x14ac:dyDescent="0.25">
      <c r="A41" s="4" t="s">
        <v>40</v>
      </c>
      <c r="B41" s="6">
        <f>IF(B38&gt;0,B39/B38,"")</f>
        <v>8.0134680134680139</v>
      </c>
      <c r="C41" s="4" t="s">
        <v>66</v>
      </c>
    </row>
    <row r="42" spans="1:3" x14ac:dyDescent="0.25">
      <c r="A42" s="4"/>
      <c r="B42" s="7"/>
      <c r="C42" s="4"/>
    </row>
    <row r="43" spans="1:3" x14ac:dyDescent="0.25">
      <c r="A43" s="2" t="s">
        <v>41</v>
      </c>
      <c r="B43" s="3"/>
      <c r="C43" s="2"/>
    </row>
    <row r="44" spans="1:3" x14ac:dyDescent="0.25">
      <c r="A44" s="4" t="s">
        <v>42</v>
      </c>
      <c r="B44" s="6">
        <f>B6*B28</f>
        <v>4735.8479924999992</v>
      </c>
      <c r="C44" s="4"/>
    </row>
    <row r="45" spans="1:3" x14ac:dyDescent="0.25">
      <c r="A45" s="4" t="s">
        <v>43</v>
      </c>
      <c r="B45" s="6">
        <f>B35*B11+B36*B28</f>
        <v>481.79357499999998</v>
      </c>
      <c r="C45" s="4" t="s">
        <v>44</v>
      </c>
    </row>
    <row r="46" spans="1:3" x14ac:dyDescent="0.25">
      <c r="A46" s="4" t="s">
        <v>45</v>
      </c>
      <c r="B46" s="6">
        <f>B39*B40</f>
        <v>1190</v>
      </c>
      <c r="C46" s="4"/>
    </row>
    <row r="47" spans="1:3" x14ac:dyDescent="0.25">
      <c r="A47" s="4" t="s">
        <v>46</v>
      </c>
      <c r="B47" s="6">
        <f>B46+B45+B34</f>
        <v>1821.7935749999999</v>
      </c>
      <c r="C47" s="4"/>
    </row>
    <row r="48" spans="1:3" x14ac:dyDescent="0.25">
      <c r="A48" s="4" t="s">
        <v>47</v>
      </c>
      <c r="B48" s="6">
        <f>B44-B47</f>
        <v>2914.0544174999995</v>
      </c>
      <c r="C48" s="4"/>
    </row>
    <row r="49" spans="1:3" x14ac:dyDescent="0.25">
      <c r="A49" s="4" t="s">
        <v>48</v>
      </c>
      <c r="B49" s="5">
        <f>B11+B28</f>
        <v>56.358714999999997</v>
      </c>
      <c r="C49" s="4"/>
    </row>
    <row r="50" spans="1:3" x14ac:dyDescent="0.25">
      <c r="A50" s="4" t="s">
        <v>49</v>
      </c>
      <c r="B50" s="6">
        <f>IF(B49&gt;0,B48/B49,"")</f>
        <v>51.705480110751282</v>
      </c>
      <c r="C50" s="4" t="s">
        <v>67</v>
      </c>
    </row>
    <row r="51" spans="1:3" x14ac:dyDescent="0.25">
      <c r="A51" s="4" t="s">
        <v>50</v>
      </c>
      <c r="B51" s="8">
        <f>IF(B49&gt;0,B28/B49,"")</f>
        <v>0.29026061009375387</v>
      </c>
      <c r="C51" s="4"/>
    </row>
    <row r="53" spans="1:3" x14ac:dyDescent="0.25">
      <c r="A53" s="2" t="s">
        <v>77</v>
      </c>
      <c r="B53" s="3"/>
      <c r="C53" s="2"/>
    </row>
    <row r="54" spans="1:3" x14ac:dyDescent="0.25">
      <c r="A54" s="10" t="s">
        <v>78</v>
      </c>
      <c r="B54" s="11">
        <f>B47/B27</f>
        <v>111.36532270413662</v>
      </c>
    </row>
    <row r="55" spans="1:3" x14ac:dyDescent="0.25">
      <c r="A55" s="10" t="s">
        <v>79</v>
      </c>
      <c r="B55" s="12">
        <v>100000</v>
      </c>
    </row>
    <row r="56" spans="1:3" x14ac:dyDescent="0.25">
      <c r="A56" s="10" t="s">
        <v>80</v>
      </c>
      <c r="B56">
        <f>2*B27*12</f>
        <v>392.60915999999992</v>
      </c>
    </row>
    <row r="57" spans="1:3" x14ac:dyDescent="0.25">
      <c r="A57" s="10" t="s">
        <v>81</v>
      </c>
      <c r="B57" s="12">
        <f>B55/B56</f>
        <v>254.70623252906279</v>
      </c>
    </row>
    <row r="58" spans="1:3" x14ac:dyDescent="0.25">
      <c r="A58" s="10" t="s">
        <v>82</v>
      </c>
      <c r="B58">
        <f>B56/52</f>
        <v>7.5501761538461523</v>
      </c>
    </row>
  </sheetData>
  <conditionalFormatting sqref="B5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Inputs_Results</vt:lpstr>
      <vt:lpstr>Notes</vt:lpstr>
      <vt:lpstr>Small - RR</vt:lpstr>
      <vt:lpstr>Small - Standard</vt:lpstr>
      <vt:lpstr>Large - RR</vt:lpstr>
      <vt:lpstr>Large - Standard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Albanese, Nolan J.</cp:lastModifiedBy>
  <dcterms:created xsi:type="dcterms:W3CDTF">2025-08-12T16:51:39Z</dcterms:created>
  <dcterms:modified xsi:type="dcterms:W3CDTF">2025-08-12T21:10:52Z</dcterms:modified>
</cp:coreProperties>
</file>