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christopher_beach_student_manchester_ac_uk/Documents/Postdoc/Light Sensor/WTISSF-Light-Sensor/hardware/fr4/Production Docs/"/>
    </mc:Choice>
  </mc:AlternateContent>
  <xr:revisionPtr revIDLastSave="412" documentId="8_{D0F1A090-0A3A-44FC-95AF-402CC0016C4F}" xr6:coauthVersionLast="46" xr6:coauthVersionMax="46" xr10:uidLastSave="{ECE380EB-27B1-4D55-A5AB-06E54A64D2D3}"/>
  <bookViews>
    <workbookView xWindow="1830" yWindow="1830" windowWidth="17280" windowHeight="10224" xr2:uid="{7D446A16-FF59-4778-8F2A-38659066F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G22" i="1"/>
  <c r="H22" i="1"/>
  <c r="J18" i="1"/>
  <c r="H18" i="1"/>
  <c r="I18" i="1"/>
  <c r="G18" i="1"/>
  <c r="F18" i="1"/>
  <c r="J8" i="1"/>
  <c r="I8" i="1"/>
  <c r="H8" i="1"/>
  <c r="G8" i="1"/>
  <c r="J3" i="1"/>
  <c r="I3" i="1"/>
  <c r="H3" i="1"/>
  <c r="G3" i="1"/>
  <c r="F3" i="1"/>
  <c r="J14" i="1"/>
  <c r="I14" i="1"/>
  <c r="H14" i="1"/>
  <c r="G14" i="1"/>
  <c r="J13" i="1"/>
  <c r="I13" i="1"/>
  <c r="H13" i="1"/>
  <c r="G13" i="1"/>
  <c r="I26" i="1"/>
  <c r="J26" i="1"/>
  <c r="H26" i="1"/>
  <c r="G26" i="1"/>
  <c r="J25" i="1"/>
  <c r="I25" i="1"/>
  <c r="H25" i="1"/>
  <c r="G25" i="1"/>
  <c r="F25" i="1"/>
  <c r="J24" i="1"/>
  <c r="I24" i="1"/>
  <c r="H24" i="1"/>
  <c r="G24" i="1"/>
  <c r="J23" i="1"/>
  <c r="H23" i="1"/>
  <c r="G23" i="1"/>
  <c r="J21" i="1"/>
  <c r="G21" i="1"/>
  <c r="J20" i="1"/>
  <c r="G20" i="1"/>
  <c r="J19" i="1"/>
  <c r="G19" i="1"/>
  <c r="J12" i="1"/>
  <c r="I12" i="1"/>
  <c r="H12" i="1"/>
  <c r="G12" i="1"/>
  <c r="J11" i="1"/>
  <c r="I11" i="1"/>
  <c r="H11" i="1"/>
  <c r="G11" i="1"/>
  <c r="J17" i="1"/>
  <c r="I17" i="1"/>
  <c r="H17" i="1"/>
  <c r="G17" i="1"/>
  <c r="F17" i="1"/>
  <c r="I16" i="1"/>
  <c r="H16" i="1"/>
  <c r="G16" i="1"/>
  <c r="F16" i="1"/>
  <c r="J15" i="1"/>
  <c r="H15" i="1"/>
  <c r="I15" i="1"/>
  <c r="G15" i="1"/>
  <c r="J10" i="1"/>
  <c r="I10" i="1"/>
  <c r="H10" i="1"/>
  <c r="G10" i="1"/>
  <c r="G9" i="1"/>
  <c r="J9" i="1"/>
  <c r="I9" i="1"/>
  <c r="H9" i="1"/>
  <c r="J7" i="1"/>
  <c r="I7" i="1"/>
  <c r="J6" i="1"/>
  <c r="I6" i="1"/>
  <c r="J4" i="1"/>
  <c r="I4" i="1"/>
  <c r="H4" i="1"/>
  <c r="G4" i="1"/>
  <c r="J5" i="1"/>
  <c r="I5" i="1"/>
  <c r="G5" i="1"/>
  <c r="H5" i="1"/>
  <c r="J2" i="1"/>
  <c r="I2" i="1"/>
  <c r="H2" i="1"/>
  <c r="F2" i="1"/>
  <c r="G2" i="1" s="1"/>
  <c r="G30" i="1" l="1"/>
  <c r="I30" i="1"/>
  <c r="F30" i="1"/>
  <c r="G31" i="1"/>
  <c r="J31" i="1"/>
  <c r="H31" i="1"/>
  <c r="J30" i="1"/>
  <c r="H30" i="1"/>
  <c r="I31" i="1"/>
  <c r="F31" i="1"/>
</calcChain>
</file>

<file path=xl/sharedStrings.xml><?xml version="1.0" encoding="utf-8"?>
<sst xmlns="http://schemas.openxmlformats.org/spreadsheetml/2006/main" count="105" uniqueCount="84">
  <si>
    <t>Designator</t>
  </si>
  <si>
    <t>Quantity</t>
  </si>
  <si>
    <t>Comment</t>
  </si>
  <si>
    <t>Supplier</t>
  </si>
  <si>
    <t>Part No.</t>
  </si>
  <si>
    <t>0603 1uF</t>
  </si>
  <si>
    <t>Digi-Key</t>
  </si>
  <si>
    <t>399-7376-1-ND</t>
  </si>
  <si>
    <t>C1, C3, C4, C5</t>
  </si>
  <si>
    <t>0603 0.1uF</t>
  </si>
  <si>
    <t xml:space="preserve">399-1281-1-ND	</t>
  </si>
  <si>
    <t>C7</t>
  </si>
  <si>
    <t>0805 1uF tant</t>
  </si>
  <si>
    <t>478-13321-1-ND</t>
  </si>
  <si>
    <t>C6</t>
  </si>
  <si>
    <t>0603 4.7uF</t>
  </si>
  <si>
    <t>399-3482-1-ND</t>
  </si>
  <si>
    <t>D1</t>
  </si>
  <si>
    <t>0603 LED</t>
  </si>
  <si>
    <t>Farnell</t>
  </si>
  <si>
    <t xml:space="preserve">	3514756</t>
  </si>
  <si>
    <t>J1</t>
  </si>
  <si>
    <t>USB C</t>
  </si>
  <si>
    <t>RS</t>
  </si>
  <si>
    <t>201-7049</t>
  </si>
  <si>
    <t>U1</t>
  </si>
  <si>
    <t>Light Sensor</t>
  </si>
  <si>
    <t>U2</t>
  </si>
  <si>
    <t>BLE Radio</t>
  </si>
  <si>
    <t>Cheap from Digikey, stock expected 26th May</t>
  </si>
  <si>
    <t xml:space="preserve">	BL652-SA-01-CT-ND</t>
  </si>
  <si>
    <t>Accelerometer</t>
  </si>
  <si>
    <t>ADXL346ACCZ-RL7CT-ND</t>
  </si>
  <si>
    <t>R1</t>
  </si>
  <si>
    <t>0603 20R</t>
  </si>
  <si>
    <t>R2, R3, R4</t>
  </si>
  <si>
    <t>0603 10k</t>
  </si>
  <si>
    <t>P20GCT-ND</t>
  </si>
  <si>
    <t>R6, R7</t>
  </si>
  <si>
    <t>P5.1KGCT-ND</t>
  </si>
  <si>
    <t>0603 5k1</t>
  </si>
  <si>
    <t>U3</t>
  </si>
  <si>
    <t>U4</t>
  </si>
  <si>
    <t>Charge Controller</t>
  </si>
  <si>
    <t>Mouser</t>
  </si>
  <si>
    <t>579-MCP73812T-420IOT</t>
  </si>
  <si>
    <t>U5</t>
  </si>
  <si>
    <t>1V8 regulator</t>
  </si>
  <si>
    <t xml:space="preserve">	296-2700-1-ND</t>
  </si>
  <si>
    <t>R8</t>
  </si>
  <si>
    <t>0603 20k</t>
  </si>
  <si>
    <t>R9</t>
  </si>
  <si>
    <t>0603 6M2</t>
  </si>
  <si>
    <t xml:space="preserve">	P6.2MGCT-ND</t>
  </si>
  <si>
    <t>R10</t>
  </si>
  <si>
    <t>0603 3M9</t>
  </si>
  <si>
    <t>P3.9MGCT-ND</t>
  </si>
  <si>
    <t>R11</t>
  </si>
  <si>
    <t xml:space="preserve">P68KGCT-ND	</t>
  </si>
  <si>
    <t>0603 68k</t>
  </si>
  <si>
    <t>R12</t>
  </si>
  <si>
    <t>0603 33k</t>
  </si>
  <si>
    <t>SW1</t>
  </si>
  <si>
    <t>Slide Switch</t>
  </si>
  <si>
    <t>563-1004-1-ND</t>
  </si>
  <si>
    <t>B1</t>
  </si>
  <si>
    <t>Battery Holder</t>
  </si>
  <si>
    <t>NO REF</t>
  </si>
  <si>
    <t>P1, P2</t>
  </si>
  <si>
    <t>Programming Header</t>
  </si>
  <si>
    <t>LiIon Coin Cell</t>
  </si>
  <si>
    <t>Price per Unit</t>
  </si>
  <si>
    <t>Total cost</t>
  </si>
  <si>
    <t>U6</t>
  </si>
  <si>
    <t>U7</t>
  </si>
  <si>
    <t>Temperature sensor</t>
  </si>
  <si>
    <t>Flash Memory</t>
  </si>
  <si>
    <t xml:space="preserve">	175-MAX31889ALT+-ND</t>
  </si>
  <si>
    <t xml:space="preserve">	1265-1280-1-ND</t>
  </si>
  <si>
    <t>C2, C8, C9, C10, C11</t>
  </si>
  <si>
    <t>985-AS7341-DLGM</t>
  </si>
  <si>
    <t>P20KGCT-ND</t>
  </si>
  <si>
    <t>P33KGCT-ND</t>
  </si>
  <si>
    <t>P10KGCT-ND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</si>
</sst>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0" fontId="0" fillId="0" borderId="0" xfId="0" quotePrefix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0BA0-4A44-43DE-8A2C-427526C31C93}">
  <dimension ref="A1:L31"/>
  <sheetViews>
    <sheetView tabSelected="1" workbookViewId="0">
      <selection activeCell="B16" sqref="B16"/>
    </sheetView>
  </sheetViews>
  <sheetFormatPr defaultRowHeight="14.4" x14ac:dyDescent="0.55000000000000004"/>
  <cols>
    <col min="1" max="1" width="16.578125" bestFit="1" customWidth="1"/>
    <col min="3" max="3" width="20" bestFit="1" customWidth="1"/>
    <col min="4" max="4" width="12.26171875" customWidth="1"/>
    <col min="5" max="5" width="21.1015625" bestFit="1" customWidth="1"/>
    <col min="7" max="7" width="8.578125" bestFit="1" customWidth="1"/>
    <col min="8" max="10" width="9.578125" bestFit="1" customWidth="1"/>
  </cols>
  <sheetData>
    <row r="1" spans="1:12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1</v>
      </c>
      <c r="G1" s="2">
        <v>2</v>
      </c>
      <c r="H1" s="2">
        <v>5</v>
      </c>
      <c r="I1" s="2">
        <v>10</v>
      </c>
      <c r="J1" s="2">
        <v>20</v>
      </c>
    </row>
    <row r="2" spans="1:12" x14ac:dyDescent="0.55000000000000004">
      <c r="A2" t="s">
        <v>8</v>
      </c>
      <c r="B2">
        <v>4</v>
      </c>
      <c r="C2" t="s">
        <v>5</v>
      </c>
      <c r="D2" t="s">
        <v>6</v>
      </c>
      <c r="E2" s="1" t="s">
        <v>7</v>
      </c>
      <c r="F2" s="3">
        <f>0.2*4</f>
        <v>0.8</v>
      </c>
      <c r="G2" s="3">
        <f>F2*2</f>
        <v>1.6</v>
      </c>
      <c r="H2" s="3">
        <f>0.137*12</f>
        <v>1.6440000000000001</v>
      </c>
      <c r="I2" s="3">
        <f>0.137*40</f>
        <v>5.48</v>
      </c>
      <c r="J2" s="3">
        <f>0.091*80</f>
        <v>7.2799999999999994</v>
      </c>
    </row>
    <row r="3" spans="1:12" x14ac:dyDescent="0.55000000000000004">
      <c r="A3" t="s">
        <v>79</v>
      </c>
      <c r="B3">
        <v>5</v>
      </c>
      <c r="C3" t="s">
        <v>9</v>
      </c>
      <c r="D3" t="s">
        <v>6</v>
      </c>
      <c r="E3" s="1" t="s">
        <v>10</v>
      </c>
      <c r="F3" s="3">
        <f>0.08*5</f>
        <v>0.4</v>
      </c>
      <c r="G3" s="3">
        <f>0.059*10</f>
        <v>0.59</v>
      </c>
      <c r="H3" s="3">
        <f>0.059*25</f>
        <v>1.4749999999999999</v>
      </c>
      <c r="I3" s="3">
        <f>0.0322*50</f>
        <v>1.6099999999999999</v>
      </c>
      <c r="J3" s="3">
        <f>0.0263*100</f>
        <v>2.63</v>
      </c>
    </row>
    <row r="4" spans="1:12" x14ac:dyDescent="0.55000000000000004">
      <c r="A4" t="s">
        <v>14</v>
      </c>
      <c r="B4">
        <v>1</v>
      </c>
      <c r="C4" t="s">
        <v>15</v>
      </c>
      <c r="D4" t="s">
        <v>6</v>
      </c>
      <c r="E4" s="1" t="s">
        <v>16</v>
      </c>
      <c r="F4" s="3">
        <v>0.12</v>
      </c>
      <c r="G4" s="3">
        <f>0.12*2</f>
        <v>0.24</v>
      </c>
      <c r="H4" s="3">
        <f>0.12*5</f>
        <v>0.6</v>
      </c>
      <c r="I4" s="3">
        <f>0.086*10</f>
        <v>0.85999999999999988</v>
      </c>
      <c r="J4" s="3">
        <f>0.086*20</f>
        <v>1.7199999999999998</v>
      </c>
    </row>
    <row r="5" spans="1:12" x14ac:dyDescent="0.55000000000000004">
      <c r="A5" t="s">
        <v>11</v>
      </c>
      <c r="B5">
        <v>1</v>
      </c>
      <c r="C5" t="s">
        <v>12</v>
      </c>
      <c r="D5" t="s">
        <v>6</v>
      </c>
      <c r="E5" t="s">
        <v>13</v>
      </c>
      <c r="F5" s="3">
        <v>0.78</v>
      </c>
      <c r="G5" s="3">
        <f>0.78*2</f>
        <v>1.56</v>
      </c>
      <c r="H5" s="3">
        <f>0.78*5</f>
        <v>3.9000000000000004</v>
      </c>
      <c r="I5" s="3">
        <f>0.613*10</f>
        <v>6.13</v>
      </c>
      <c r="J5" s="3">
        <f>0.613*10</f>
        <v>6.13</v>
      </c>
    </row>
    <row r="6" spans="1:12" x14ac:dyDescent="0.55000000000000004">
      <c r="A6" t="s">
        <v>17</v>
      </c>
      <c r="B6">
        <v>1</v>
      </c>
      <c r="C6" t="s">
        <v>18</v>
      </c>
      <c r="D6" t="s">
        <v>19</v>
      </c>
      <c r="E6" t="s">
        <v>20</v>
      </c>
      <c r="F6" s="3">
        <v>0.27839999999999998</v>
      </c>
      <c r="G6" s="3">
        <v>0.27839999999999998</v>
      </c>
      <c r="H6" s="3">
        <v>0.27839999999999998</v>
      </c>
      <c r="I6" s="3">
        <f>0.2784*2</f>
        <v>0.55679999999999996</v>
      </c>
      <c r="J6" s="3">
        <f>0.2784*20</f>
        <v>5.5679999999999996</v>
      </c>
    </row>
    <row r="7" spans="1:12" x14ac:dyDescent="0.55000000000000004">
      <c r="A7" t="s">
        <v>21</v>
      </c>
      <c r="B7">
        <v>1</v>
      </c>
      <c r="C7" t="s">
        <v>22</v>
      </c>
      <c r="D7" t="s">
        <v>23</v>
      </c>
      <c r="E7" t="s">
        <v>24</v>
      </c>
      <c r="F7" s="3">
        <v>5.57</v>
      </c>
      <c r="G7" s="3">
        <v>5.57</v>
      </c>
      <c r="H7" s="3">
        <v>5.57</v>
      </c>
      <c r="I7" s="3">
        <f>5.57*2</f>
        <v>11.14</v>
      </c>
      <c r="J7" s="3">
        <f>5.31*4</f>
        <v>21.24</v>
      </c>
    </row>
    <row r="8" spans="1:12" x14ac:dyDescent="0.55000000000000004">
      <c r="A8" t="s">
        <v>25</v>
      </c>
      <c r="B8">
        <v>1</v>
      </c>
      <c r="C8" t="s">
        <v>26</v>
      </c>
      <c r="D8" t="s">
        <v>44</v>
      </c>
      <c r="E8" t="s">
        <v>80</v>
      </c>
      <c r="F8" s="3">
        <v>6.98</v>
      </c>
      <c r="G8" s="3">
        <f>6.98*2</f>
        <v>13.96</v>
      </c>
      <c r="H8" s="3">
        <f>6.98*5</f>
        <v>34.900000000000006</v>
      </c>
      <c r="I8" s="3">
        <f>6.28*10</f>
        <v>62.800000000000004</v>
      </c>
      <c r="J8" s="3">
        <f>6.28*20</f>
        <v>125.60000000000001</v>
      </c>
    </row>
    <row r="9" spans="1:12" x14ac:dyDescent="0.55000000000000004">
      <c r="A9" t="s">
        <v>27</v>
      </c>
      <c r="B9">
        <v>1</v>
      </c>
      <c r="C9" t="s">
        <v>28</v>
      </c>
      <c r="D9" t="s">
        <v>6</v>
      </c>
      <c r="E9" t="s">
        <v>30</v>
      </c>
      <c r="F9" s="3">
        <v>5.36</v>
      </c>
      <c r="G9" s="3">
        <f>5.36*2</f>
        <v>10.72</v>
      </c>
      <c r="H9" s="3">
        <f>5.36*5</f>
        <v>26.8</v>
      </c>
      <c r="I9" s="3">
        <f>5.36*10</f>
        <v>53.6</v>
      </c>
      <c r="J9" s="3">
        <f>5.36*20</f>
        <v>107.2</v>
      </c>
      <c r="L9" s="2" t="s">
        <v>29</v>
      </c>
    </row>
    <row r="10" spans="1:12" x14ac:dyDescent="0.55000000000000004">
      <c r="A10" t="s">
        <v>41</v>
      </c>
      <c r="B10">
        <v>1</v>
      </c>
      <c r="C10" t="s">
        <v>31</v>
      </c>
      <c r="D10" t="s">
        <v>6</v>
      </c>
      <c r="E10" t="s">
        <v>32</v>
      </c>
      <c r="F10" s="3">
        <v>4.6500000000000004</v>
      </c>
      <c r="G10" s="3">
        <f>4.65*2</f>
        <v>9.3000000000000007</v>
      </c>
      <c r="H10" s="3">
        <f>4.65*5</f>
        <v>23.25</v>
      </c>
      <c r="I10" s="3">
        <f>4.176*10</f>
        <v>41.760000000000005</v>
      </c>
      <c r="J10" s="3">
        <f>4.176*20</f>
        <v>83.52000000000001</v>
      </c>
    </row>
    <row r="11" spans="1:12" x14ac:dyDescent="0.55000000000000004">
      <c r="A11" t="s">
        <v>42</v>
      </c>
      <c r="B11">
        <v>1</v>
      </c>
      <c r="C11" t="s">
        <v>43</v>
      </c>
      <c r="D11" t="s">
        <v>44</v>
      </c>
      <c r="E11" t="s">
        <v>45</v>
      </c>
      <c r="F11" s="3">
        <v>0.435</v>
      </c>
      <c r="G11" s="3">
        <f>0.435*2</f>
        <v>0.87</v>
      </c>
      <c r="H11" s="3">
        <f>0.435*5</f>
        <v>2.1749999999999998</v>
      </c>
      <c r="I11" s="3">
        <f>0.435*10</f>
        <v>4.3499999999999996</v>
      </c>
      <c r="J11" s="3">
        <f>0.435*20</f>
        <v>8.6999999999999993</v>
      </c>
    </row>
    <row r="12" spans="1:12" x14ac:dyDescent="0.55000000000000004">
      <c r="A12" t="s">
        <v>46</v>
      </c>
      <c r="B12">
        <v>1</v>
      </c>
      <c r="C12" t="s">
        <v>47</v>
      </c>
      <c r="D12" t="s">
        <v>6</v>
      </c>
      <c r="E12" t="s">
        <v>48</v>
      </c>
      <c r="F12" s="3">
        <v>0.71</v>
      </c>
      <c r="G12" s="3">
        <f>0.71*2</f>
        <v>1.42</v>
      </c>
      <c r="H12" s="3">
        <f>0.71*5</f>
        <v>3.55</v>
      </c>
      <c r="I12" s="3">
        <f>0.634*10</f>
        <v>6.34</v>
      </c>
      <c r="J12" s="3">
        <f>0.634*20</f>
        <v>12.68</v>
      </c>
    </row>
    <row r="13" spans="1:12" x14ac:dyDescent="0.55000000000000004">
      <c r="A13" t="s">
        <v>73</v>
      </c>
      <c r="B13">
        <v>1</v>
      </c>
      <c r="C13" t="s">
        <v>75</v>
      </c>
      <c r="D13" t="s">
        <v>6</v>
      </c>
      <c r="E13" t="s">
        <v>77</v>
      </c>
      <c r="F13" s="3">
        <v>2.4900000000000002</v>
      </c>
      <c r="G13" s="3">
        <f>2.49*2</f>
        <v>4.9800000000000004</v>
      </c>
      <c r="H13" s="3">
        <f>2.49*5</f>
        <v>12.450000000000001</v>
      </c>
      <c r="I13" s="3">
        <f>2.234*10</f>
        <v>22.34</v>
      </c>
      <c r="J13" s="3">
        <f>2.234*20</f>
        <v>44.68</v>
      </c>
    </row>
    <row r="14" spans="1:12" x14ac:dyDescent="0.55000000000000004">
      <c r="A14" t="s">
        <v>74</v>
      </c>
      <c r="B14">
        <v>1</v>
      </c>
      <c r="C14" t="s">
        <v>76</v>
      </c>
      <c r="D14" t="s">
        <v>6</v>
      </c>
      <c r="E14" t="s">
        <v>78</v>
      </c>
      <c r="F14" s="3">
        <v>1.07</v>
      </c>
      <c r="G14" s="3">
        <f>1.07*2</f>
        <v>2.14</v>
      </c>
      <c r="H14" s="3">
        <f>1.07*5</f>
        <v>5.3500000000000005</v>
      </c>
      <c r="I14" s="3">
        <f>0.976*10</f>
        <v>9.76</v>
      </c>
      <c r="J14" s="3">
        <f>0.976*20</f>
        <v>19.52</v>
      </c>
    </row>
    <row r="15" spans="1:12" x14ac:dyDescent="0.55000000000000004">
      <c r="A15" t="s">
        <v>33</v>
      </c>
      <c r="B15">
        <v>1</v>
      </c>
      <c r="C15" t="s">
        <v>34</v>
      </c>
      <c r="D15" t="s">
        <v>6</v>
      </c>
      <c r="E15" t="s">
        <v>37</v>
      </c>
      <c r="F15" s="3">
        <v>7.0000000000000007E-2</v>
      </c>
      <c r="G15" s="3">
        <f>0.07*2</f>
        <v>0.14000000000000001</v>
      </c>
      <c r="H15" s="3">
        <f>0.024*10</f>
        <v>0.24</v>
      </c>
      <c r="I15" s="3">
        <f>0.024*10</f>
        <v>0.24</v>
      </c>
      <c r="J15" s="3">
        <f>0.024*20</f>
        <v>0.48</v>
      </c>
    </row>
    <row r="16" spans="1:12" x14ac:dyDescent="0.55000000000000004">
      <c r="A16" t="s">
        <v>35</v>
      </c>
      <c r="B16">
        <v>3</v>
      </c>
      <c r="C16" t="s">
        <v>36</v>
      </c>
      <c r="D16" t="s">
        <v>6</v>
      </c>
      <c r="E16" s="6" t="s">
        <v>83</v>
      </c>
      <c r="F16" s="3">
        <f>0.07*3</f>
        <v>0.21000000000000002</v>
      </c>
      <c r="G16" s="3">
        <f>0.07*6</f>
        <v>0.42000000000000004</v>
      </c>
      <c r="H16" s="3">
        <f>0.065*15</f>
        <v>0.97500000000000009</v>
      </c>
      <c r="I16" s="3">
        <f>0.065*30</f>
        <v>1.9500000000000002</v>
      </c>
      <c r="J16" s="3">
        <v>2.48</v>
      </c>
    </row>
    <row r="17" spans="1:10" x14ac:dyDescent="0.55000000000000004">
      <c r="A17" t="s">
        <v>38</v>
      </c>
      <c r="B17">
        <v>2</v>
      </c>
      <c r="C17" t="s">
        <v>40</v>
      </c>
      <c r="D17" t="s">
        <v>6</v>
      </c>
      <c r="E17" s="4" t="s">
        <v>39</v>
      </c>
      <c r="F17" s="3">
        <f>0.07*4</f>
        <v>0.28000000000000003</v>
      </c>
      <c r="G17" s="3">
        <f>0.029*10</f>
        <v>0.29000000000000004</v>
      </c>
      <c r="H17" s="3">
        <f>0.029*10</f>
        <v>0.29000000000000004</v>
      </c>
      <c r="I17" s="3">
        <f>0.029*20</f>
        <v>0.58000000000000007</v>
      </c>
      <c r="J17" s="3">
        <f>0.029*40</f>
        <v>1.1600000000000001</v>
      </c>
    </row>
    <row r="18" spans="1:10" x14ac:dyDescent="0.55000000000000004">
      <c r="A18" t="s">
        <v>49</v>
      </c>
      <c r="B18">
        <v>1</v>
      </c>
      <c r="C18" t="s">
        <v>50</v>
      </c>
      <c r="D18" t="s">
        <v>6</v>
      </c>
      <c r="E18" t="s">
        <v>81</v>
      </c>
      <c r="F18" s="3">
        <f>0.07</f>
        <v>7.0000000000000007E-2</v>
      </c>
      <c r="G18" s="3">
        <f>0.07*2</f>
        <v>0.14000000000000001</v>
      </c>
      <c r="H18" s="3">
        <f>0.026*10</f>
        <v>0.26</v>
      </c>
      <c r="I18" s="3">
        <f>0.026*10</f>
        <v>0.26</v>
      </c>
      <c r="J18" s="3">
        <f>0.026*20</f>
        <v>0.52</v>
      </c>
    </row>
    <row r="19" spans="1:10" x14ac:dyDescent="0.55000000000000004">
      <c r="A19" t="s">
        <v>51</v>
      </c>
      <c r="B19">
        <v>1</v>
      </c>
      <c r="C19" t="s">
        <v>52</v>
      </c>
      <c r="D19" t="s">
        <v>6</v>
      </c>
      <c r="E19" t="s">
        <v>53</v>
      </c>
      <c r="F19" s="3">
        <v>7.0000000000000007E-2</v>
      </c>
      <c r="G19" s="3">
        <f>0.07*2</f>
        <v>0.14000000000000001</v>
      </c>
      <c r="H19" s="3">
        <v>0.17</v>
      </c>
      <c r="I19" s="3">
        <v>0.17</v>
      </c>
      <c r="J19" s="3">
        <f>0.17*2</f>
        <v>0.34</v>
      </c>
    </row>
    <row r="20" spans="1:10" x14ac:dyDescent="0.55000000000000004">
      <c r="A20" t="s">
        <v>54</v>
      </c>
      <c r="B20">
        <v>1</v>
      </c>
      <c r="C20" t="s">
        <v>55</v>
      </c>
      <c r="D20" t="s">
        <v>6</v>
      </c>
      <c r="E20" t="s">
        <v>56</v>
      </c>
      <c r="F20" s="3">
        <v>7.0000000000000007E-2</v>
      </c>
      <c r="G20" s="3">
        <f>0.07*2</f>
        <v>0.14000000000000001</v>
      </c>
      <c r="H20" s="3">
        <v>0.24</v>
      </c>
      <c r="I20" s="3">
        <v>0.24</v>
      </c>
      <c r="J20" s="3">
        <f>0.24*2</f>
        <v>0.48</v>
      </c>
    </row>
    <row r="21" spans="1:10" x14ac:dyDescent="0.55000000000000004">
      <c r="A21" t="s">
        <v>57</v>
      </c>
      <c r="B21">
        <v>1</v>
      </c>
      <c r="C21" t="s">
        <v>59</v>
      </c>
      <c r="D21" t="s">
        <v>6</v>
      </c>
      <c r="E21" s="4" t="s">
        <v>58</v>
      </c>
      <c r="F21" s="3">
        <v>7.0000000000000007E-2</v>
      </c>
      <c r="G21" s="3">
        <f>0.07*2</f>
        <v>0.14000000000000001</v>
      </c>
      <c r="H21" s="3">
        <v>0.24</v>
      </c>
      <c r="I21" s="3">
        <v>0.24</v>
      </c>
      <c r="J21" s="3">
        <f>0.24*2</f>
        <v>0.48</v>
      </c>
    </row>
    <row r="22" spans="1:10" x14ac:dyDescent="0.55000000000000004">
      <c r="A22" t="s">
        <v>60</v>
      </c>
      <c r="B22">
        <v>1</v>
      </c>
      <c r="C22" t="s">
        <v>61</v>
      </c>
      <c r="D22" t="s">
        <v>6</v>
      </c>
      <c r="E22" s="4" t="s">
        <v>82</v>
      </c>
      <c r="F22" s="3">
        <v>7.0000000000000007E-2</v>
      </c>
      <c r="G22" s="3">
        <f>0.07*2</f>
        <v>0.14000000000000001</v>
      </c>
      <c r="H22" s="3">
        <f>0.024*10</f>
        <v>0.24</v>
      </c>
      <c r="I22" s="3">
        <f>0.024*10</f>
        <v>0.24</v>
      </c>
      <c r="J22" s="3">
        <f>0.024*20</f>
        <v>0.48</v>
      </c>
    </row>
    <row r="23" spans="1:10" x14ac:dyDescent="0.55000000000000004">
      <c r="A23" t="s">
        <v>62</v>
      </c>
      <c r="B23">
        <v>1</v>
      </c>
      <c r="C23" t="s">
        <v>63</v>
      </c>
      <c r="D23" t="s">
        <v>6</v>
      </c>
      <c r="E23" t="s">
        <v>64</v>
      </c>
      <c r="F23" s="3">
        <v>0.65</v>
      </c>
      <c r="G23" s="3">
        <f>0.65*2</f>
        <v>1.3</v>
      </c>
      <c r="H23" s="3">
        <f>0.65*5</f>
        <v>3.25</v>
      </c>
      <c r="I23" s="3">
        <v>6.24</v>
      </c>
      <c r="J23" s="3">
        <f>6.24*2</f>
        <v>12.48</v>
      </c>
    </row>
    <row r="24" spans="1:10" x14ac:dyDescent="0.55000000000000004">
      <c r="A24" t="s">
        <v>65</v>
      </c>
      <c r="B24">
        <v>1</v>
      </c>
      <c r="C24" t="s">
        <v>66</v>
      </c>
      <c r="D24" t="s">
        <v>19</v>
      </c>
      <c r="E24">
        <v>2064669</v>
      </c>
      <c r="F24" s="3">
        <v>0.64800000000000002</v>
      </c>
      <c r="G24" s="3">
        <f>0.648*2</f>
        <v>1.296</v>
      </c>
      <c r="H24" s="3">
        <f>0.648*5</f>
        <v>3.24</v>
      </c>
      <c r="I24" s="3">
        <f>0.648*10</f>
        <v>6.48</v>
      </c>
      <c r="J24" s="3">
        <f>0.648*20</f>
        <v>12.96</v>
      </c>
    </row>
    <row r="25" spans="1:10" x14ac:dyDescent="0.55000000000000004">
      <c r="A25" t="s">
        <v>68</v>
      </c>
      <c r="B25">
        <v>2</v>
      </c>
      <c r="C25" t="s">
        <v>69</v>
      </c>
      <c r="D25" t="s">
        <v>19</v>
      </c>
      <c r="E25">
        <v>2852606</v>
      </c>
      <c r="F25" s="3">
        <f>0.4104*5</f>
        <v>2.052</v>
      </c>
      <c r="G25" s="3">
        <f>0.4104*5</f>
        <v>2.052</v>
      </c>
      <c r="H25" s="3">
        <f>0.4104*5</f>
        <v>2.052</v>
      </c>
      <c r="I25" s="3">
        <f>0.4104*10</f>
        <v>4.1040000000000001</v>
      </c>
      <c r="J25" s="3">
        <f>0.4104*20</f>
        <v>8.2080000000000002</v>
      </c>
    </row>
    <row r="26" spans="1:10" x14ac:dyDescent="0.55000000000000004">
      <c r="A26" t="s">
        <v>67</v>
      </c>
      <c r="B26">
        <v>1</v>
      </c>
      <c r="C26" t="s">
        <v>70</v>
      </c>
      <c r="D26" t="s">
        <v>19</v>
      </c>
      <c r="E26">
        <v>2009025</v>
      </c>
      <c r="F26" s="3">
        <v>3.12</v>
      </c>
      <c r="G26" s="3">
        <f>3.12*2</f>
        <v>6.24</v>
      </c>
      <c r="H26" s="3">
        <f>3.12*5</f>
        <v>15.600000000000001</v>
      </c>
      <c r="I26" s="3">
        <f>2.868*10</f>
        <v>28.68</v>
      </c>
      <c r="J26" s="3">
        <f>2.868*20</f>
        <v>57.36</v>
      </c>
    </row>
    <row r="27" spans="1:10" x14ac:dyDescent="0.55000000000000004">
      <c r="A27" s="1"/>
      <c r="F27" s="3"/>
      <c r="G27" s="3"/>
      <c r="H27" s="3"/>
      <c r="I27" s="3"/>
      <c r="J27" s="3"/>
    </row>
    <row r="28" spans="1:10" x14ac:dyDescent="0.55000000000000004">
      <c r="A28" s="1"/>
      <c r="F28" s="3"/>
      <c r="G28" s="3"/>
      <c r="H28" s="3"/>
      <c r="I28" s="3"/>
      <c r="J28" s="3"/>
    </row>
    <row r="29" spans="1:10" x14ac:dyDescent="0.55000000000000004">
      <c r="A29" s="1"/>
      <c r="F29" s="3"/>
      <c r="G29" s="3"/>
      <c r="H29" s="3"/>
      <c r="I29" s="3"/>
      <c r="J29" s="3"/>
    </row>
    <row r="30" spans="1:10" x14ac:dyDescent="0.55000000000000004">
      <c r="A30" t="s">
        <v>72</v>
      </c>
      <c r="F30" s="3">
        <f>SUM(F2:F26)</f>
        <v>37.023400000000002</v>
      </c>
      <c r="G30" s="3">
        <f t="shared" ref="G30:J30" si="0">SUM(G2:G26)</f>
        <v>65.666399999999996</v>
      </c>
      <c r="H30" s="3">
        <f t="shared" si="0"/>
        <v>148.73939999999996</v>
      </c>
      <c r="I30" s="3">
        <f t="shared" si="0"/>
        <v>276.1508</v>
      </c>
      <c r="J30" s="3">
        <f t="shared" si="0"/>
        <v>543.89600000000007</v>
      </c>
    </row>
    <row r="31" spans="1:10" x14ac:dyDescent="0.55000000000000004">
      <c r="A31" s="2" t="s">
        <v>71</v>
      </c>
      <c r="F31" s="5">
        <f>SUM(F2:F26)</f>
        <v>37.023400000000002</v>
      </c>
      <c r="G31" s="5">
        <f>SUM(G2:G26)/G1</f>
        <v>32.833199999999998</v>
      </c>
      <c r="H31" s="5">
        <f>SUM(H2:H26)/H1</f>
        <v>29.747879999999991</v>
      </c>
      <c r="I31" s="5">
        <f>SUM(I2:I26)/I1</f>
        <v>27.615079999999999</v>
      </c>
      <c r="J31" s="5">
        <f>SUM(J2:J26)/J1</f>
        <v>27.194800000000004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2021-05-07T13:37:36Z</dcterms:created>
  <dcterms:modified xsi:type="dcterms:W3CDTF">2021-05-26T17:20:19Z</dcterms:modified>
</cp:coreProperties>
</file>