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Paper\2024_UBER_MGI_Paper\MDC\"/>
    </mc:Choice>
  </mc:AlternateContent>
  <xr:revisionPtr revIDLastSave="0" documentId="13_ncr:1_{3438509B-C25A-4166-88B9-735180751BF1}" xr6:coauthVersionLast="47" xr6:coauthVersionMax="47" xr10:uidLastSave="{00000000-0000-0000-0000-000000000000}"/>
  <bookViews>
    <workbookView xWindow="28680" yWindow="-120" windowWidth="25440" windowHeight="15270" tabRatio="907" activeTab="4" xr2:uid="{B8E74E24-62B7-47A7-AE6C-4587ADC79098}"/>
  </bookViews>
  <sheets>
    <sheet name="Dashboard" sheetId="1" r:id="rId1"/>
    <sheet name="MDC_KDF_Calculator" sheetId="5" r:id="rId2"/>
    <sheet name="Disclaimer" sheetId="7" r:id="rId3"/>
    <sheet name="Development_Roadmap" sheetId="13" r:id="rId4"/>
    <sheet name="License_Terms" sheetId="8" r:id="rId5"/>
    <sheet name="Tool Version ID" sheetId="11" r:id="rId6"/>
    <sheet name="ReferenceData_Metal_CI" sheetId="6" state="hidden" r:id="rId7"/>
    <sheet name="ReferenceData_Metal" sheetId="4" state="hidden" r:id="rId8"/>
    <sheet name="Changelog" sheetId="10" r:id="rId9"/>
    <sheet name="Impressum" sheetId="12" r:id="rId10"/>
  </sheets>
  <definedNames>
    <definedName name="KDF_M" localSheetId="6">ReferenceData_Metal_CI!$A$1:$I$12</definedName>
    <definedName name="KDF_M">ReferenceData_Metal!$A$1:$I$12</definedName>
    <definedName name="KDF_M1" localSheetId="6">ReferenceData_Metal_CI!$A$1:$I$12</definedName>
    <definedName name="KDF_M1">ReferenceData_Metal!$A$1:$I$12</definedName>
    <definedName name="KDFTable" localSheetId="7">ReferenceData_Metal!$A$1:$Y$12</definedName>
    <definedName name="KDFTable" localSheetId="6">ReferenceData_Metal_CI!$A$1:$Y$12</definedName>
    <definedName name="KDFTable">#REF!</definedName>
    <definedName name="KDFTable_M" localSheetId="6">ReferenceData_Metal_CI!$A$1:$I$12</definedName>
    <definedName name="KDFTable_M">ReferenceData_Metal!$A$1:$I$12</definedName>
    <definedName name="ReferenceData_Metal" localSheetId="6">ReferenceData_Metal_CI!$A$1:$I$12</definedName>
    <definedName name="ReferenceData_Metal">ReferenceData_Metal!$A$1:$I$12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5" l="1" a="1"/>
  <c r="D31" i="5" s="1"/>
  <c r="F15" i="5"/>
  <c r="D24" i="4"/>
  <c r="C24" i="4" s="1" a="1"/>
  <c r="C24" i="4" s="1"/>
  <c r="D25" i="4"/>
  <c r="C25" i="4" s="1" a="1"/>
  <c r="C25" i="4" s="1"/>
  <c r="D26" i="4"/>
  <c r="C26" i="4" s="1" a="1"/>
  <c r="C26" i="4" s="1"/>
  <c r="D27" i="4"/>
  <c r="C27" i="4" s="1" a="1"/>
  <c r="C27" i="4" s="1"/>
  <c r="D28" i="4"/>
  <c r="C28" i="4" s="1" a="1"/>
  <c r="C28" i="4" s="1"/>
  <c r="D29" i="4"/>
  <c r="C29" i="4" s="1" a="1"/>
  <c r="C29" i="4" s="1"/>
  <c r="D30" i="4"/>
  <c r="C30" i="4" s="1" a="1"/>
  <c r="C30" i="4" s="1"/>
  <c r="D31" i="4"/>
  <c r="C31" i="4" s="1" a="1"/>
  <c r="C31" i="4" s="1"/>
  <c r="D21" i="4"/>
  <c r="C21" i="4" s="1" a="1"/>
  <c r="C21" i="4" s="1"/>
  <c r="C19" i="4"/>
  <c r="D24" i="5"/>
  <c r="D23" i="5"/>
  <c r="D23" i="4" l="1"/>
  <c r="C23" i="4" s="1" a="1"/>
  <c r="C23" i="4" s="1"/>
  <c r="D22" i="4"/>
  <c r="C22" i="4" s="1" a="1"/>
  <c r="C22" i="4" s="1"/>
  <c r="I25" i="4"/>
  <c r="I24" i="4"/>
  <c r="D21" i="5"/>
  <c r="D20" i="5"/>
  <c r="D19" i="5"/>
  <c r="D30" i="5" l="1" a="1"/>
  <c r="D30" i="5" s="1"/>
  <c r="D37" i="5"/>
  <c r="M21" i="4"/>
  <c r="N21" i="4" s="1"/>
  <c r="O21" i="4" s="1"/>
  <c r="M31" i="4"/>
  <c r="N31" i="4" s="1"/>
  <c r="O31" i="4" s="1"/>
  <c r="M30" i="4"/>
  <c r="N30" i="4" s="1"/>
  <c r="O30" i="4" s="1"/>
  <c r="M23" i="4"/>
  <c r="N23" i="4" s="1"/>
  <c r="O23" i="4" s="1"/>
  <c r="M25" i="4"/>
  <c r="N25" i="4" s="1"/>
  <c r="O25" i="4" s="1"/>
  <c r="M28" i="4"/>
  <c r="N28" i="4" s="1"/>
  <c r="O28" i="4" s="1"/>
  <c r="M22" i="4"/>
  <c r="N22" i="4" s="1"/>
  <c r="O22" i="4" s="1"/>
  <c r="M24" i="4"/>
  <c r="N24" i="4" s="1"/>
  <c r="O24" i="4" s="1"/>
  <c r="M26" i="4"/>
  <c r="N26" i="4" s="1"/>
  <c r="O26" i="4" s="1"/>
  <c r="M27" i="4"/>
  <c r="N27" i="4" s="1"/>
  <c r="O27" i="4" s="1"/>
  <c r="M29" i="4"/>
  <c r="N29" i="4" s="1"/>
  <c r="O29" i="4" s="1"/>
  <c r="F21" i="5"/>
  <c r="E25" i="4"/>
  <c r="G25" i="4" s="1" a="1"/>
  <c r="G25" i="4" s="1"/>
  <c r="E22" i="4"/>
  <c r="G22" i="4" s="1" a="1"/>
  <c r="G22" i="4" s="1"/>
  <c r="E23" i="4"/>
  <c r="G23" i="4" s="1" a="1"/>
  <c r="G23" i="4" s="1"/>
  <c r="E24" i="4"/>
  <c r="G24" i="4" s="1" a="1"/>
  <c r="G24" i="4" s="1"/>
  <c r="E26" i="4"/>
  <c r="G26" i="4" s="1" a="1"/>
  <c r="G26" i="4" s="1"/>
  <c r="E27" i="4"/>
  <c r="G27" i="4" s="1" a="1"/>
  <c r="G27" i="4" s="1"/>
  <c r="E28" i="4"/>
  <c r="G28" i="4" s="1" a="1"/>
  <c r="G28" i="4" s="1"/>
  <c r="E21" i="4"/>
  <c r="G21" i="4" s="1" a="1"/>
  <c r="G21" i="4" s="1"/>
  <c r="D26" i="5"/>
  <c r="D42" i="5" l="1"/>
  <c r="F40" i="5"/>
  <c r="F41" i="5"/>
  <c r="F26" i="5"/>
  <c r="D34" i="5"/>
  <c r="D35" i="5" s="1"/>
  <c r="D40" i="5" s="1"/>
  <c r="K25" i="4" a="1"/>
  <c r="K25" i="4" s="1"/>
  <c r="K24" i="4" a="1"/>
  <c r="K24" i="4" s="1"/>
  <c r="I21" i="4"/>
  <c r="J29" i="4" l="1"/>
  <c r="J28" i="4"/>
  <c r="D4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tc={37FEBB5C-A84A-4B92-A3C3-9CD294D6E67C}</author>
    <author>tc={008266CF-26C4-47C4-ACD3-08EF67EE0DC7}</author>
    <author>tc={82201471-5EC5-4C26-8C34-75E37A726B7C}</author>
  </authors>
  <commentList>
    <comment ref="B30" authorId="0" shapeId="0" xr:uid="{37FEBB5C-A84A-4B92-A3C3-9CD294D6E67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Only 1 % of simulated cases fall below this value. Suitable for robust design. </t>
      </text>
    </comment>
    <comment ref="B31" authorId="1" shapeId="0" xr:uid="{008266CF-26C4-47C4-ACD3-08EF67EE0DC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Lower bound of the 1 % quantile with 99 % confidence. Adds additional safety margin. </t>
      </text>
    </comment>
    <comment ref="B34" authorId="2" shapeId="0" xr:uid="{82201471-5EC5-4C26-8C34-75E37A726B7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safety factor is applied for λ in the range 1.0 &lt; λ &lt; 1.45. It reflects additional conservatism due to limited validation. For fully validated results, use λ ≥ 1.45.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<sst xmlns="http://schemas.openxmlformats.org/spreadsheetml/2006/main" count="351" uniqueCount="275">
  <si>
    <t>It provides a practical alternative to the conservative NASA SP-8007 approach.</t>
  </si>
  <si>
    <t>Welcome!</t>
  </si>
  <si>
    <t>R/t</t>
  </si>
  <si>
    <t>L/R</t>
  </si>
  <si>
    <t>Z</t>
  </si>
  <si>
    <t>N_elastic</t>
  </si>
  <si>
    <t>N_plastic</t>
  </si>
  <si>
    <t>Elasticity Modulus</t>
  </si>
  <si>
    <t>Relative Slenderness</t>
  </si>
  <si>
    <t>Batdorf Parameter</t>
  </si>
  <si>
    <t>Radius-to-Thickness ratio</t>
  </si>
  <si>
    <t xml:space="preserve">Length-to-Radius ratio </t>
  </si>
  <si>
    <t>l</t>
  </si>
  <si>
    <t>Imperfection Amplitude-to-Thickness ratio</t>
  </si>
  <si>
    <t>w/t</t>
  </si>
  <si>
    <t>R</t>
  </si>
  <si>
    <t>L</t>
  </si>
  <si>
    <t>t</t>
  </si>
  <si>
    <t>E</t>
  </si>
  <si>
    <t>Y</t>
  </si>
  <si>
    <t>n</t>
  </si>
  <si>
    <t xml:space="preserve">Cylinder Wall Thickness </t>
  </si>
  <si>
    <t xml:space="preserve">Yield Stress </t>
  </si>
  <si>
    <t xml:space="preserve">Poissons ratio </t>
  </si>
  <si>
    <t>Input</t>
  </si>
  <si>
    <t>Calculated</t>
  </si>
  <si>
    <t>Elastic Buckling Load</t>
  </si>
  <si>
    <t>Plastic Buckling Load</t>
  </si>
  <si>
    <t>Weight Saving vs. SP-8007</t>
  </si>
  <si>
    <t>MDC KDF</t>
  </si>
  <si>
    <t>NASA KDF</t>
  </si>
  <si>
    <t>Assessment</t>
  </si>
  <si>
    <t>Mechanistic (1 % Quantil)</t>
  </si>
  <si>
    <t xml:space="preserve">SP-8007 </t>
  </si>
  <si>
    <t>SP-8019</t>
  </si>
  <si>
    <t>mm</t>
  </si>
  <si>
    <t>MPa</t>
  </si>
  <si>
    <t>kN</t>
  </si>
  <si>
    <t>w/t = 0.5</t>
  </si>
  <si>
    <t>w/t = 1</t>
  </si>
  <si>
    <t>w/t = 2</t>
  </si>
  <si>
    <t>w/t = 3</t>
  </si>
  <si>
    <t>w/t = 4</t>
  </si>
  <si>
    <t>w/t = 6</t>
  </si>
  <si>
    <t>w/t = 8</t>
  </si>
  <si>
    <t>Batdorf Parameter Z</t>
  </si>
  <si>
    <t>Knockdown Factor</t>
  </si>
  <si>
    <t>perfect shell</t>
  </si>
  <si>
    <t>Activ KDF</t>
  </si>
  <si>
    <r>
      <t>Developed by:</t>
    </r>
    <r>
      <rPr>
        <sz val="11"/>
        <color theme="1"/>
        <rFont val="Aptos Narrow"/>
        <family val="2"/>
        <scheme val="minor"/>
      </rPr>
      <t xml:space="preserve"> Dr.-Ing. Heinz Wagner</t>
    </r>
  </si>
  <si>
    <r>
      <t>Eligibility:</t>
    </r>
    <r>
      <rPr>
        <sz val="11"/>
        <color theme="1"/>
        <rFont val="Aptos Narrow"/>
        <family val="2"/>
        <scheme val="minor"/>
      </rPr>
      <t xml:space="preserve"> Companies with up to 100 employees</t>
    </r>
  </si>
  <si>
    <t>Note: All licenses purchased before 01.12.2025 include axial compression only. Bending will be added in v2.0 and may increase the price.</t>
  </si>
  <si>
    <r>
      <t xml:space="preserve">This Excel tool computes knockdown factors (KDFs) for axially compressed cylindrical shells based on </t>
    </r>
    <r>
      <rPr>
        <b/>
        <sz val="12"/>
        <color theme="1"/>
        <rFont val="Aptos Narrow"/>
        <family val="2"/>
        <scheme val="minor"/>
      </rPr>
      <t>Structured Chaos: Redefining the Design of Buckling-Critical Cylindrical Shells</t>
    </r>
    <r>
      <rPr>
        <sz val="12"/>
        <color theme="1"/>
        <rFont val="Aptos Narrow"/>
        <family val="2"/>
        <scheme val="minor"/>
      </rPr>
      <t xml:space="preserve"> (Wagner et al., 2025).</t>
    </r>
  </si>
  <si>
    <t>This Excel-based shell buckling tool is provided “as is” without any guarantees or warranties. The authors assume no liability for any damages, losses, or consequences arising from its use, misuse, or interpretation. Use at your own risk.</t>
  </si>
  <si>
    <t>2. Licensing Information</t>
  </si>
  <si>
    <t>See separate sheet “License” for usage rights and pricing model.</t>
  </si>
  <si>
    <t>3. Scope and Assumptions of the Mechanistic Design Curve (MDC)</t>
  </si>
  <si>
    <t>The MDC KDFs presented here are derived from extensive Monte Carlo simulations, following a consistent set of modeling assumptions to ensure robustness and comparability. The primary constraints include:</t>
  </si>
  <si>
    <r>
      <t>Boundary conditions</t>
    </r>
    <r>
      <rPr>
        <sz val="11"/>
        <color theme="1"/>
        <rFont val="Aptos Narrow"/>
        <family val="2"/>
        <scheme val="minor"/>
      </rPr>
      <t>: The shell is clamped at both ends, while one end remains free to move axially, allowing compression to be applied.</t>
    </r>
  </si>
  <si>
    <r>
      <t>Material properties</t>
    </r>
    <r>
      <rPr>
        <sz val="11"/>
        <color theme="1"/>
        <rFont val="Aptos Narrow"/>
        <family val="2"/>
        <scheme val="minor"/>
      </rPr>
      <t>: The analysis assumes an isotropic, homogeneous material.</t>
    </r>
  </si>
  <si>
    <r>
      <t>Linearity assumption</t>
    </r>
    <r>
      <rPr>
        <sz val="11"/>
        <color theme="1"/>
        <rFont val="Aptos Narrow"/>
        <family val="2"/>
        <scheme val="minor"/>
      </rPr>
      <t>: The study considers linear-elastic stability for relative slenderness ratios λ &gt; 1.45 with</t>
    </r>
  </si>
  <si>
    <r>
      <t>Imperfection types</t>
    </r>
    <r>
      <rPr>
        <sz val="11"/>
        <color theme="1"/>
        <rFont val="Aptos Narrow"/>
        <family val="2"/>
        <scheme val="minor"/>
      </rPr>
      <t>: The Monte Carlo dataset accounts for typical metal shells (machining, axial welding, electroplating, and deep drawing) but does not account for strong radial imperfections (e.g., welded joints, circumferential misalignments), meaning the MDC may not be valid for shells with dominant manufacturing defects in this category.</t>
    </r>
  </si>
  <si>
    <t xml:space="preserve">1. Legal Disclaimer </t>
  </si>
  <si>
    <t>Cylinder Length  / Slant Length</t>
  </si>
  <si>
    <t>Cylinder Radius / Mean Radius of Curvature</t>
  </si>
  <si>
    <r>
      <t>Load Case</t>
    </r>
    <r>
      <rPr>
        <sz val="11"/>
        <color theme="1"/>
        <rFont val="Aptos Narrow"/>
        <family val="2"/>
        <scheme val="minor"/>
      </rPr>
      <t>: Axial Compression only</t>
    </r>
  </si>
  <si>
    <t>Author &amp; Contact</t>
  </si>
  <si>
    <r>
      <rPr>
        <b/>
        <sz val="11"/>
        <color theme="1"/>
        <rFont val="Aptos Narrow"/>
        <family val="2"/>
        <scheme val="minor"/>
      </rPr>
      <t>CFRP Composite:</t>
    </r>
    <r>
      <rPr>
        <sz val="11"/>
        <color theme="1"/>
        <rFont val="Aptos Narrow"/>
        <family val="2"/>
        <scheme val="minor"/>
      </rPr>
      <t xml:space="preserve"> This tool is not yet validated for composite shells.</t>
    </r>
  </si>
  <si>
    <t>mdc.buckling@proton.me</t>
  </si>
  <si>
    <r>
      <t>Contact:</t>
    </r>
    <r>
      <rPr>
        <sz val="11"/>
        <color theme="1"/>
        <rFont val="Aptos Narrow"/>
        <family val="2"/>
        <scheme val="minor"/>
      </rPr>
      <t xml:space="preserve"> mdc.buckling@proton.me</t>
    </r>
  </si>
  <si>
    <t>✅ v1.0.0 – Initial Version</t>
  </si>
  <si>
    <t>Created initial sheet structure:</t>
  </si>
  <si>
    <t>Start</t>
  </si>
  <si>
    <t>Shell_KDF_Calculator (Metric)</t>
  </si>
  <si>
    <t>Disclaimer</t>
  </si>
  <si>
    <t>License</t>
  </si>
  <si>
    <t>ReferenceData_Metal</t>
  </si>
  <si>
    <t>Implemented structured input form for shell geometry and loading conditions</t>
  </si>
  <si>
    <t>Added basic logic for KDF lookup based on Mechanistic Design Curve (MDC)</t>
  </si>
  <si>
    <t>🔧 v1.0.5 – Calculation Engine Update</t>
  </si>
  <si>
    <r>
      <t xml:space="preserve">Implemented 2D interpolation using Excel's </t>
    </r>
    <r>
      <rPr>
        <sz val="10"/>
        <color theme="1"/>
        <rFont val="Arial Unicode MS"/>
      </rPr>
      <t>LET()</t>
    </r>
    <r>
      <rPr>
        <sz val="11"/>
        <color theme="1"/>
        <rFont val="Aptos Narrow"/>
        <family val="2"/>
        <scheme val="minor"/>
      </rPr>
      <t xml:space="preserve"> function</t>
    </r>
  </si>
  <si>
    <r>
      <t xml:space="preserve">Added support for backward compatibility with Excel 2019 (using named ranges instead of </t>
    </r>
    <r>
      <rPr>
        <sz val="10"/>
        <color theme="1"/>
        <rFont val="Arial Unicode MS"/>
      </rPr>
      <t>LET</t>
    </r>
    <r>
      <rPr>
        <sz val="11"/>
        <color theme="1"/>
        <rFont val="Aptos Narrow"/>
        <family val="2"/>
        <scheme val="minor"/>
      </rPr>
      <t>)</t>
    </r>
  </si>
  <si>
    <t>📊 v1.0.9 – Visualization &amp; Output</t>
  </si>
  <si>
    <t>Added dynamic XY plots:</t>
  </si>
  <si>
    <t>KDF vs. Z</t>
  </si>
  <si>
    <t>KDF vs. w/t</t>
  </si>
  <si>
    <t>Added conditional formatting and status indicators for validity and extrapolation warnings</t>
  </si>
  <si>
    <t>Output now visible directly on input sheet for user convenience</t>
  </si>
  <si>
    <t>Finalized disclaimer and license terms as separate sheets</t>
  </si>
  <si>
    <t>Added commercial licensing model and contact/payment information</t>
  </si>
  <si>
    <t>Cosmetic adjustments and final cleanup for public release</t>
  </si>
  <si>
    <t>For questions, support or commercial licensing, please contact us.</t>
  </si>
  <si>
    <t>📦 v1.0.13 – Refinements and Licensing</t>
  </si>
  <si>
    <t>MDC_BucklingTool License Agreement (Version 1.1)</t>
  </si>
  <si>
    <r>
      <t>Tool Name:</t>
    </r>
    <r>
      <rPr>
        <sz val="11"/>
        <color theme="1"/>
        <rFont val="Aptos Narrow"/>
        <family val="2"/>
        <scheme val="minor"/>
      </rPr>
      <t xml:space="preserve"> </t>
    </r>
    <r>
      <rPr>
        <i/>
        <sz val="11"/>
        <color theme="1"/>
        <rFont val="Aptos Narrow"/>
        <family val="2"/>
        <scheme val="minor"/>
      </rPr>
      <t>MDC_BucklingTool_v1.1</t>
    </r>
  </si>
  <si>
    <r>
      <t>Developer &amp; Licensor:</t>
    </r>
    <r>
      <rPr>
        <sz val="11"/>
        <color theme="1"/>
        <rFont val="Aptos Narrow"/>
        <family val="2"/>
        <scheme val="minor"/>
      </rPr>
      <t xml:space="preserve"> Dr.-Ing. Heinz Wagner</t>
    </r>
  </si>
  <si>
    <r>
      <t>Licensee:</t>
    </r>
    <r>
      <rPr>
        <sz val="11"/>
        <color theme="1"/>
        <rFont val="Aptos Narrow"/>
        <family val="2"/>
        <scheme val="minor"/>
      </rPr>
      <t xml:space="preserve"> [To be defined per customer]</t>
    </r>
  </si>
  <si>
    <t>§1 – Grant of License</t>
  </si>
  <si>
    <r>
      <t xml:space="preserve">The Licensor hereby grants the Licensee a </t>
    </r>
    <r>
      <rPr>
        <b/>
        <sz val="11"/>
        <color theme="1"/>
        <rFont val="Aptos Narrow"/>
        <family val="2"/>
        <scheme val="minor"/>
      </rPr>
      <t>non-exclusive, non-transferable license</t>
    </r>
    <r>
      <rPr>
        <sz val="11"/>
        <color theme="1"/>
        <rFont val="Aptos Narrow"/>
        <family val="2"/>
        <scheme val="minor"/>
      </rPr>
      <t xml:space="preserve"> to use the </t>
    </r>
    <r>
      <rPr>
        <i/>
        <sz val="11"/>
        <color theme="1"/>
        <rFont val="Aptos Narrow"/>
        <family val="2"/>
        <scheme val="minor"/>
      </rPr>
      <t>MDC_BucklingTool_v1.1</t>
    </r>
    <r>
      <rPr>
        <sz val="11"/>
        <color theme="1"/>
        <rFont val="Aptos Narrow"/>
        <family val="2"/>
        <scheme val="minor"/>
      </rPr>
      <t xml:space="preserve"> for internal engineering purposes only.</t>
    </r>
  </si>
  <si>
    <r>
      <t xml:space="preserve">The tool may be used exclusively for the </t>
    </r>
    <r>
      <rPr>
        <b/>
        <sz val="11"/>
        <color theme="1"/>
        <rFont val="Aptos Narrow"/>
        <family val="2"/>
        <scheme val="minor"/>
      </rPr>
      <t>analysis and optimization of shell structures under axial compression</t>
    </r>
    <r>
      <rPr>
        <sz val="11"/>
        <color theme="1"/>
        <rFont val="Aptos Narrow"/>
        <family val="2"/>
        <scheme val="minor"/>
      </rPr>
      <t>, in accordance with the functionality provided in the tool.</t>
    </r>
  </si>
  <si>
    <t>Use is limited to the Licensee’s internal team. Redistribution, sublicensing, or publication of the tool or its outputs is prohibited.</t>
  </si>
  <si>
    <t>§3 – Prohibited Actions</t>
  </si>
  <si>
    <t>The Licensee agrees not to:</t>
  </si>
  <si>
    <r>
      <t xml:space="preserve">Perform any form of </t>
    </r>
    <r>
      <rPr>
        <b/>
        <sz val="11"/>
        <color theme="1"/>
        <rFont val="Aptos Narrow"/>
        <family val="2"/>
        <scheme val="minor"/>
      </rPr>
      <t>reverse engineering</t>
    </r>
    <r>
      <rPr>
        <sz val="11"/>
        <color theme="1"/>
        <rFont val="Aptos Narrow"/>
        <family val="2"/>
        <scheme val="minor"/>
      </rPr>
      <t>, code analysis, or decompilation on the tool.</t>
    </r>
  </si>
  <si>
    <r>
      <t xml:space="preserve">Extract, reproduce, or repurpose the embedded </t>
    </r>
    <r>
      <rPr>
        <b/>
        <sz val="11"/>
        <color theme="1"/>
        <rFont val="Aptos Narrow"/>
        <family val="2"/>
        <scheme val="minor"/>
      </rPr>
      <t>knockdown factor tables</t>
    </r>
    <r>
      <rPr>
        <sz val="11"/>
        <color theme="1"/>
        <rFont val="Aptos Narrow"/>
        <family val="2"/>
        <scheme val="minor"/>
      </rPr>
      <t>, algorithms, or reference data.</t>
    </r>
  </si>
  <si>
    <r>
      <t xml:space="preserve">Create </t>
    </r>
    <r>
      <rPr>
        <b/>
        <sz val="11"/>
        <color theme="1"/>
        <rFont val="Aptos Narrow"/>
        <family val="2"/>
        <scheme val="minor"/>
      </rPr>
      <t>derivative tools, methods, or databases</t>
    </r>
    <r>
      <rPr>
        <sz val="11"/>
        <color theme="1"/>
        <rFont val="Aptos Narrow"/>
        <family val="2"/>
        <scheme val="minor"/>
      </rPr>
      <t xml:space="preserve"> based on the tool’s internal data or results.</t>
    </r>
  </si>
  <si>
    <t>Attempt to bypass any technical protection mechanisms (e.g., locked cells, hidden formulas, macros).</t>
  </si>
  <si>
    <t>Share screenshots, intermediate results, or extracted data with third parties without explicit written permission.</t>
  </si>
  <si>
    <t>Any violation of this section constitutes a material breach of the license agreement and may result in immediate termination and legal action.</t>
  </si>
  <si>
    <t>§4 – Confidentiality</t>
  </si>
  <si>
    <t>The Licensee agrees to keep all content, methods, data, and algorithms included in the tool strictly confidential.</t>
  </si>
  <si>
    <t>No part of the tool or its internal workings may be disclosed to external parties without prior written consent.</t>
  </si>
  <si>
    <t>§5 – Limitation of Liability</t>
  </si>
  <si>
    <t>The Licensor provides the tool “as is” and does not guarantee any specific performance or outcome.</t>
  </si>
  <si>
    <t>Use of the tool is entirely at the Licensee’s risk. The Licensor shall not be liable for any direct or indirect damages, including production losses, certification failures, or structural issues arising from tool usage.</t>
  </si>
  <si>
    <t>§6 – Governing Law and Jurisdiction</t>
  </si>
  <si>
    <t>This Agreement shall be governed by the laws of the Federal Republic of Germany.</t>
  </si>
  <si>
    <r>
      <t xml:space="preserve">The place of jurisdiction for any disputes shall be </t>
    </r>
    <r>
      <rPr>
        <b/>
        <sz val="11"/>
        <color theme="1"/>
        <rFont val="Aptos Narrow"/>
        <family val="2"/>
        <scheme val="minor"/>
      </rPr>
      <t>Braunschweig, Germany</t>
    </r>
    <r>
      <rPr>
        <sz val="11"/>
        <color theme="1"/>
        <rFont val="Aptos Narrow"/>
        <family val="2"/>
        <scheme val="minor"/>
      </rPr>
      <t>.</t>
    </r>
  </si>
  <si>
    <t>§7 – Duration and Termination</t>
  </si>
  <si>
    <r>
      <t xml:space="preserve">This license is valid for </t>
    </r>
    <r>
      <rPr>
        <b/>
        <sz val="11"/>
        <color theme="1"/>
        <rFont val="Aptos Narrow"/>
        <family val="2"/>
        <scheme val="minor"/>
      </rPr>
      <t>12 months</t>
    </r>
    <r>
      <rPr>
        <sz val="11"/>
        <color theme="1"/>
        <rFont val="Aptos Narrow"/>
        <family val="2"/>
        <scheme val="minor"/>
      </rPr>
      <t xml:space="preserve"> from the effective date and may be renewed annually.</t>
    </r>
  </si>
  <si>
    <t>In the event of license violation, the Licensor reserves the right to revoke access and pursue legal remedies.</t>
  </si>
  <si>
    <t>🔏 Agreement</t>
  </si>
  <si>
    <r>
      <t xml:space="preserve">By using the </t>
    </r>
    <r>
      <rPr>
        <i/>
        <sz val="11"/>
        <color theme="1"/>
        <rFont val="Aptos Narrow"/>
        <family val="2"/>
        <scheme val="minor"/>
      </rPr>
      <t>MDC_BucklingTool_v1.1</t>
    </r>
    <r>
      <rPr>
        <sz val="11"/>
        <color theme="1"/>
        <rFont val="Aptos Narrow"/>
        <family val="2"/>
        <scheme val="minor"/>
      </rPr>
      <t>, the Licensee acknowledges and agrees to all terms of this agreement.</t>
    </r>
  </si>
  <si>
    <t>🔬 Academic / Non-Commercial License</t>
  </si>
  <si>
    <r>
      <t>Fee:</t>
    </r>
    <r>
      <rPr>
        <sz val="11"/>
        <color theme="1"/>
        <rFont val="Aptos Narrow"/>
        <family val="2"/>
        <scheme val="minor"/>
      </rPr>
      <t xml:space="preserve"> Free of charge (donations welcome)</t>
    </r>
  </si>
  <si>
    <r>
      <t>Eligibility:</t>
    </r>
    <r>
      <rPr>
        <sz val="11"/>
        <color theme="1"/>
        <rFont val="Aptos Narrow"/>
        <family val="2"/>
        <scheme val="minor"/>
      </rPr>
      <t xml:space="preserve"> Universities, students, hobbyists, and other non-commercial users</t>
    </r>
  </si>
  <si>
    <t>👤 Commercial Single-User License – Small Entities</t>
  </si>
  <si>
    <r>
      <t>Fee:</t>
    </r>
    <r>
      <rPr>
        <sz val="11"/>
        <color theme="1"/>
        <rFont val="Aptos Narrow"/>
        <family val="2"/>
        <scheme val="minor"/>
      </rPr>
      <t xml:space="preserve"> €499 per year (flat rate)</t>
    </r>
  </si>
  <si>
    <r>
      <t>Fee:</t>
    </r>
    <r>
      <rPr>
        <sz val="11"/>
        <color theme="1"/>
        <rFont val="Aptos Narrow"/>
        <family val="2"/>
        <scheme val="minor"/>
      </rPr>
      <t xml:space="preserve"> €1,999 per year</t>
    </r>
  </si>
  <si>
    <r>
      <t>Usage:</t>
    </r>
    <r>
      <rPr>
        <sz val="11"/>
        <color theme="1"/>
        <rFont val="Aptos Narrow"/>
        <family val="2"/>
        <scheme val="minor"/>
      </rPr>
      <t xml:space="preserve"> Commercial use on up to 5 devices within the same organization</t>
    </r>
  </si>
  <si>
    <t>🏢 Enterprise License – Large Corporations</t>
  </si>
  <si>
    <t>Please note: Version 1.0 was released under a non-commercial, donation-based model.</t>
  </si>
  <si>
    <t>§8 – Support, Documentation and Invoicing</t>
  </si>
  <si>
    <r>
      <t xml:space="preserve">The Licensor provides basic </t>
    </r>
    <r>
      <rPr>
        <b/>
        <sz val="11"/>
        <color theme="1"/>
        <rFont val="Aptos Narrow"/>
        <family val="2"/>
        <scheme val="minor"/>
      </rPr>
      <t>technical support</t>
    </r>
    <r>
      <rPr>
        <sz val="11"/>
        <color theme="1"/>
        <rFont val="Aptos Narrow"/>
        <family val="2"/>
        <scheme val="minor"/>
      </rPr>
      <t xml:space="preserve"> for licensed users via email.</t>
    </r>
  </si>
  <si>
    <t>This includes assistance with activation, usage questions, and reported tool issues.</t>
  </si>
  <si>
    <t>Additional engineering support (e.g. customization, integration, or consulting) can be arranged by separate agreement.</t>
  </si>
  <si>
    <r>
      <t>Invoices</t>
    </r>
    <r>
      <rPr>
        <sz val="11"/>
        <color theme="1"/>
        <rFont val="Aptos Narrow"/>
        <family val="2"/>
        <scheme val="minor"/>
      </rPr>
      <t xml:space="preserve"> for all license types are issued with proper tax ID (USt-ID/VAT) and comply with EU B2B requirements.</t>
    </r>
  </si>
  <si>
    <t>Invoices are sent electronically unless otherwise agreed.</t>
  </si>
  <si>
    <r>
      <t xml:space="preserve">Upon request, the Licensor can provide a </t>
    </r>
    <r>
      <rPr>
        <b/>
        <sz val="11"/>
        <color theme="1"/>
        <rFont val="Aptos Narrow"/>
        <family val="2"/>
        <scheme val="minor"/>
      </rPr>
      <t>short user guide</t>
    </r>
    <r>
      <rPr>
        <sz val="11"/>
        <color theme="1"/>
        <rFont val="Aptos Narrow"/>
        <family val="2"/>
        <scheme val="minor"/>
      </rPr>
      <t>, update notes, or presentation material for internal approval processes.</t>
    </r>
  </si>
  <si>
    <t>MDC_BucklingTool – v1.1 (Licensed Edition)</t>
  </si>
  <si>
    <t>© 2025 Dr.-Ing. Heinz Wagner</t>
  </si>
  <si>
    <r>
      <t xml:space="preserve">🔒 </t>
    </r>
    <r>
      <rPr>
        <b/>
        <sz val="11"/>
        <color theme="1"/>
        <rFont val="Aptos Narrow"/>
        <family val="2"/>
        <scheme val="minor"/>
      </rPr>
      <t>LICENSED COPY</t>
    </r>
  </si>
  <si>
    <t>Licensee: [Company Name]</t>
  </si>
  <si>
    <t>Valid until: [Date]</t>
  </si>
  <si>
    <t>| For internal use only |</t>
  </si>
  <si>
    <t xml:space="preserve">📩 Request License → </t>
  </si>
  <si>
    <t>Additional Safety Factor</t>
  </si>
  <si>
    <t>🔬 Beta Feature – Low Slenderness Handling</t>
  </si>
  <si>
    <t>The MDC_KDF has been developed and validated for relative slenderness λ ≥ 1.45.</t>
  </si>
  <si>
    <t>For configurations in the range 1.0 ≤ λ &lt; 1.45, you may apply an additional safety margin of 10 % to account for model limitations.</t>
  </si>
  <si>
    <t>This is a beta feature and subject to future refinement and validation.</t>
  </si>
  <si>
    <t>Beta Feature</t>
  </si>
  <si>
    <r>
      <t xml:space="preserve">Adjusted KDF (If    1.0 &lt; </t>
    </r>
    <r>
      <rPr>
        <sz val="11"/>
        <color theme="1"/>
        <rFont val="Symbol"/>
        <family val="1"/>
        <charset val="2"/>
      </rPr>
      <t>l</t>
    </r>
    <r>
      <rPr>
        <sz val="11"/>
        <color theme="1"/>
        <rFont val="Aptos Narrow"/>
        <family val="2"/>
        <scheme val="minor"/>
      </rPr>
      <t xml:space="preserve"> &lt; 1.45)</t>
    </r>
  </si>
  <si>
    <t>🔬 BETA Feature: Low Slenderness Extension</t>
  </si>
  <si>
    <t>▪ Validated range: λ ≥ 1.45</t>
  </si>
  <si>
    <t>▪ BETA extension: 1.00 &lt; λ &lt; 1.45 (10 % reduction applied)</t>
  </si>
  <si>
    <t>▪ Below 1.00: Not supported</t>
  </si>
  <si>
    <t>Statistical KDF (99 % CI)</t>
  </si>
  <si>
    <t>Design Load (Statistical 99 % CI)</t>
  </si>
  <si>
    <t>Design Load (Mechanistic 1 % Quantil)</t>
  </si>
  <si>
    <t>Imperfect Shell with current w/t ratio</t>
  </si>
  <si>
    <r>
      <t xml:space="preserve">for pure elastic buckling </t>
    </r>
    <r>
      <rPr>
        <sz val="11"/>
        <color theme="1"/>
        <rFont val="Symbol"/>
        <family val="1"/>
        <charset val="2"/>
      </rPr>
      <t>l</t>
    </r>
    <r>
      <rPr>
        <sz val="11"/>
        <color theme="1"/>
        <rFont val="Aptos Narrow"/>
        <family val="2"/>
        <scheme val="minor"/>
      </rPr>
      <t xml:space="preserve"> &gt; 1.45</t>
    </r>
  </si>
  <si>
    <t>📦 v1.1.15 – Refinements and Licensing</t>
  </si>
  <si>
    <t>Finalized disclaimer and license terms</t>
  </si>
  <si>
    <t>Added beta feature low Slenderness KDF = 0.9</t>
  </si>
  <si>
    <t>Added Weight Saving Diagramm</t>
  </si>
  <si>
    <t>License Tier Circumvention:</t>
  </si>
  <si>
    <t>The Licensee must not participate in or facilitate any scheme intended to bypass the appropriate license tier, including but not limited to:</t>
  </si>
  <si>
    <t>Acting as a proxy user on behalf of a third-party company,</t>
  </si>
  <si>
    <t>Sharing tool results or analyses with entities not eligible under the Licensee’s license tier,</t>
  </si>
  <si>
    <t>Submitting project results to clients/employers that would otherwise be required to pay the Enterprise fee.</t>
  </si>
  <si>
    <t>Violations will be treated as material breaches of this agreement and may result in license revocation and legal action.</t>
  </si>
  <si>
    <r>
      <t>Note:</t>
    </r>
    <r>
      <rPr>
        <sz val="11"/>
        <color theme="1"/>
        <rFont val="Aptos Narrow"/>
        <family val="2"/>
        <scheme val="minor"/>
      </rPr>
      <t xml:space="preserve"> Use by contractors, freelancers, or consultants on behalf of large corporations must be licensed under the </t>
    </r>
    <r>
      <rPr>
        <i/>
        <sz val="11"/>
        <color theme="1"/>
        <rFont val="Aptos Narrow"/>
        <family val="2"/>
        <scheme val="minor"/>
      </rPr>
      <t>Enterprise</t>
    </r>
    <r>
      <rPr>
        <sz val="11"/>
        <color theme="1"/>
        <rFont val="Aptos Narrow"/>
        <family val="2"/>
        <scheme val="minor"/>
      </rPr>
      <t xml:space="preserve"> tier.</t>
    </r>
  </si>
  <si>
    <t>Self-declared use is monitored and subject to audit.</t>
  </si>
  <si>
    <t>As of version 1.1, commercial use of any prior versions, including version 1.0, is no longer permitted.</t>
  </si>
  <si>
    <t>Continued use of version 1.0 in a commercial context requires a valid license under the current terms.</t>
  </si>
  <si>
    <t>The Licensee may not upload, publish, or distribute any version of the tool on public or semi-public platforms (e.g., GitHub, Dropbox, company wikis, cloud drives, shared repositories) unless explicitly authorized in writing by the Licensor.</t>
  </si>
  <si>
    <t>Any unauthorized publication, mirroring, or distribution constitutes a material breach of this agreement and may result in license termination and legal action.</t>
  </si>
  <si>
    <t>The tool includes embedded version identifiers. The Licensor reserves the right to verify tool versions used in audits.</t>
  </si>
  <si>
    <t>v1.1.15</t>
  </si>
  <si>
    <t>Build Date</t>
  </si>
  <si>
    <t>§9 – Tool Versioning and Audit Rights</t>
  </si>
  <si>
    <t>The MDC_BucklingTool includes embedded version identifiers and digital markers (e.g. Tool ID, version number, build timestamp, checksum).</t>
  </si>
  <si>
    <t>These markers are used to trace usage, detect unauthorized modifications, and verify compliance with the license.</t>
  </si>
  <si>
    <t>The Licensor reserves the right to request screenshots, file metadata, or Excel file copies to verify tool origin and usage.</t>
  </si>
  <si>
    <t>Any tampering with version information, removal of internal markers, or distribution of altered tool versions constitutes a material breach of this agreement.</t>
  </si>
  <si>
    <t>Tool Version</t>
  </si>
  <si>
    <t>Tool ID</t>
  </si>
  <si>
    <t>MDC-115-20250717-EN</t>
  </si>
  <si>
    <t>SHA256 Checksum (optional)</t>
  </si>
  <si>
    <t>(z. B. Hash deines VBA-Moduls oder XML-Export)</t>
  </si>
  <si>
    <t>License Status</t>
  </si>
  <si>
    <t>Licensed / Academic / Trial</t>
  </si>
  <si>
    <t>⚠️ This tool must not be used for certification-relevant, safety-critical, or regulated structural design decisions without independent verification and validation.</t>
  </si>
  <si>
    <t>Any application in aerospace, railway, or defense contexts requires formal review and approval by qualified experts.</t>
  </si>
  <si>
    <t>This tool is intended as a supporting aid for design exploration and concept studies.</t>
  </si>
  <si>
    <t>It is not to be used as the sole basis for dimensioning, structural release, or cost estimation in industrial projects.</t>
  </si>
  <si>
    <t>Use of the tool does not grant the Licensee any rights to the internal algorithms, data sources, or methodology.</t>
  </si>
  <si>
    <t>All intellectual property remains with the author.</t>
  </si>
  <si>
    <t>Use of this tool is subject to the version-specific license terms. See sheet “License_Terms” for applicable conditions and pricing.</t>
  </si>
  <si>
    <t>Any unauthorized use, modification, or distribution is prohibited.</t>
  </si>
  <si>
    <t>Status</t>
  </si>
  <si>
    <t>Notes</t>
  </si>
  <si>
    <t>The Licensor notes that although key data is published, the tool contains proprietary interpolation algorithms and validation layers. Manual recreation of the tool does not grant any license or support.</t>
  </si>
  <si>
    <t xml:space="preserve">Name:                Dr.-Ing. Heinz Wagner  </t>
  </si>
  <si>
    <t xml:space="preserve">Address:             (optional or neutral, e.g. “Braunschweig, Germany”)  </t>
  </si>
  <si>
    <t xml:space="preserve">E-mail:              mdc.buckling@proton.me  </t>
  </si>
  <si>
    <t xml:space="preserve">Responsible according to § 5 German Telemedia Act (TMG):  </t>
  </si>
  <si>
    <t xml:space="preserve">Dr.-Ing. Heinz Wagner  </t>
  </si>
  <si>
    <t xml:space="preserve">Usage:  </t>
  </si>
  <si>
    <t>This Excel tool is provided under the license terms described in the “License_Terms” sheet.</t>
  </si>
  <si>
    <t xml:space="preserve">Liability Disclaimer:  </t>
  </si>
  <si>
    <t>Despite careful content control, no liability is assumed for the use, interpretation, or consequences resulting from the tool.</t>
  </si>
  <si>
    <t xml:space="preserve">Copyright:  </t>
  </si>
  <si>
    <t>© 2025 Dr.-Ing. Heinz Wagner – All rights reserved.</t>
  </si>
  <si>
    <t xml:space="preserve">Last updated:  </t>
  </si>
  <si>
    <t>17 July 2025</t>
  </si>
  <si>
    <t>---</t>
  </si>
  <si>
    <t xml:space="preserve">**Note:** This tool does not replace professional FEM analysis or design certification in accordance with standards in aerospace, railway, or industrial applications.  </t>
  </si>
  <si>
    <t>All results are indicative only and must be reviewed by qualified structural engineers.</t>
  </si>
  <si>
    <t>Feature / Load Case</t>
  </si>
  <si>
    <t>Estimated Release</t>
  </si>
  <si>
    <t>The following roadmap outlines planned extensions of the MDC_BucklingTool framework.</t>
  </si>
  <si>
    <t>Publicly released</t>
  </si>
  <si>
    <t>✅ Axial Compression (Metal Shells)</t>
  </si>
  <si>
    <t>Included in v1.1</t>
  </si>
  <si>
    <t>Release timelines and feature availability depend on user demand and available resources.</t>
  </si>
  <si>
    <t>✅ Axial Compression (Composite Shells)</t>
  </si>
  <si>
    <t>Internal prototype</t>
  </si>
  <si>
    <t>Release timing subject to validation and interest</t>
  </si>
  <si>
    <t>TBD</t>
  </si>
  <si>
    <t>✅ Bending (Metal &amp; Composite Shells)</t>
  </si>
  <si>
    <t>In preparation</t>
  </si>
  <si>
    <t>Concept Phase</t>
  </si>
  <si>
    <t>📌 External Pressure (Spherical)</t>
  </si>
  <si>
    <t>⏳ Combined Loading Scenarios</t>
  </si>
  <si>
    <t>⏳ Plasticity + Postbuckling</t>
  </si>
  <si>
    <t>Requires extended verification &amp; validation</t>
  </si>
  <si>
    <r>
      <t xml:space="preserve">🧾 </t>
    </r>
    <r>
      <rPr>
        <i/>
        <sz val="11"/>
        <color theme="1"/>
        <rFont val="Aptos Narrow"/>
        <family val="2"/>
        <scheme val="minor"/>
      </rPr>
      <t>Note: This roadmap is subject to ongoing evaluation. Release priorities may shift depending on industry feedback, regulatory standards, and licensing conditions.</t>
    </r>
  </si>
  <si>
    <r>
      <t>Effective Date:</t>
    </r>
    <r>
      <rPr>
        <sz val="11"/>
        <color theme="1"/>
        <rFont val="Aptos Narrow"/>
        <family val="2"/>
        <scheme val="minor"/>
      </rPr>
      <t xml:space="preserve"> 17.07.2025</t>
    </r>
  </si>
  <si>
    <t>§2 – License Fee</t>
  </si>
  <si>
    <t>The license fee depends on the type and size of the Licensee organization. The following tiers apply:</t>
  </si>
  <si>
    <r>
      <t>Usage:</t>
    </r>
    <r>
      <rPr>
        <sz val="11"/>
        <color theme="1"/>
        <rFont val="Aptos Narrow"/>
        <family val="2"/>
        <scheme val="minor"/>
      </rPr>
      <t xml:space="preserve"> Strictly limited to research, teaching, and personal projects.</t>
    </r>
  </si>
  <si>
    <t>Use in commercial or industry-funded projects is not permitted.</t>
  </si>
  <si>
    <r>
      <t>Eligibility:</t>
    </r>
    <r>
      <rPr>
        <sz val="11"/>
        <color theme="1"/>
        <rFont val="Aptos Narrow"/>
        <family val="2"/>
        <scheme val="minor"/>
      </rPr>
      <t xml:space="preserve"> Freelancers, startups, or companies with fewer than 10 employees or &lt; €500,000 annual revenue</t>
    </r>
  </si>
  <si>
    <r>
      <t>Usage:</t>
    </r>
    <r>
      <rPr>
        <sz val="11"/>
        <color theme="1"/>
        <rFont val="Aptos Narrow"/>
        <family val="2"/>
        <scheme val="minor"/>
      </rPr>
      <t xml:space="preserve"> Commercial use by one individual on one device</t>
    </r>
  </si>
  <si>
    <t>👥 Commercial Team License – Mid-Size Companies</t>
  </si>
  <si>
    <r>
      <t>Fee:</t>
    </r>
    <r>
      <rPr>
        <sz val="11"/>
        <color theme="1"/>
        <rFont val="Aptos Narrow"/>
        <family val="2"/>
        <scheme val="minor"/>
      </rPr>
      <t xml:space="preserve"> €9,999 per year </t>
    </r>
    <r>
      <rPr>
        <i/>
        <sz val="11"/>
        <color theme="1"/>
        <rFont val="Aptos Narrow"/>
        <family val="2"/>
        <scheme val="minor"/>
      </rPr>
      <t>(base price)</t>
    </r>
  </si>
  <si>
    <r>
      <t>Eligibility:</t>
    </r>
    <r>
      <rPr>
        <sz val="11"/>
        <color theme="1"/>
        <rFont val="Aptos Narrow"/>
        <family val="2"/>
        <scheme val="minor"/>
      </rPr>
      <t xml:space="preserve"> Companies with more than 100 employees (e.g., aerospace, automotive, defense)</t>
    </r>
  </si>
  <si>
    <t>Usage:</t>
  </si>
  <si>
    <t>Unlimited internal use (all teams, sites, clusters, and automation)</t>
  </si>
  <si>
    <t>Valid for integration in design workflows, optimization pipelines, or digital twins</t>
  </si>
  <si>
    <t>Included Services:</t>
  </si>
  <si>
    <t>📥 Access to all released modules and updates during license period</t>
  </si>
  <si>
    <t>🛠 Basic email support (response within 5 business days)</t>
  </si>
  <si>
    <t>Optional Add-ons (pricing upon request):</t>
  </si>
  <si>
    <r>
      <t xml:space="preserve">🧪 </t>
    </r>
    <r>
      <rPr>
        <b/>
        <sz val="11"/>
        <color theme="1"/>
        <rFont val="Aptos Narrow"/>
        <family val="2"/>
        <scheme val="minor"/>
      </rPr>
      <t>Validation Support:</t>
    </r>
    <r>
      <rPr>
        <sz val="11"/>
        <color theme="1"/>
        <rFont val="Aptos Narrow"/>
        <family val="2"/>
        <scheme val="minor"/>
      </rPr>
      <t xml:space="preserve"> Help with internal benchmarking and tool qualification</t>
    </r>
  </si>
  <si>
    <r>
      <t xml:space="preserve">📞 </t>
    </r>
    <r>
      <rPr>
        <b/>
        <sz val="11"/>
        <color theme="1"/>
        <rFont val="Aptos Narrow"/>
        <family val="2"/>
        <scheme val="minor"/>
      </rPr>
      <t>Priority Support:</t>
    </r>
    <r>
      <rPr>
        <sz val="11"/>
        <color theme="1"/>
        <rFont val="Aptos Narrow"/>
        <family val="2"/>
        <scheme val="minor"/>
      </rPr>
      <t xml:space="preserve"> Dedicated contact, faster response times</t>
    </r>
  </si>
  <si>
    <r>
      <t xml:space="preserve">🧭 </t>
    </r>
    <r>
      <rPr>
        <b/>
        <sz val="11"/>
        <color theme="1"/>
        <rFont val="Aptos Narrow"/>
        <family val="2"/>
        <scheme val="minor"/>
      </rPr>
      <t>Onboarding Session:</t>
    </r>
    <r>
      <rPr>
        <sz val="11"/>
        <color theme="1"/>
        <rFont val="Aptos Narrow"/>
        <family val="2"/>
        <scheme val="minor"/>
      </rPr>
      <t xml:space="preserve"> Introductory workshop for engineering teams</t>
    </r>
  </si>
  <si>
    <t>Large clients are encouraged to get in touch for tailored solutions or volume licensing models.</t>
  </si>
  <si>
    <t>🔧 Custom Feature Development</t>
  </si>
  <si>
    <t>Tailored extensions such as special imperfection patterns, material laws, or multi-axial load cases can be developed upon request.</t>
  </si>
  <si>
    <r>
      <t xml:space="preserve">💬 Contact us for availability and pricing. Custom development typically ranges from </t>
    </r>
    <r>
      <rPr>
        <b/>
        <sz val="11"/>
        <color theme="1"/>
        <rFont val="Aptos Narrow"/>
        <family val="2"/>
        <scheme val="minor"/>
      </rPr>
      <t>€25,000 to €150,000</t>
    </r>
    <r>
      <rPr>
        <sz val="11"/>
        <color theme="1"/>
        <rFont val="Aptos Narrow"/>
        <family val="2"/>
        <scheme val="minor"/>
      </rPr>
      <t>, depending on complexity and scope.</t>
    </r>
  </si>
  <si>
    <t>Exclusivity or IP transfer can be negotiated for an additional fee.</t>
  </si>
  <si>
    <t>📦 v1.1.17 – Refinements and Licensing</t>
  </si>
  <si>
    <t>Development Roadmap</t>
  </si>
  <si>
    <t>Impressum &amp; Tool Version ID</t>
  </si>
  <si>
    <t>⚠️ Recreating the tool from published data is theoretically possible, but not recommended.</t>
  </si>
  <si>
    <t>The official version ensures correctness, includes error-handling, validations, and is backed by the original author and scientific work.</t>
  </si>
  <si>
    <r>
      <t>Version:</t>
    </r>
    <r>
      <rPr>
        <sz val="11"/>
        <color theme="1"/>
        <rFont val="Aptos Narrow"/>
        <family val="2"/>
        <scheme val="minor"/>
      </rPr>
      <t xml:space="preserve"> v1.1 — July 2025</t>
    </r>
  </si>
  <si>
    <r>
      <t xml:space="preserve">💬 </t>
    </r>
    <r>
      <rPr>
        <b/>
        <sz val="11"/>
        <color theme="1"/>
        <rFont val="Aptos Narrow"/>
        <family val="2"/>
        <scheme val="minor"/>
      </rPr>
      <t>Why we chose an open tool model</t>
    </r>
  </si>
  <si>
    <t>We believe engineers should be able to test tools thoroughly before committing to licensing.</t>
  </si>
  <si>
    <t>The MDC Buckling Tool is fully usable and based on transparent science.</t>
  </si>
  <si>
    <t>If it helps your project or saves cost, please support further development by obtaining the appropriate license.</t>
  </si>
  <si>
    <t>Let’s keep engineering honest – and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</si>
</sst>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1"/>
      <color theme="1"/>
      <name val="Aptos Narrow"/>
      <family val="2"/>
      <scheme val="minor"/>
    </font>
    <font>
      <sz val="11"/>
      <color theme="1"/>
      <name val="Aptos Narrow"/>
      <family val="2"/>
      <scheme val="minor"/>
    </font>
    <font>
      <b/>
      <sz val="11"/>
      <color theme="1"/>
      <name val="Aptos Narrow"/>
      <family val="2"/>
      <scheme val="minor"/>
    </font>
    <font>
      <b/>
      <sz val="14"/>
      <color rgb="FF003366"/>
      <name val="Aptos Narrow"/>
      <family val="2"/>
      <scheme val="minor"/>
    </font>
    <font>
      <sz val="12"/>
      <color theme="1"/>
      <name val="Aptos Narrow"/>
      <family val="2"/>
      <scheme val="minor"/>
    </font>
    <font>
      <sz val="11"/>
      <color theme="1"/>
      <name val="Symbol"/>
      <family val="1"/>
      <charset val="2"/>
    </font>
    <font>
      <b/>
      <sz val="12"/>
      <color theme="1"/>
      <name val="Aptos Narrow"/>
      <family val="2"/>
      <scheme val="minor"/>
    </font>
    <font>
      <b/>
      <sz val="18"/>
      <color theme="1"/>
      <name val="Aptos Narrow"/>
      <family val="2"/>
      <scheme val="minor"/>
    </font>
    <font>
      <b/>
      <sz val="13.5"/>
      <color theme="1"/>
      <name val="Aptos Narrow"/>
      <family val="2"/>
      <scheme val="minor"/>
    </font>
    <font>
      <sz val="10"/>
      <color theme="1"/>
      <name val="Arial Unicode MS"/>
    </font>
    <font>
      <u/>
      <sz val="11"/>
      <color theme="10"/>
      <name val="Aptos Narrow"/>
      <family val="2"/>
      <scheme val="minor"/>
    </font>
    <font>
      <i/>
      <sz val="11"/>
      <color theme="1"/>
      <name val="Aptos Narrow"/>
      <family val="2"/>
      <scheme val="minor"/>
    </font>
  </fonts>
  <fills count="14">
    <fill>
      <patternFill patternType="none"/>
    </fill>
    <fill>
      <patternFill patternType="gray125"/>
    </fill>
    <fill>
      <patternFill patternType="solid">
        <fgColor rgb="FFF0F4F8"/>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FFE699"/>
        <bgColor indexed="64"/>
      </patternFill>
    </fill>
    <fill>
      <patternFill patternType="solid">
        <fgColor rgb="FFFFCF37"/>
        <bgColor indexed="64"/>
      </patternFill>
    </fill>
    <fill>
      <patternFill patternType="solid">
        <fgColor rgb="FFD9D2E9"/>
        <bgColor indexed="64"/>
      </patternFill>
    </fill>
    <fill>
      <patternFill patternType="solid">
        <fgColor rgb="FFBCB0D8"/>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9" fontId="1" fillId="0" borderId="0" applyFont="0" applyFill="0" applyBorder="0" applyAlignment="0" applyProtection="0"/>
    <xf numFmtId="0" fontId="10" fillId="0" borderId="0" applyNumberFormat="0" applyFill="0" applyBorder="0" applyAlignment="0" applyProtection="0"/>
  </cellStyleXfs>
  <cellXfs count="113">
    <xf numFmtId="0" fontId="0" fillId="0" borderId="0" xfId="0"/>
    <xf numFmtId="0" fontId="0" fillId="2" borderId="3" xfId="0" applyFill="1" applyBorder="1"/>
    <xf numFmtId="0" fontId="0" fillId="2" borderId="4" xfId="0" applyFill="1" applyBorder="1"/>
    <xf numFmtId="0" fontId="0" fillId="2" borderId="0" xfId="0" applyFill="1"/>
    <xf numFmtId="0" fontId="0" fillId="2" borderId="6" xfId="0" applyFill="1" applyBorder="1"/>
    <xf numFmtId="0" fontId="0" fillId="2" borderId="8" xfId="0" applyFill="1" applyBorder="1"/>
    <xf numFmtId="0" fontId="0" fillId="2" borderId="9" xfId="0" applyFill="1" applyBorder="1"/>
    <xf numFmtId="0" fontId="3" fillId="0" borderId="0" xfId="0" applyFont="1"/>
    <xf numFmtId="0" fontId="4" fillId="2" borderId="2" xfId="0" applyFont="1" applyFill="1" applyBorder="1"/>
    <xf numFmtId="0" fontId="4" fillId="2" borderId="3" xfId="0" applyFont="1" applyFill="1" applyBorder="1"/>
    <xf numFmtId="0" fontId="4" fillId="2" borderId="5" xfId="0" applyFont="1" applyFill="1" applyBorder="1"/>
    <xf numFmtId="0" fontId="4" fillId="2" borderId="0" xfId="0" applyFont="1" applyFill="1"/>
    <xf numFmtId="0" fontId="4" fillId="2" borderId="8" xfId="0" applyFont="1" applyFill="1" applyBorder="1"/>
    <xf numFmtId="2" fontId="0" fillId="0" borderId="0" xfId="0" applyNumberFormat="1"/>
    <xf numFmtId="0" fontId="0" fillId="0" borderId="7" xfId="0" applyBorder="1"/>
    <xf numFmtId="0" fontId="0" fillId="3" borderId="2" xfId="0" applyFill="1" applyBorder="1"/>
    <xf numFmtId="0" fontId="0" fillId="3" borderId="5" xfId="0" applyFill="1" applyBorder="1"/>
    <xf numFmtId="0" fontId="0" fillId="3" borderId="7" xfId="0" applyFill="1" applyBorder="1"/>
    <xf numFmtId="0" fontId="0" fillId="3" borderId="10" xfId="0" applyFill="1" applyBorder="1"/>
    <xf numFmtId="0" fontId="0" fillId="3" borderId="11" xfId="0" applyFill="1" applyBorder="1"/>
    <xf numFmtId="0" fontId="0" fillId="3" borderId="12" xfId="0" applyFill="1" applyBorder="1"/>
    <xf numFmtId="0" fontId="0" fillId="4" borderId="10" xfId="0" applyFill="1" applyBorder="1"/>
    <xf numFmtId="0" fontId="0" fillId="4" borderId="11" xfId="0" applyFill="1" applyBorder="1"/>
    <xf numFmtId="0" fontId="0" fillId="0" borderId="10" xfId="0" applyBorder="1"/>
    <xf numFmtId="0" fontId="0" fillId="0" borderId="11" xfId="0" applyBorder="1"/>
    <xf numFmtId="0" fontId="0" fillId="0" borderId="12" xfId="0" applyBorder="1"/>
    <xf numFmtId="0" fontId="5" fillId="3" borderId="11" xfId="0" applyFont="1" applyFill="1" applyBorder="1"/>
    <xf numFmtId="0" fontId="0" fillId="0" borderId="1" xfId="0" applyBorder="1"/>
    <xf numFmtId="2" fontId="0" fillId="5" borderId="4" xfId="0" applyNumberFormat="1" applyFill="1" applyBorder="1"/>
    <xf numFmtId="2" fontId="0" fillId="5" borderId="6" xfId="0" applyNumberFormat="1" applyFill="1" applyBorder="1"/>
    <xf numFmtId="2" fontId="0" fillId="5" borderId="9" xfId="0" applyNumberFormat="1" applyFill="1" applyBorder="1"/>
    <xf numFmtId="0" fontId="0" fillId="5" borderId="6" xfId="0" applyFill="1" applyBorder="1"/>
    <xf numFmtId="0" fontId="0" fillId="6" borderId="2" xfId="0" applyFill="1" applyBorder="1"/>
    <xf numFmtId="0" fontId="0" fillId="6" borderId="10" xfId="0" applyFill="1" applyBorder="1"/>
    <xf numFmtId="0" fontId="0" fillId="6" borderId="5" xfId="0" applyFill="1" applyBorder="1"/>
    <xf numFmtId="0" fontId="0" fillId="6" borderId="11" xfId="0" applyFill="1" applyBorder="1"/>
    <xf numFmtId="0" fontId="0" fillId="6" borderId="7" xfId="0" applyFill="1" applyBorder="1"/>
    <xf numFmtId="0" fontId="0" fillId="6" borderId="12" xfId="0" applyFill="1" applyBorder="1"/>
    <xf numFmtId="0" fontId="0" fillId="6" borderId="13" xfId="0" applyFill="1" applyBorder="1"/>
    <xf numFmtId="0" fontId="5" fillId="6" borderId="1" xfId="0" applyFont="1" applyFill="1" applyBorder="1"/>
    <xf numFmtId="0" fontId="0" fillId="8" borderId="2" xfId="0" applyFill="1" applyBorder="1"/>
    <xf numFmtId="0" fontId="0" fillId="8" borderId="4" xfId="0" applyFill="1" applyBorder="1"/>
    <xf numFmtId="0" fontId="0" fillId="8" borderId="5" xfId="0" applyFill="1" applyBorder="1"/>
    <xf numFmtId="0" fontId="0" fillId="8" borderId="6" xfId="0" applyFill="1" applyBorder="1"/>
    <xf numFmtId="0" fontId="0" fillId="8" borderId="7" xfId="0" applyFill="1" applyBorder="1"/>
    <xf numFmtId="0" fontId="0" fillId="8" borderId="9" xfId="0" applyFill="1" applyBorder="1"/>
    <xf numFmtId="10" fontId="0" fillId="7" borderId="12" xfId="1" applyNumberFormat="1" applyFont="1" applyFill="1" applyBorder="1"/>
    <xf numFmtId="0" fontId="0" fillId="0" borderId="13" xfId="0" applyBorder="1"/>
    <xf numFmtId="0" fontId="0" fillId="8" borderId="13" xfId="0" applyFill="1" applyBorder="1"/>
    <xf numFmtId="0" fontId="0" fillId="8" borderId="14" xfId="0" applyFill="1" applyBorder="1"/>
    <xf numFmtId="2" fontId="0" fillId="7" borderId="1" xfId="0" applyNumberFormat="1" applyFill="1" applyBorder="1"/>
    <xf numFmtId="0" fontId="0" fillId="0" borderId="15" xfId="0" applyBorder="1"/>
    <xf numFmtId="0" fontId="2" fillId="0" borderId="0" xfId="0" applyFont="1"/>
    <xf numFmtId="0" fontId="0" fillId="0" borderId="0" xfId="0" applyAlignment="1">
      <alignment horizontal="left" vertical="center" inden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2" fillId="0" borderId="0" xfId="0" applyFont="1"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indent="2"/>
    </xf>
    <xf numFmtId="0" fontId="9" fillId="0" borderId="0" xfId="0" applyFont="1" applyAlignment="1">
      <alignment horizontal="left" vertical="center" indent="2"/>
    </xf>
    <xf numFmtId="0" fontId="10" fillId="2" borderId="7" xfId="2"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0" xfId="0" applyFill="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4" fillId="9" borderId="8" xfId="0" applyFont="1" applyFill="1" applyBorder="1"/>
    <xf numFmtId="0" fontId="10" fillId="9" borderId="8" xfId="2" applyFill="1" applyBorder="1"/>
    <xf numFmtId="0" fontId="10" fillId="0" borderId="0" xfId="2" applyFill="1" applyBorder="1"/>
    <xf numFmtId="0" fontId="4" fillId="0" borderId="0" xfId="0" applyFont="1"/>
    <xf numFmtId="0" fontId="0" fillId="3" borderId="3" xfId="0" applyFill="1" applyBorder="1"/>
    <xf numFmtId="0" fontId="0" fillId="3" borderId="4" xfId="0" applyFill="1" applyBorder="1"/>
    <xf numFmtId="0" fontId="0" fillId="3" borderId="0" xfId="0" applyFill="1"/>
    <xf numFmtId="0" fontId="0" fillId="3" borderId="6" xfId="0" applyFill="1" applyBorder="1"/>
    <xf numFmtId="0" fontId="0" fillId="3" borderId="8" xfId="0" applyFill="1" applyBorder="1"/>
    <xf numFmtId="0" fontId="0" fillId="3" borderId="9" xfId="0" applyFill="1" applyBorder="1"/>
    <xf numFmtId="0" fontId="2" fillId="3" borderId="2" xfId="0" applyFont="1" applyFill="1" applyBorder="1" applyAlignment="1">
      <alignment horizontal="left" vertical="center" indent="2"/>
    </xf>
    <xf numFmtId="0" fontId="2" fillId="3" borderId="5" xfId="0" applyFont="1" applyFill="1" applyBorder="1" applyAlignment="1">
      <alignment horizontal="left" vertical="center" indent="2"/>
    </xf>
    <xf numFmtId="0" fontId="2" fillId="3" borderId="7" xfId="0" applyFont="1" applyFill="1" applyBorder="1" applyAlignment="1">
      <alignment horizontal="left" vertical="center" indent="2"/>
    </xf>
    <xf numFmtId="0" fontId="0" fillId="8" borderId="3" xfId="0" applyFill="1" applyBorder="1"/>
    <xf numFmtId="0" fontId="0" fillId="8" borderId="0" xfId="0" applyFill="1"/>
    <xf numFmtId="0" fontId="0" fillId="8" borderId="8" xfId="0" applyFill="1" applyBorder="1"/>
    <xf numFmtId="0" fontId="0" fillId="10" borderId="8" xfId="0" applyFill="1" applyBorder="1"/>
    <xf numFmtId="0" fontId="0" fillId="12" borderId="0" xfId="0" applyFill="1"/>
    <xf numFmtId="0" fontId="0" fillId="12" borderId="6" xfId="0" applyFill="1" applyBorder="1"/>
    <xf numFmtId="0" fontId="0" fillId="4" borderId="12" xfId="0" applyFill="1" applyBorder="1"/>
    <xf numFmtId="2" fontId="0" fillId="5" borderId="10" xfId="0" applyNumberFormat="1" applyFill="1" applyBorder="1"/>
    <xf numFmtId="2" fontId="0" fillId="5" borderId="11" xfId="0" applyNumberFormat="1" applyFill="1" applyBorder="1"/>
    <xf numFmtId="2" fontId="0" fillId="5" borderId="12" xfId="0" applyNumberFormat="1" applyFill="1" applyBorder="1"/>
    <xf numFmtId="2" fontId="0" fillId="7" borderId="12" xfId="0" applyNumberFormat="1" applyFill="1" applyBorder="1"/>
    <xf numFmtId="0" fontId="0" fillId="0" borderId="16" xfId="0" applyBorder="1"/>
    <xf numFmtId="2" fontId="0" fillId="11" borderId="11" xfId="0" applyNumberFormat="1" applyFill="1" applyBorder="1"/>
    <xf numFmtId="2" fontId="0" fillId="5" borderId="1" xfId="0" applyNumberFormat="1" applyFill="1" applyBorder="1"/>
    <xf numFmtId="164" fontId="0" fillId="7" borderId="10" xfId="0" applyNumberFormat="1" applyFill="1" applyBorder="1" applyProtection="1">
      <protection hidden="1"/>
    </xf>
    <xf numFmtId="164" fontId="0" fillId="11" borderId="12" xfId="0" applyNumberFormat="1" applyFill="1" applyBorder="1"/>
    <xf numFmtId="164" fontId="0" fillId="7" borderId="11" xfId="0" applyNumberFormat="1" applyFill="1" applyBorder="1" applyProtection="1">
      <protection hidden="1"/>
    </xf>
    <xf numFmtId="164" fontId="0" fillId="13" borderId="11" xfId="0" applyNumberFormat="1" applyFill="1" applyBorder="1"/>
    <xf numFmtId="9" fontId="0" fillId="0" borderId="0" xfId="1" applyFont="1"/>
    <xf numFmtId="10" fontId="0" fillId="0" borderId="0" xfId="0" applyNumberFormat="1"/>
    <xf numFmtId="0" fontId="0" fillId="10" borderId="3" xfId="0" applyFill="1" applyBorder="1"/>
    <xf numFmtId="164" fontId="0" fillId="11" borderId="10" xfId="0" applyNumberFormat="1" applyFill="1" applyBorder="1"/>
    <xf numFmtId="0" fontId="0" fillId="10" borderId="0" xfId="0" applyFill="1"/>
    <xf numFmtId="0" fontId="0" fillId="0" borderId="14" xfId="0" applyBorder="1"/>
    <xf numFmtId="0" fontId="0" fillId="0" borderId="0" xfId="0"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2" fillId="0" borderId="0" xfId="0" applyFont="1" applyAlignment="1">
      <alignment horizontal="center" vertical="center" wrapText="1"/>
    </xf>
    <xf numFmtId="17" fontId="0" fillId="0" borderId="0" xfId="0" applyNumberFormat="1" applyAlignment="1">
      <alignment vertical="center" wrapText="1"/>
    </xf>
  </cellXfs>
  <cellStyles count="3">
    <cellStyle name="Link" xfId="2" builtinId="8"/>
    <cellStyle name="Prozent" xfId="1" builtinId="5"/>
    <cellStyle name="Standard" xfId="0" builtinId="0"/>
  </cellStyles>
  <dxfs count="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BCB0D8"/>
      <color rgb="FFD9D2E9"/>
      <color rgb="FFB7C6E7"/>
      <color rgb="FFD9E1F2"/>
      <color rgb="FFFFCF37"/>
      <color rgb="FFFFE699"/>
      <color rgb="FFF0F4F8"/>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34062725711705"/>
          <c:y val="5.9983265262844691E-2"/>
          <c:w val="0.79344168348605593"/>
          <c:h val="0.71081659106171058"/>
        </c:manualLayout>
      </c:layout>
      <c:scatterChart>
        <c:scatterStyle val="smooth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1"/>
          <c:extLst>
            <c:ext xmlns:c16="http://schemas.microsoft.com/office/drawing/2014/chart" uri="{C3380CC4-5D6E-409C-BE32-E72D297353CC}">
              <c16:uniqueId val="{00000000-E325-4057-B16F-6712CE8D0B1B}"/>
            </c:ext>
          </c:extLst>
        </c:ser>
        <c:ser>
          <c:idx val="3"/>
          <c:order val="1"/>
          <c:tx>
            <c:strRef>
              <c:f>ReferenceData_Metal!$C$18</c:f>
              <c:strCache>
                <c:ptCount val="1"/>
                <c:pt idx="0">
                  <c:v>Imperfect Shell with current w/t ratio</c:v>
                </c:pt>
              </c:strCache>
            </c:strRef>
          </c:tx>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ReferenceData_Metal!$C$21:$C$31</c:f>
              <c:numCache>
                <c:formatCode>General</c:formatCode>
                <c:ptCount val="11"/>
                <c:pt idx="0">
                  <c:v>0.74199780000000004</c:v>
                </c:pt>
                <c:pt idx="1">
                  <c:v>0.63279686000000002</c:v>
                </c:pt>
                <c:pt idx="2">
                  <c:v>0.58979786000000001</c:v>
                </c:pt>
                <c:pt idx="3">
                  <c:v>0.54359902000000004</c:v>
                </c:pt>
                <c:pt idx="4">
                  <c:v>0.49379956000000003</c:v>
                </c:pt>
                <c:pt idx="5">
                  <c:v>0.46279986000000006</c:v>
                </c:pt>
                <c:pt idx="6">
                  <c:v>0.42659991999999997</c:v>
                </c:pt>
                <c:pt idx="7">
                  <c:v>0.40419994000000004</c:v>
                </c:pt>
                <c:pt idx="8">
                  <c:v>0.37279996000000004</c:v>
                </c:pt>
                <c:pt idx="9">
                  <c:v>0.34079996000000001</c:v>
                </c:pt>
                <c:pt idx="10">
                  <c:v>0.30180775999999998</c:v>
                </c:pt>
              </c:numCache>
            </c:numRef>
          </c:yVal>
          <c:smooth val="1"/>
          <c:extLst>
            <c:ext xmlns:c16="http://schemas.microsoft.com/office/drawing/2014/chart" uri="{C3380CC4-5D6E-409C-BE32-E72D297353CC}">
              <c16:uniqueId val="{00000001-E325-4057-B16F-6712CE8D0B1B}"/>
            </c:ext>
          </c:extLst>
        </c:ser>
        <c:ser>
          <c:idx val="0"/>
          <c:order val="2"/>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2-E325-4057-B16F-6712CE8D0B1B}"/>
            </c:ext>
          </c:extLst>
        </c:ser>
        <c:ser>
          <c:idx val="2"/>
          <c:order val="3"/>
          <c:spPr>
            <a:ln w="19050">
              <a:solidFill>
                <a:srgbClr val="EE0000"/>
              </a:solidFill>
              <a:prstDash val="sysDash"/>
            </a:ln>
          </c:spPr>
          <c:marker>
            <c:symbol val="none"/>
          </c:marker>
          <c:xVal>
            <c:numRef>
              <c:f>ReferenceData_Metal!$J$24:$J$25</c:f>
              <c:numCache>
                <c:formatCode>General</c:formatCode>
                <c:ptCount val="2"/>
                <c:pt idx="0">
                  <c:v>1</c:v>
                </c:pt>
                <c:pt idx="1">
                  <c:v>10000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3-E325-4057-B16F-6712CE8D0B1B}"/>
            </c:ext>
          </c:extLst>
        </c:ser>
        <c:dLbls>
          <c:showLegendKey val="0"/>
          <c:showVal val="0"/>
          <c:showCatName val="0"/>
          <c:showSerName val="0"/>
          <c:showPercent val="0"/>
          <c:showBubbleSize val="0"/>
        </c:dLbls>
        <c:axId val="529797808"/>
        <c:axId val="529814608"/>
      </c:scatterChart>
      <c:valAx>
        <c:axId val="529797808"/>
        <c:scaling>
          <c:logBase val="10"/>
          <c:orientation val="minMax"/>
          <c:min val="1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000" b="1">
                  <a:solidFill>
                    <a:schemeClr val="tx1"/>
                  </a:solidFill>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000" b="1">
                  <a:solidFill>
                    <a:schemeClr val="tx1"/>
                  </a:solidFill>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legendEntry>
        <c:idx val="2"/>
        <c:delete val="1"/>
      </c:legendEntry>
      <c:legendEntry>
        <c:idx val="3"/>
        <c:delete val="1"/>
      </c:legendEntry>
      <c:layout>
        <c:manualLayout>
          <c:xMode val="edge"/>
          <c:yMode val="edge"/>
          <c:x val="8.1189292789585425E-3"/>
          <c:y val="0.93947959570321649"/>
          <c:w val="0.98671805551643743"/>
          <c:h val="5.7845394371835009E-2"/>
        </c:manualLayout>
      </c:layout>
      <c:overlay val="0"/>
    </c:legend>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tx1"/>
              </a:solidFill>
              <a:round/>
            </a:ln>
            <a:effectLst/>
          </c:spPr>
          <c:marker>
            <c:symbol val="none"/>
          </c:marker>
          <c:xVal>
            <c:numRef>
              <c:f>ReferenceData_Metal!$F$21:$F$28</c:f>
              <c:numCache>
                <c:formatCode>General</c:formatCode>
                <c:ptCount val="8"/>
                <c:pt idx="0">
                  <c:v>0</c:v>
                </c:pt>
                <c:pt idx="1">
                  <c:v>0.5</c:v>
                </c:pt>
                <c:pt idx="2">
                  <c:v>1</c:v>
                </c:pt>
                <c:pt idx="3">
                  <c:v>2</c:v>
                </c:pt>
                <c:pt idx="4">
                  <c:v>3</c:v>
                </c:pt>
                <c:pt idx="5">
                  <c:v>4</c:v>
                </c:pt>
                <c:pt idx="6">
                  <c:v>6</c:v>
                </c:pt>
                <c:pt idx="7">
                  <c:v>7.99</c:v>
                </c:pt>
              </c:numCache>
            </c:numRef>
          </c:xVal>
          <c:yVal>
            <c:numRef>
              <c:f>ReferenceData_Metal!$G$21:$G$28</c:f>
              <c:numCache>
                <c:formatCode>General</c:formatCode>
                <c:ptCount val="8"/>
                <c:pt idx="0">
                  <c:v>0.56026402033037048</c:v>
                </c:pt>
                <c:pt idx="1">
                  <c:v>0.51647419383158255</c:v>
                </c:pt>
                <c:pt idx="2">
                  <c:v>0.44047344900080804</c:v>
                </c:pt>
                <c:pt idx="3">
                  <c:v>0.3526140612221324</c:v>
                </c:pt>
                <c:pt idx="4">
                  <c:v>0.30849139794386088</c:v>
                </c:pt>
                <c:pt idx="5">
                  <c:v>0.28242109183319863</c:v>
                </c:pt>
                <c:pt idx="6">
                  <c:v>0.25107030611066217</c:v>
                </c:pt>
                <c:pt idx="7">
                  <c:v>0.2314322652327602</c:v>
                </c:pt>
              </c:numCache>
            </c:numRef>
          </c:yVal>
          <c:smooth val="1"/>
          <c:extLst>
            <c:ext xmlns:c16="http://schemas.microsoft.com/office/drawing/2014/chart" uri="{C3380CC4-5D6E-409C-BE32-E72D297353CC}">
              <c16:uniqueId val="{00000000-01CB-4442-BDE6-B59884A13E38}"/>
            </c:ext>
          </c:extLst>
        </c:ser>
        <c:ser>
          <c:idx val="1"/>
          <c:order val="1"/>
          <c:spPr>
            <a:ln w="19050" cap="rnd">
              <a:solidFill>
                <a:srgbClr val="EE0000"/>
              </a:solidFill>
              <a:prstDash val="sysDash"/>
              <a:round/>
            </a:ln>
            <a:effectLst/>
          </c:spPr>
          <c:marker>
            <c:symbol val="none"/>
          </c:marker>
          <c:xVal>
            <c:numRef>
              <c:f>ReferenceData_Metal!$I$24:$I$25</c:f>
              <c:numCache>
                <c:formatCode>General</c:formatCode>
                <c:ptCount val="2"/>
                <c:pt idx="0">
                  <c:v>0.3</c:v>
                </c:pt>
                <c:pt idx="1">
                  <c:v>0.3</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1-01CB-4442-BDE6-B59884A13E38}"/>
            </c:ext>
          </c:extLst>
        </c:ser>
        <c:ser>
          <c:idx val="2"/>
          <c:order val="2"/>
          <c:spPr>
            <a:ln w="19050" cap="rnd">
              <a:solidFill>
                <a:srgbClr val="EE0000"/>
              </a:solidFill>
              <a:prstDash val="sysDash"/>
              <a:round/>
            </a:ln>
            <a:effectLst/>
          </c:spPr>
          <c:marker>
            <c:symbol val="none"/>
          </c:marker>
          <c:xVal>
            <c:numRef>
              <c:f>ReferenceData_Metal!$J$21:$J$22</c:f>
              <c:numCache>
                <c:formatCode>General</c:formatCode>
                <c:ptCount val="2"/>
                <c:pt idx="0">
                  <c:v>-1</c:v>
                </c:pt>
                <c:pt idx="1">
                  <c:v>10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2-01CB-4442-BDE6-B59884A13E38}"/>
            </c:ext>
          </c:extLst>
        </c:ser>
        <c:dLbls>
          <c:showLegendKey val="0"/>
          <c:showVal val="0"/>
          <c:showCatName val="0"/>
          <c:showSerName val="0"/>
          <c:showPercent val="0"/>
          <c:showBubbleSize val="0"/>
        </c:dLbls>
        <c:axId val="1558677936"/>
        <c:axId val="1558675536"/>
      </c:scatterChart>
      <c:valAx>
        <c:axId val="1558677936"/>
        <c:scaling>
          <c:orientation val="minMax"/>
          <c:max val="8"/>
          <c:min val="0"/>
        </c:scaling>
        <c:delete val="0"/>
        <c:axPos val="b"/>
        <c:majorGridlines>
          <c:spPr>
            <a:ln w="9525" cap="flat" cmpd="sng" algn="ctr">
              <a:solidFill>
                <a:schemeClr val="tx1">
                  <a:lumMod val="15000"/>
                  <a:lumOff val="85000"/>
                </a:schemeClr>
              </a:solidFill>
              <a:round/>
            </a:ln>
            <a:effectLst/>
          </c:spPr>
        </c:majorGridlines>
        <c:title>
          <c:tx>
            <c:strRef>
              <c:f>MDC_KDF_Calculator!$B$15</c:f>
              <c:strCache>
                <c:ptCount val="1"/>
                <c:pt idx="0">
                  <c:v>Imperfection Amplitude-to-Thickness ratio</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5536"/>
        <c:crosses val="autoZero"/>
        <c:crossBetween val="midCat"/>
      </c:valAx>
      <c:valAx>
        <c:axId val="155867553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7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1792747105362"/>
          <c:y val="6.0596674169806311E-2"/>
          <c:w val="0.7843837702417501"/>
          <c:h val="0.82912057970901154"/>
        </c:manualLayout>
      </c:layout>
      <c:scatterChart>
        <c:scatterStyle val="smoothMarker"/>
        <c:varyColors val="0"/>
        <c:ser>
          <c:idx val="1"/>
          <c:order val="0"/>
          <c:tx>
            <c:strRef>
              <c:f>ReferenceData_Metal!$H$16</c:f>
              <c:strCache>
                <c:ptCount val="1"/>
                <c:pt idx="0">
                  <c:v>for pure elastic buckling l &gt; 1.45</c:v>
                </c:pt>
              </c:strCache>
            </c:strRef>
          </c:tx>
          <c:spPr>
            <a:ln>
              <a:solidFill>
                <a:srgbClr val="00B0F0"/>
              </a:solidFill>
            </a:ln>
          </c:spPr>
          <c:marker>
            <c:symbol val="none"/>
          </c:marker>
          <c:xVal>
            <c:numRef>
              <c:f>ReferenceData_Metal!$A$21:$A$31</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9999</c:v>
                </c:pt>
              </c:numCache>
            </c:numRef>
          </c:xVal>
          <c:yVal>
            <c:numRef>
              <c:f>ReferenceData_Metal!$O$21:$O$31</c:f>
              <c:numCache>
                <c:formatCode>0%</c:formatCode>
                <c:ptCount val="11"/>
                <c:pt idx="0">
                  <c:v>0.27858702213669051</c:v>
                </c:pt>
                <c:pt idx="1">
                  <c:v>0.21881642764079989</c:v>
                </c:pt>
                <c:pt idx="2">
                  <c:v>0.19084138310266729</c:v>
                </c:pt>
                <c:pt idx="3">
                  <c:v>0.15715846952670554</c:v>
                </c:pt>
                <c:pt idx="4">
                  <c:v>0.11567905711675952</c:v>
                </c:pt>
                <c:pt idx="5">
                  <c:v>8.654186016494303E-2</c:v>
                </c:pt>
                <c:pt idx="6">
                  <c:v>4.8574308059770699E-2</c:v>
                </c:pt>
                <c:pt idx="7">
                  <c:v>2.25666855946689E-2</c:v>
                </c:pt>
                <c:pt idx="8">
                  <c:v>-1.7764576420155054E-2</c:v>
                </c:pt>
                <c:pt idx="9">
                  <c:v>-6.4475063436002289E-2</c:v>
                </c:pt>
                <c:pt idx="10">
                  <c:v>-0.13114963206495101</c:v>
                </c:pt>
              </c:numCache>
            </c:numRef>
          </c:yVal>
          <c:smooth val="1"/>
          <c:extLst>
            <c:ext xmlns:c16="http://schemas.microsoft.com/office/drawing/2014/chart" uri="{C3380CC4-5D6E-409C-BE32-E72D297353CC}">
              <c16:uniqueId val="{00000000-8715-4BDD-911A-9F060E102B13}"/>
            </c:ext>
          </c:extLst>
        </c:ser>
        <c:ser>
          <c:idx val="0"/>
          <c:order val="1"/>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1-8715-4BDD-911A-9F060E102B13}"/>
            </c:ext>
          </c:extLst>
        </c:ser>
        <c:ser>
          <c:idx val="2"/>
          <c:order val="2"/>
          <c:spPr>
            <a:ln w="19050">
              <a:solidFill>
                <a:srgbClr val="FF0000"/>
              </a:solidFill>
              <a:prstDash val="sysDash"/>
            </a:ln>
          </c:spPr>
          <c:marker>
            <c:symbol val="none"/>
          </c:marker>
          <c:xVal>
            <c:numRef>
              <c:f>ReferenceData_Metal!$J$24:$J$25</c:f>
              <c:numCache>
                <c:formatCode>General</c:formatCode>
                <c:ptCount val="2"/>
                <c:pt idx="0">
                  <c:v>1</c:v>
                </c:pt>
                <c:pt idx="1">
                  <c:v>10000</c:v>
                </c:pt>
              </c:numCache>
            </c:numRef>
          </c:xVal>
          <c:yVal>
            <c:numRef>
              <c:f>ReferenceData_Metal!$J$28:$J$29</c:f>
              <c:numCache>
                <c:formatCode>0.00%</c:formatCode>
                <c:ptCount val="2"/>
                <c:pt idx="0">
                  <c:v>0.14960831886606762</c:v>
                </c:pt>
                <c:pt idx="1">
                  <c:v>0.14960831886606762</c:v>
                </c:pt>
              </c:numCache>
            </c:numRef>
          </c:yVal>
          <c:smooth val="1"/>
          <c:extLst>
            <c:ext xmlns:c16="http://schemas.microsoft.com/office/drawing/2014/chart" uri="{C3380CC4-5D6E-409C-BE32-E72D297353CC}">
              <c16:uniqueId val="{00000002-8715-4BDD-911A-9F060E102B13}"/>
            </c:ext>
          </c:extLst>
        </c:ser>
        <c:dLbls>
          <c:showLegendKey val="0"/>
          <c:showVal val="0"/>
          <c:showCatName val="0"/>
          <c:showSerName val="0"/>
          <c:showPercent val="0"/>
          <c:showBubbleSize val="0"/>
        </c:dLbls>
        <c:axId val="529797808"/>
        <c:axId val="529814608"/>
      </c:scatterChart>
      <c:valAx>
        <c:axId val="529797808"/>
        <c:scaling>
          <c:logBase val="10"/>
          <c:orientation val="minMax"/>
          <c:min val="1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000" b="1"/>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0.5"/>
          <c:min val="-0.25"/>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a:pPr>
                <a:r>
                  <a:rPr lang="de-DE" sz="1000" b="0" i="0" u="none" strike="noStrike" baseline="0"/>
                  <a:t>Relative Weight Savings vs. SP-8007 </a:t>
                </a:r>
                <a:endParaRPr lang="en-US" sz="1000" b="0"/>
              </a:p>
            </c:rich>
          </c:tx>
          <c:overlay val="0"/>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1"/>
          <c:extLst>
            <c:ext xmlns:c16="http://schemas.microsoft.com/office/drawing/2014/chart" uri="{C3380CC4-5D6E-409C-BE32-E72D297353CC}">
              <c16:uniqueId val="{00000000-739F-4892-B8D4-0F9E8FCF7B27}"/>
            </c:ext>
          </c:extLst>
        </c:ser>
        <c:ser>
          <c:idx val="2"/>
          <c:order val="1"/>
          <c:tx>
            <c:strRef>
              <c:f>ReferenceData_Metal!$C$14</c:f>
              <c:strCache>
                <c:ptCount val="1"/>
                <c:pt idx="0">
                  <c:v>w/t = 0.5</c:v>
                </c:pt>
              </c:strCache>
            </c:strRef>
          </c:tx>
          <c:spPr>
            <a:ln w="19050" cap="rnd">
              <a:solidFill>
                <a:srgbClr val="C0000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ReferenceData_Metal!$C$2:$C$12</c:f>
              <c:numCache>
                <c:formatCode>General</c:formatCode>
                <c:ptCount val="11"/>
                <c:pt idx="0">
                  <c:v>0.69799999999999995</c:v>
                </c:pt>
                <c:pt idx="1">
                  <c:v>0.56999999999999995</c:v>
                </c:pt>
                <c:pt idx="2">
                  <c:v>0.54700000000000004</c:v>
                </c:pt>
                <c:pt idx="3">
                  <c:v>0.52400000000000002</c:v>
                </c:pt>
                <c:pt idx="4">
                  <c:v>0.48499999999999999</c:v>
                </c:pt>
                <c:pt idx="5">
                  <c:v>0.46</c:v>
                </c:pt>
                <c:pt idx="6">
                  <c:v>0.42499999999999999</c:v>
                </c:pt>
                <c:pt idx="7">
                  <c:v>0.40300000000000002</c:v>
                </c:pt>
                <c:pt idx="8">
                  <c:v>0.372</c:v>
                </c:pt>
                <c:pt idx="9">
                  <c:v>0.34</c:v>
                </c:pt>
                <c:pt idx="10">
                  <c:v>0.30099999999999999</c:v>
                </c:pt>
              </c:numCache>
            </c:numRef>
          </c:yVal>
          <c:smooth val="1"/>
          <c:extLst>
            <c:ext xmlns:c16="http://schemas.microsoft.com/office/drawing/2014/chart" uri="{C3380CC4-5D6E-409C-BE32-E72D297353CC}">
              <c16:uniqueId val="{00000001-739F-4892-B8D4-0F9E8FCF7B27}"/>
            </c:ext>
          </c:extLst>
        </c:ser>
        <c:ser>
          <c:idx val="3"/>
          <c:order val="2"/>
          <c:tx>
            <c:strRef>
              <c:f>ReferenceData_Metal!$D$14</c:f>
              <c:strCache>
                <c:ptCount val="1"/>
                <c:pt idx="0">
                  <c:v>w/t = 1</c:v>
                </c:pt>
              </c:strCache>
            </c:strRef>
          </c:tx>
          <c:spPr>
            <a:ln w="19050" cap="rnd">
              <a:solidFill>
                <a:srgbClr val="00B05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ReferenceData_Metal!$D$2:$D$12</c:f>
              <c:numCache>
                <c:formatCode>General</c:formatCode>
                <c:ptCount val="11"/>
                <c:pt idx="0">
                  <c:v>0.622</c:v>
                </c:pt>
                <c:pt idx="1">
                  <c:v>0.47799999999999998</c:v>
                </c:pt>
                <c:pt idx="2">
                  <c:v>0.437</c:v>
                </c:pt>
                <c:pt idx="3">
                  <c:v>0.437</c:v>
                </c:pt>
                <c:pt idx="4">
                  <c:v>0.45500000000000002</c:v>
                </c:pt>
                <c:pt idx="5">
                  <c:v>0.42499999999999999</c:v>
                </c:pt>
                <c:pt idx="6">
                  <c:v>0.40400000000000003</c:v>
                </c:pt>
                <c:pt idx="7">
                  <c:v>0.38800000000000001</c:v>
                </c:pt>
                <c:pt idx="8">
                  <c:v>0.36599999999999999</c:v>
                </c:pt>
                <c:pt idx="9">
                  <c:v>0.33100000000000002</c:v>
                </c:pt>
                <c:pt idx="10">
                  <c:v>0.29799999999999999</c:v>
                </c:pt>
              </c:numCache>
            </c:numRef>
          </c:yVal>
          <c:smooth val="1"/>
          <c:extLst>
            <c:ext xmlns:c16="http://schemas.microsoft.com/office/drawing/2014/chart" uri="{C3380CC4-5D6E-409C-BE32-E72D297353CC}">
              <c16:uniqueId val="{00000002-739F-4892-B8D4-0F9E8FCF7B27}"/>
            </c:ext>
          </c:extLst>
        </c:ser>
        <c:ser>
          <c:idx val="4"/>
          <c:order val="3"/>
          <c:tx>
            <c:strRef>
              <c:f>ReferenceData_Metal!$E$14</c:f>
              <c:strCache>
                <c:ptCount val="1"/>
                <c:pt idx="0">
                  <c:v>w/t = 2</c:v>
                </c:pt>
              </c:strCache>
            </c:strRef>
          </c:tx>
          <c:spPr>
            <a:ln w="19050" cap="rnd">
              <a:solidFill>
                <a:srgbClr val="0070C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ReferenceData_Metal!$E$2:$E$12</c:f>
              <c:numCache>
                <c:formatCode>General</c:formatCode>
                <c:ptCount val="11"/>
                <c:pt idx="0">
                  <c:v>0.54600000000000004</c:v>
                </c:pt>
                <c:pt idx="1">
                  <c:v>0.42</c:v>
                </c:pt>
                <c:pt idx="2">
                  <c:v>0.36699999999999999</c:v>
                </c:pt>
                <c:pt idx="3">
                  <c:v>0.35299999999999998</c:v>
                </c:pt>
                <c:pt idx="4">
                  <c:v>0.35099999999999998</c:v>
                </c:pt>
                <c:pt idx="5">
                  <c:v>0.35899999999999999</c:v>
                </c:pt>
                <c:pt idx="6">
                  <c:v>0.36499999999999999</c:v>
                </c:pt>
                <c:pt idx="7">
                  <c:v>0.35699999999999998</c:v>
                </c:pt>
                <c:pt idx="8">
                  <c:v>0.33700000000000002</c:v>
                </c:pt>
                <c:pt idx="9">
                  <c:v>0.32</c:v>
                </c:pt>
                <c:pt idx="10">
                  <c:v>0.28599999999999998</c:v>
                </c:pt>
              </c:numCache>
            </c:numRef>
          </c:yVal>
          <c:smooth val="1"/>
          <c:extLst>
            <c:ext xmlns:c16="http://schemas.microsoft.com/office/drawing/2014/chart" uri="{C3380CC4-5D6E-409C-BE32-E72D297353CC}">
              <c16:uniqueId val="{00000003-739F-4892-B8D4-0F9E8FCF7B27}"/>
            </c:ext>
          </c:extLst>
        </c:ser>
        <c:ser>
          <c:idx val="5"/>
          <c:order val="4"/>
          <c:tx>
            <c:strRef>
              <c:f>ReferenceData_Metal!$F$14</c:f>
              <c:strCache>
                <c:ptCount val="1"/>
                <c:pt idx="0">
                  <c:v>w/t = 3</c:v>
                </c:pt>
              </c:strCache>
            </c:strRef>
          </c:tx>
          <c:spPr>
            <a:ln w="19050" cap="rnd">
              <a:solidFill>
                <a:schemeClr val="accent1"/>
              </a:solidFill>
              <a:prstDash val="sysDot"/>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ReferenceData_Metal!$F$2:$F$12</c:f>
              <c:numCache>
                <c:formatCode>General</c:formatCode>
                <c:ptCount val="11"/>
                <c:pt idx="0">
                  <c:v>0.52200000000000002</c:v>
                </c:pt>
                <c:pt idx="1">
                  <c:v>0.38100000000000001</c:v>
                </c:pt>
                <c:pt idx="2">
                  <c:v>0.32500000000000001</c:v>
                </c:pt>
                <c:pt idx="3">
                  <c:v>0.311</c:v>
                </c:pt>
                <c:pt idx="4">
                  <c:v>0.29799999999999999</c:v>
                </c:pt>
                <c:pt idx="5">
                  <c:v>0.30599999999999999</c:v>
                </c:pt>
                <c:pt idx="6">
                  <c:v>0.313</c:v>
                </c:pt>
                <c:pt idx="7">
                  <c:v>0.316</c:v>
                </c:pt>
                <c:pt idx="8">
                  <c:v>0.318</c:v>
                </c:pt>
                <c:pt idx="9">
                  <c:v>0.307</c:v>
                </c:pt>
                <c:pt idx="10">
                  <c:v>0.26700000000000002</c:v>
                </c:pt>
              </c:numCache>
            </c:numRef>
          </c:yVal>
          <c:smooth val="1"/>
          <c:extLst>
            <c:ext xmlns:c16="http://schemas.microsoft.com/office/drawing/2014/chart" uri="{C3380CC4-5D6E-409C-BE32-E72D297353CC}">
              <c16:uniqueId val="{00000004-739F-4892-B8D4-0F9E8FCF7B27}"/>
            </c:ext>
          </c:extLst>
        </c:ser>
        <c:ser>
          <c:idx val="6"/>
          <c:order val="5"/>
          <c:tx>
            <c:strRef>
              <c:f>ReferenceData_Metal!$G$14</c:f>
              <c:strCache>
                <c:ptCount val="1"/>
                <c:pt idx="0">
                  <c:v>w/t = 4</c:v>
                </c:pt>
              </c:strCache>
            </c:strRef>
          </c:tx>
          <c:spPr>
            <a:ln w="19050" cap="rnd">
              <a:solidFill>
                <a:schemeClr val="accent1"/>
              </a:solidFill>
              <a:prstDash val="sysDash"/>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ReferenceData_Metal!$G$2:$G$12</c:f>
              <c:numCache>
                <c:formatCode>General</c:formatCode>
                <c:ptCount val="11"/>
                <c:pt idx="0">
                  <c:v>0.49399999999999999</c:v>
                </c:pt>
                <c:pt idx="1">
                  <c:v>0.35799999999999998</c:v>
                </c:pt>
                <c:pt idx="2">
                  <c:v>0.29699999999999999</c:v>
                </c:pt>
                <c:pt idx="3">
                  <c:v>0.28299999999999997</c:v>
                </c:pt>
                <c:pt idx="4">
                  <c:v>0.28000000000000003</c:v>
                </c:pt>
                <c:pt idx="5">
                  <c:v>0.27300000000000002</c:v>
                </c:pt>
                <c:pt idx="6">
                  <c:v>0.27300000000000002</c:v>
                </c:pt>
                <c:pt idx="7">
                  <c:v>0.28599999999999998</c:v>
                </c:pt>
                <c:pt idx="8">
                  <c:v>0.28699999999999998</c:v>
                </c:pt>
                <c:pt idx="9">
                  <c:v>0.28299999999999997</c:v>
                </c:pt>
                <c:pt idx="10">
                  <c:v>0.254</c:v>
                </c:pt>
              </c:numCache>
            </c:numRef>
          </c:yVal>
          <c:smooth val="1"/>
          <c:extLst>
            <c:ext xmlns:c16="http://schemas.microsoft.com/office/drawing/2014/chart" uri="{C3380CC4-5D6E-409C-BE32-E72D297353CC}">
              <c16:uniqueId val="{00000005-739F-4892-B8D4-0F9E8FCF7B27}"/>
            </c:ext>
          </c:extLst>
        </c:ser>
        <c:ser>
          <c:idx val="7"/>
          <c:order val="6"/>
          <c:tx>
            <c:strRef>
              <c:f>ReferenceData_Metal!$H$14</c:f>
              <c:strCache>
                <c:ptCount val="1"/>
                <c:pt idx="0">
                  <c:v>w/t = 6</c:v>
                </c:pt>
              </c:strCache>
            </c:strRef>
          </c:tx>
          <c:spPr>
            <a:ln w="19050" cap="rnd">
              <a:solidFill>
                <a:schemeClr val="accent1"/>
              </a:solidFill>
              <a:prstDash val="dash"/>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ReferenceData_Metal!$H$2:$H$12</c:f>
              <c:numCache>
                <c:formatCode>General</c:formatCode>
                <c:ptCount val="11"/>
                <c:pt idx="0">
                  <c:v>0.48399999999999999</c:v>
                </c:pt>
                <c:pt idx="1">
                  <c:v>0.34100000000000003</c:v>
                </c:pt>
                <c:pt idx="2">
                  <c:v>0.27600000000000002</c:v>
                </c:pt>
                <c:pt idx="3">
                  <c:v>0.253</c:v>
                </c:pt>
                <c:pt idx="4">
                  <c:v>0.24299999999999999</c:v>
                </c:pt>
                <c:pt idx="5">
                  <c:v>0.24</c:v>
                </c:pt>
                <c:pt idx="6">
                  <c:v>0.24</c:v>
                </c:pt>
                <c:pt idx="7">
                  <c:v>0.23799999999999999</c:v>
                </c:pt>
                <c:pt idx="8">
                  <c:v>0.23899999999999999</c:v>
                </c:pt>
                <c:pt idx="9">
                  <c:v>0.246</c:v>
                </c:pt>
                <c:pt idx="10">
                  <c:v>0.23200000000000001</c:v>
                </c:pt>
              </c:numCache>
            </c:numRef>
          </c:yVal>
          <c:smooth val="1"/>
          <c:extLst>
            <c:ext xmlns:c16="http://schemas.microsoft.com/office/drawing/2014/chart" uri="{C3380CC4-5D6E-409C-BE32-E72D297353CC}">
              <c16:uniqueId val="{00000006-739F-4892-B8D4-0F9E8FCF7B27}"/>
            </c:ext>
          </c:extLst>
        </c:ser>
        <c:ser>
          <c:idx val="0"/>
          <c:order val="7"/>
          <c:tx>
            <c:strRef>
              <c:f>ReferenceData_Metal!$I$14</c:f>
              <c:strCache>
                <c:ptCount val="1"/>
                <c:pt idx="0">
                  <c:v>w/t = 8</c:v>
                </c:pt>
              </c:strCache>
            </c:strRef>
          </c:tx>
          <c:spPr>
            <a:ln w="19050" cap="rnd">
              <a:solidFill>
                <a:schemeClr val="accent1"/>
              </a:solidFill>
              <a:prstDash val="dashDot"/>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ReferenceData_Metal!$I$2:$I$12</c:f>
              <c:numCache>
                <c:formatCode>General</c:formatCode>
                <c:ptCount val="11"/>
                <c:pt idx="0">
                  <c:v>0.46800000000000003</c:v>
                </c:pt>
                <c:pt idx="1">
                  <c:v>0.32200000000000001</c:v>
                </c:pt>
                <c:pt idx="2">
                  <c:v>0.25900000000000001</c:v>
                </c:pt>
                <c:pt idx="3">
                  <c:v>0.23499999999999999</c:v>
                </c:pt>
                <c:pt idx="4">
                  <c:v>0.216</c:v>
                </c:pt>
                <c:pt idx="5">
                  <c:v>0.214</c:v>
                </c:pt>
                <c:pt idx="6">
                  <c:v>0.20899999999999999</c:v>
                </c:pt>
                <c:pt idx="7">
                  <c:v>0.21</c:v>
                </c:pt>
                <c:pt idx="8">
                  <c:v>0.217</c:v>
                </c:pt>
                <c:pt idx="9">
                  <c:v>0.221</c:v>
                </c:pt>
                <c:pt idx="10">
                  <c:v>0.218</c:v>
                </c:pt>
              </c:numCache>
            </c:numRef>
          </c:yVal>
          <c:smooth val="1"/>
          <c:extLst>
            <c:ext xmlns:c16="http://schemas.microsoft.com/office/drawing/2014/chart" uri="{C3380CC4-5D6E-409C-BE32-E72D297353CC}">
              <c16:uniqueId val="{00000007-739F-4892-B8D4-0F9E8FCF7B27}"/>
            </c:ext>
          </c:extLst>
        </c:ser>
        <c:dLbls>
          <c:showLegendKey val="0"/>
          <c:showVal val="0"/>
          <c:showCatName val="0"/>
          <c:showSerName val="0"/>
          <c:showPercent val="0"/>
          <c:showBubbleSize val="0"/>
        </c:dLbls>
        <c:axId val="529797808"/>
        <c:axId val="529814608"/>
      </c:scatterChart>
      <c:valAx>
        <c:axId val="529797808"/>
        <c:scaling>
          <c:orientation val="minMax"/>
          <c:max val="10000"/>
        </c:scaling>
        <c:delete val="0"/>
        <c:axPos val="b"/>
        <c:title>
          <c:tx>
            <c:strRef>
              <c:f>ReferenceData_Metal!$A$17</c:f>
              <c:strCache>
                <c:ptCount val="1"/>
                <c:pt idx="0">
                  <c:v>Batdorf Parameter Z</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overlay val="0"/>
    </c:legend>
    <c:plotVisOnly val="1"/>
    <c:dispBlanksAs val="gap"/>
    <c:showDLblsOverMax val="0"/>
    <c:extLst/>
  </c:chart>
  <c:txPr>
    <a:bodyPr/>
    <a:lstStyle/>
    <a:p>
      <a:pPr>
        <a:defRPr/>
      </a:pPr>
      <a:endParaRPr lang="en-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accent1"/>
              </a:solidFill>
              <a:round/>
            </a:ln>
            <a:effectLst/>
          </c:spPr>
          <c:marker>
            <c:symbol val="none"/>
          </c:marker>
          <c:xVal>
            <c:numRef>
              <c:f>ReferenceData_Metal!$F$21:$F$28</c:f>
              <c:numCache>
                <c:formatCode>General</c:formatCode>
                <c:ptCount val="8"/>
                <c:pt idx="0">
                  <c:v>0</c:v>
                </c:pt>
                <c:pt idx="1">
                  <c:v>0.5</c:v>
                </c:pt>
                <c:pt idx="2">
                  <c:v>1</c:v>
                </c:pt>
                <c:pt idx="3">
                  <c:v>2</c:v>
                </c:pt>
                <c:pt idx="4">
                  <c:v>3</c:v>
                </c:pt>
                <c:pt idx="5">
                  <c:v>4</c:v>
                </c:pt>
                <c:pt idx="6">
                  <c:v>6</c:v>
                </c:pt>
                <c:pt idx="7">
                  <c:v>7.99</c:v>
                </c:pt>
              </c:numCache>
            </c:numRef>
          </c:xVal>
          <c:yVal>
            <c:numRef>
              <c:f>ReferenceData_Metal!$G$21:$G$28</c:f>
              <c:numCache>
                <c:formatCode>General</c:formatCode>
                <c:ptCount val="8"/>
                <c:pt idx="0">
                  <c:v>0.56026402033037048</c:v>
                </c:pt>
                <c:pt idx="1">
                  <c:v>0.51647419383158255</c:v>
                </c:pt>
                <c:pt idx="2">
                  <c:v>0.44047344900080804</c:v>
                </c:pt>
                <c:pt idx="3">
                  <c:v>0.3526140612221324</c:v>
                </c:pt>
                <c:pt idx="4">
                  <c:v>0.30849139794386088</c:v>
                </c:pt>
                <c:pt idx="5">
                  <c:v>0.28242109183319863</c:v>
                </c:pt>
                <c:pt idx="6">
                  <c:v>0.25107030611066217</c:v>
                </c:pt>
                <c:pt idx="7">
                  <c:v>0.2314322652327602</c:v>
                </c:pt>
              </c:numCache>
            </c:numRef>
          </c:yVal>
          <c:smooth val="1"/>
          <c:extLst>
            <c:ext xmlns:c16="http://schemas.microsoft.com/office/drawing/2014/chart" uri="{C3380CC4-5D6E-409C-BE32-E72D297353CC}">
              <c16:uniqueId val="{00000000-1C11-4D64-AE72-E67378F5903A}"/>
            </c:ext>
          </c:extLst>
        </c:ser>
        <c:dLbls>
          <c:showLegendKey val="0"/>
          <c:showVal val="0"/>
          <c:showCatName val="0"/>
          <c:showSerName val="0"/>
          <c:showPercent val="0"/>
          <c:showBubbleSize val="0"/>
        </c:dLbls>
        <c:axId val="1558677936"/>
        <c:axId val="1558675536"/>
      </c:scatterChart>
      <c:valAx>
        <c:axId val="15586779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5536"/>
        <c:crosses val="autoZero"/>
        <c:crossBetween val="midCat"/>
      </c:valAx>
      <c:valAx>
        <c:axId val="15586755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7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16992135767569"/>
          <c:y val="6.0596674169806311E-2"/>
          <c:w val="0.81690135757937676"/>
          <c:h val="0.82912057970901154"/>
        </c:manualLayout>
      </c:layout>
      <c:scatterChart>
        <c:scatterStyle val="smoothMarker"/>
        <c:varyColors val="0"/>
        <c:ser>
          <c:idx val="1"/>
          <c:order val="0"/>
          <c:tx>
            <c:strRef>
              <c:f>ReferenceData_Metal!$H$16</c:f>
              <c:strCache>
                <c:ptCount val="1"/>
                <c:pt idx="0">
                  <c:v>for pure elastic buckling l &gt; 1.45</c:v>
                </c:pt>
              </c:strCache>
            </c:strRef>
          </c:tx>
          <c:spPr>
            <a:ln>
              <a:solidFill>
                <a:srgbClr val="00B0F0"/>
              </a:solidFill>
            </a:ln>
          </c:spPr>
          <c:marker>
            <c:symbol val="none"/>
          </c:marker>
          <c:xVal>
            <c:numRef>
              <c:f>ReferenceData_Metal!$A$21:$A$31</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9999</c:v>
                </c:pt>
              </c:numCache>
            </c:numRef>
          </c:xVal>
          <c:yVal>
            <c:numRef>
              <c:f>ReferenceData_Metal!$O$21:$O$31</c:f>
              <c:numCache>
                <c:formatCode>0%</c:formatCode>
                <c:ptCount val="11"/>
                <c:pt idx="0">
                  <c:v>0.27858702213669051</c:v>
                </c:pt>
                <c:pt idx="1">
                  <c:v>0.21881642764079989</c:v>
                </c:pt>
                <c:pt idx="2">
                  <c:v>0.19084138310266729</c:v>
                </c:pt>
                <c:pt idx="3">
                  <c:v>0.15715846952670554</c:v>
                </c:pt>
                <c:pt idx="4">
                  <c:v>0.11567905711675952</c:v>
                </c:pt>
                <c:pt idx="5">
                  <c:v>8.654186016494303E-2</c:v>
                </c:pt>
                <c:pt idx="6">
                  <c:v>4.8574308059770699E-2</c:v>
                </c:pt>
                <c:pt idx="7">
                  <c:v>2.25666855946689E-2</c:v>
                </c:pt>
                <c:pt idx="8">
                  <c:v>-1.7764576420155054E-2</c:v>
                </c:pt>
                <c:pt idx="9">
                  <c:v>-6.4475063436002289E-2</c:v>
                </c:pt>
                <c:pt idx="10">
                  <c:v>-0.13114963206495101</c:v>
                </c:pt>
              </c:numCache>
            </c:numRef>
          </c:yVal>
          <c:smooth val="1"/>
          <c:extLst>
            <c:ext xmlns:c16="http://schemas.microsoft.com/office/drawing/2014/chart" uri="{C3380CC4-5D6E-409C-BE32-E72D297353CC}">
              <c16:uniqueId val="{00000000-7C34-4155-9E07-6E8736A8E818}"/>
            </c:ext>
          </c:extLst>
        </c:ser>
        <c:ser>
          <c:idx val="0"/>
          <c:order val="1"/>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-1</c:v>
                </c:pt>
                <c:pt idx="1">
                  <c:v>10</c:v>
                </c:pt>
              </c:numCache>
            </c:numRef>
          </c:yVal>
          <c:smooth val="1"/>
          <c:extLst>
            <c:ext xmlns:c16="http://schemas.microsoft.com/office/drawing/2014/chart" uri="{C3380CC4-5D6E-409C-BE32-E72D297353CC}">
              <c16:uniqueId val="{00000001-7C34-4155-9E07-6E8736A8E818}"/>
            </c:ext>
          </c:extLst>
        </c:ser>
        <c:ser>
          <c:idx val="2"/>
          <c:order val="2"/>
          <c:spPr>
            <a:ln w="19050">
              <a:solidFill>
                <a:srgbClr val="FF0000"/>
              </a:solidFill>
              <a:prstDash val="sysDash"/>
            </a:ln>
          </c:spPr>
          <c:marker>
            <c:symbol val="none"/>
          </c:marker>
          <c:xVal>
            <c:numRef>
              <c:f>ReferenceData_Metal!$J$24:$J$25</c:f>
              <c:numCache>
                <c:formatCode>General</c:formatCode>
                <c:ptCount val="2"/>
                <c:pt idx="0">
                  <c:v>1</c:v>
                </c:pt>
                <c:pt idx="1">
                  <c:v>10000</c:v>
                </c:pt>
              </c:numCache>
            </c:numRef>
          </c:xVal>
          <c:yVal>
            <c:numRef>
              <c:f>ReferenceData_Metal!$J$28:$J$29</c:f>
              <c:numCache>
                <c:formatCode>0.00%</c:formatCode>
                <c:ptCount val="2"/>
                <c:pt idx="0">
                  <c:v>0.14960831886606762</c:v>
                </c:pt>
                <c:pt idx="1">
                  <c:v>0.14960831886606762</c:v>
                </c:pt>
              </c:numCache>
            </c:numRef>
          </c:yVal>
          <c:smooth val="1"/>
          <c:extLst>
            <c:ext xmlns:c16="http://schemas.microsoft.com/office/drawing/2014/chart" uri="{C3380CC4-5D6E-409C-BE32-E72D297353CC}">
              <c16:uniqueId val="{00000002-7C34-4155-9E07-6E8736A8E818}"/>
            </c:ext>
          </c:extLst>
        </c:ser>
        <c:dLbls>
          <c:showLegendKey val="0"/>
          <c:showVal val="0"/>
          <c:showCatName val="0"/>
          <c:showSerName val="0"/>
          <c:showPercent val="0"/>
          <c:showBubbleSize val="0"/>
        </c:dLbls>
        <c:axId val="529797808"/>
        <c:axId val="529814608"/>
      </c:scatterChart>
      <c:valAx>
        <c:axId val="529797808"/>
        <c:scaling>
          <c:logBase val="10"/>
          <c:orientation val="minMax"/>
          <c:min val="5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a:lstStyle/>
              <a:p>
                <a:pPr>
                  <a:defRPr sz="1400"/>
                </a:pPr>
                <a:r>
                  <a:rPr lang="de-DE" sz="1400" b="1" i="0" u="none" strike="noStrike" baseline="0"/>
                  <a:t>Relative Weight Savings vs. SP-8007 </a:t>
                </a:r>
                <a:endParaRPr lang="en-US"/>
              </a:p>
            </c:rich>
          </c:tx>
          <c:overlay val="0"/>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10</xdr:col>
      <xdr:colOff>881977</xdr:colOff>
      <xdr:row>14</xdr:row>
      <xdr:rowOff>8717</xdr:rowOff>
    </xdr:to>
    <xdr:graphicFrame macro="">
      <xdr:nvGraphicFramePr>
        <xdr:cNvPr id="24" name="Diagramm 23">
          <a:extLst>
            <a:ext uri="{FF2B5EF4-FFF2-40B4-BE49-F238E27FC236}">
              <a16:creationId xmlns:a16="http://schemas.microsoft.com/office/drawing/2014/main" id="{CF6A934F-5A81-4A81-9633-A789FFD9C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766948</xdr:colOff>
      <xdr:row>1</xdr:row>
      <xdr:rowOff>0</xdr:rowOff>
    </xdr:from>
    <xdr:to>
      <xdr:col>16</xdr:col>
      <xdr:colOff>263471</xdr:colOff>
      <xdr:row>14</xdr:row>
      <xdr:rowOff>53107</xdr:rowOff>
    </xdr:to>
    <xdr:graphicFrame macro="">
      <xdr:nvGraphicFramePr>
        <xdr:cNvPr id="25" name="Diagramm 24">
          <a:extLst>
            <a:ext uri="{FF2B5EF4-FFF2-40B4-BE49-F238E27FC236}">
              <a16:creationId xmlns:a16="http://schemas.microsoft.com/office/drawing/2014/main" id="{F8249030-CDA5-4F4E-A134-64C4E6104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26</xdr:row>
      <xdr:rowOff>0</xdr:rowOff>
    </xdr:from>
    <xdr:to>
      <xdr:col>10</xdr:col>
      <xdr:colOff>881977</xdr:colOff>
      <xdr:row>39</xdr:row>
      <xdr:rowOff>9883</xdr:rowOff>
    </xdr:to>
    <xdr:graphicFrame macro="">
      <xdr:nvGraphicFramePr>
        <xdr:cNvPr id="26" name="Diagramm 25">
          <a:extLst>
            <a:ext uri="{FF2B5EF4-FFF2-40B4-BE49-F238E27FC236}">
              <a16:creationId xmlns:a16="http://schemas.microsoft.com/office/drawing/2014/main" id="{9482866C-D647-43E9-BAE3-D13EC1E9D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0</xdr:colOff>
      <xdr:row>2</xdr:row>
      <xdr:rowOff>0</xdr:rowOff>
    </xdr:from>
    <xdr:to>
      <xdr:col>25</xdr:col>
      <xdr:colOff>714375</xdr:colOff>
      <xdr:row>25</xdr:row>
      <xdr:rowOff>176213</xdr:rowOff>
    </xdr:to>
    <xdr:graphicFrame macro="">
      <xdr:nvGraphicFramePr>
        <xdr:cNvPr id="4" name="Diagramm 3">
          <a:extLst>
            <a:ext uri="{FF2B5EF4-FFF2-40B4-BE49-F238E27FC236}">
              <a16:creationId xmlns:a16="http://schemas.microsoft.com/office/drawing/2014/main" id="{2E651462-9C3F-471C-817D-D1D360FAB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723900</xdr:colOff>
      <xdr:row>28</xdr:row>
      <xdr:rowOff>19050</xdr:rowOff>
    </xdr:from>
    <xdr:to>
      <xdr:col>23</xdr:col>
      <xdr:colOff>723900</xdr:colOff>
      <xdr:row>42</xdr:row>
      <xdr:rowOff>95250</xdr:rowOff>
    </xdr:to>
    <xdr:graphicFrame macro="">
      <xdr:nvGraphicFramePr>
        <xdr:cNvPr id="6" name="Diagramm 5">
          <a:extLst>
            <a:ext uri="{FF2B5EF4-FFF2-40B4-BE49-F238E27FC236}">
              <a16:creationId xmlns:a16="http://schemas.microsoft.com/office/drawing/2014/main" id="{AB68B1D7-09DA-4823-A3F7-5DD42C6DE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752475</xdr:colOff>
      <xdr:row>0</xdr:row>
      <xdr:rowOff>0</xdr:rowOff>
    </xdr:from>
    <xdr:to>
      <xdr:col>17</xdr:col>
      <xdr:colOff>394447</xdr:colOff>
      <xdr:row>18</xdr:row>
      <xdr:rowOff>151279</xdr:rowOff>
    </xdr:to>
    <xdr:graphicFrame macro="">
      <xdr:nvGraphicFramePr>
        <xdr:cNvPr id="3" name="Diagramm 2">
          <a:extLst>
            <a:ext uri="{FF2B5EF4-FFF2-40B4-BE49-F238E27FC236}">
              <a16:creationId xmlns:a16="http://schemas.microsoft.com/office/drawing/2014/main" id="{15DD1EAD-98AA-4AB1-9215-734D15547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onald Wagner" id="{C3969B6C-FD11-4C9E-B716-C6C833E9CC5F}" userId="8e260c3e1c3ab381"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30" dT="2025-07-14T10:13:09.60" personId="{C3969B6C-FD11-4C9E-B716-C6C833E9CC5F}" id="{37FEBB5C-A84A-4B92-A3C3-9CD294D6E67C}">
    <text xml:space="preserve">Only 1 % of simulated cases fall below this value. Suitable for robust design. </text>
  </threadedComment>
  <threadedComment ref="B31" dT="2025-07-14T10:13:37.08" personId="{C3969B6C-FD11-4C9E-B716-C6C833E9CC5F}" id="{008266CF-26C4-47C4-ACD3-08EF67EE0DC7}">
    <text xml:space="preserve">Lower bound of the 1 % quantile with 99 % confidence. Adds additional safety margin. </text>
  </threadedComment>
  <threadedComment ref="B34" dT="2025-07-14T09:54:08.30" personId="{C3969B6C-FD11-4C9E-B716-C6C833E9CC5F}" id="{82201471-5EC5-4C26-8C34-75E37A726B7C}">
    <text xml:space="preserve">This safety factor is applied for λ in the range 1.0 &lt; λ &lt; 1.45. It reflects additional conservatism due to limited validation. For fully validated results, use λ ≥ 1.45. </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mdc.buckling@proton.me" TargetMode="External"/><Relationship Id="rId1" Type="http://schemas.openxmlformats.org/officeDocument/2006/relationships/hyperlink" Target="mailto:mdc.buckling@proton.m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mdc.buckling@proton.m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mailto:mdc.buckling@proton.m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mdc.buckling@proton.me"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dc.buckling@proton.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6C16-BD23-4B02-B01F-534AA99C8EFC}">
  <dimension ref="A1:Q13"/>
  <sheetViews>
    <sheetView workbookViewId="0">
      <selection activeCell="F16" sqref="F16"/>
    </sheetView>
  </sheetViews>
  <sheetFormatPr baseColWidth="10" defaultColWidth="11.5703125" defaultRowHeight="15"/>
  <sheetData>
    <row r="1" spans="1:17">
      <c r="A1" s="62" t="s">
        <v>139</v>
      </c>
      <c r="B1" s="63"/>
      <c r="C1" s="63"/>
      <c r="D1" s="63"/>
      <c r="E1" s="63" t="s">
        <v>141</v>
      </c>
      <c r="F1" s="63"/>
      <c r="G1" s="64"/>
    </row>
    <row r="2" spans="1:17">
      <c r="A2" s="65" t="s">
        <v>140</v>
      </c>
      <c r="B2" s="66"/>
      <c r="C2" s="66"/>
      <c r="D2" s="66"/>
      <c r="E2" s="66" t="s">
        <v>142</v>
      </c>
      <c r="F2" s="66"/>
      <c r="G2" s="67"/>
    </row>
    <row r="3" spans="1:17">
      <c r="A3" s="65" t="s">
        <v>144</v>
      </c>
      <c r="B3" s="66"/>
      <c r="C3" s="66"/>
      <c r="D3" s="66"/>
      <c r="E3" s="66" t="s">
        <v>143</v>
      </c>
      <c r="F3" s="66"/>
      <c r="G3" s="67"/>
    </row>
    <row r="4" spans="1:17" ht="15.75">
      <c r="A4" s="68" t="s">
        <v>145</v>
      </c>
      <c r="B4" s="69"/>
      <c r="C4" s="72" t="s">
        <v>68</v>
      </c>
      <c r="D4" s="71"/>
      <c r="E4" s="71"/>
      <c r="F4" s="69"/>
      <c r="G4" s="70"/>
    </row>
    <row r="7" spans="1:17" ht="18.75">
      <c r="A7" s="7" t="s">
        <v>1</v>
      </c>
    </row>
    <row r="9" spans="1:17" ht="15.75">
      <c r="A9" s="8" t="s">
        <v>52</v>
      </c>
      <c r="B9" s="9"/>
      <c r="C9" s="9"/>
      <c r="D9" s="9"/>
      <c r="E9" s="9"/>
      <c r="F9" s="9"/>
      <c r="G9" s="9"/>
      <c r="H9" s="9"/>
      <c r="I9" s="9"/>
      <c r="J9" s="9"/>
      <c r="K9" s="9"/>
      <c r="L9" s="9"/>
      <c r="M9" s="9"/>
      <c r="N9" s="1"/>
      <c r="O9" s="1"/>
      <c r="P9" s="1"/>
      <c r="Q9" s="2"/>
    </row>
    <row r="10" spans="1:17" ht="15.75">
      <c r="A10" s="10" t="s">
        <v>0</v>
      </c>
      <c r="B10" s="11"/>
      <c r="C10" s="11"/>
      <c r="D10" s="11"/>
      <c r="E10" s="11"/>
      <c r="F10" s="11"/>
      <c r="G10" s="11"/>
      <c r="H10" s="11"/>
      <c r="I10" s="11"/>
      <c r="J10" s="11"/>
      <c r="K10" s="11"/>
      <c r="L10" s="11"/>
      <c r="M10" s="11"/>
      <c r="N10" s="3"/>
      <c r="O10" s="3"/>
      <c r="P10" s="3"/>
      <c r="Q10" s="4"/>
    </row>
    <row r="11" spans="1:17" ht="15.75">
      <c r="A11" s="10"/>
      <c r="B11" s="11"/>
      <c r="C11" s="11"/>
      <c r="D11" s="11"/>
      <c r="E11" s="11"/>
      <c r="F11" s="11"/>
      <c r="G11" s="11"/>
      <c r="H11" s="11"/>
      <c r="I11" s="11"/>
      <c r="J11" s="11"/>
      <c r="K11" s="11"/>
      <c r="L11" s="11"/>
      <c r="M11" s="11"/>
      <c r="N11" s="3"/>
      <c r="O11" s="3"/>
      <c r="P11" s="3"/>
      <c r="Q11" s="4"/>
    </row>
    <row r="12" spans="1:17" ht="15.75">
      <c r="A12" s="10" t="s">
        <v>91</v>
      </c>
      <c r="B12" s="11"/>
      <c r="C12" s="11"/>
      <c r="D12" s="11"/>
      <c r="E12" s="11"/>
      <c r="F12" s="11"/>
      <c r="G12" s="11"/>
      <c r="H12" s="11"/>
      <c r="I12" s="11"/>
      <c r="J12" s="11"/>
      <c r="K12" s="11"/>
      <c r="L12" s="11"/>
      <c r="M12" s="11"/>
      <c r="N12" s="3"/>
      <c r="O12" s="3"/>
      <c r="P12" s="3"/>
      <c r="Q12" s="4"/>
    </row>
    <row r="13" spans="1:17" ht="15.75">
      <c r="A13" s="61" t="s">
        <v>68</v>
      </c>
      <c r="B13" s="12"/>
      <c r="C13" s="12"/>
      <c r="D13" s="12"/>
      <c r="E13" s="12"/>
      <c r="F13" s="12"/>
      <c r="G13" s="12"/>
      <c r="H13" s="12"/>
      <c r="I13" s="12"/>
      <c r="J13" s="12"/>
      <c r="K13" s="12"/>
      <c r="L13" s="12"/>
      <c r="M13" s="12"/>
      <c r="N13" s="5"/>
      <c r="O13" s="5"/>
      <c r="P13" s="5"/>
      <c r="Q13" s="6"/>
    </row>
  </sheetData>
  <hyperlinks>
    <hyperlink ref="A13" r:id="rId1" xr:uid="{FFD519F3-9A05-42D4-89E3-405F72228D12}"/>
    <hyperlink ref="C4" r:id="rId2" xr:uid="{8824C6DA-B716-4D7E-9839-34C83058B42A}"/>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26AC-B6C6-491A-95C2-891E5E26EDFC}">
  <dimension ref="A4:Y42"/>
  <sheetViews>
    <sheetView topLeftCell="A2" zoomScale="70" zoomScaleNormal="70" workbookViewId="0">
      <selection activeCell="F11" sqref="F11"/>
    </sheetView>
  </sheetViews>
  <sheetFormatPr baseColWidth="10" defaultColWidth="11.5703125" defaultRowHeight="15"/>
  <cols>
    <col min="1" max="1" width="13.5703125" bestFit="1" customWidth="1"/>
    <col min="2" max="2" width="38.85546875" bestFit="1" customWidth="1"/>
    <col min="9" max="9" width="28.28515625" bestFit="1" customWidth="1"/>
    <col min="11" max="11" width="14.5703125" bestFit="1" customWidth="1"/>
    <col min="12" max="12" width="11.7109375" customWidth="1"/>
    <col min="15" max="15" width="25.85546875" bestFit="1" customWidth="1"/>
  </cols>
  <sheetData>
    <row r="4" spans="1:25" ht="15.75">
      <c r="C4" s="73"/>
      <c r="D4" s="74"/>
      <c r="E4" s="74"/>
    </row>
    <row r="8" spans="1:25">
      <c r="Y8">
        <v>0.80800000000000005</v>
      </c>
    </row>
    <row r="9" spans="1:25">
      <c r="A9" s="23" t="s">
        <v>24</v>
      </c>
      <c r="B9" s="15" t="s">
        <v>64</v>
      </c>
      <c r="C9" s="18" t="s">
        <v>15</v>
      </c>
      <c r="D9" s="21">
        <v>500</v>
      </c>
      <c r="E9" t="s">
        <v>35</v>
      </c>
      <c r="Y9">
        <v>0.72699999999999998</v>
      </c>
    </row>
    <row r="10" spans="1:25">
      <c r="A10" s="24" t="s">
        <v>24</v>
      </c>
      <c r="B10" s="16" t="s">
        <v>63</v>
      </c>
      <c r="C10" s="19" t="s">
        <v>16</v>
      </c>
      <c r="D10" s="22">
        <v>600</v>
      </c>
      <c r="E10" t="s">
        <v>35</v>
      </c>
      <c r="Y10">
        <v>0.65400000000000003</v>
      </c>
    </row>
    <row r="11" spans="1:25">
      <c r="A11" s="24" t="s">
        <v>24</v>
      </c>
      <c r="B11" s="16" t="s">
        <v>21</v>
      </c>
      <c r="C11" s="19" t="s">
        <v>17</v>
      </c>
      <c r="D11" s="22">
        <v>1.5</v>
      </c>
      <c r="E11" t="s">
        <v>35</v>
      </c>
      <c r="Y11">
        <v>0.57299999999999995</v>
      </c>
    </row>
    <row r="12" spans="1:25">
      <c r="A12" s="24" t="s">
        <v>24</v>
      </c>
      <c r="B12" s="16" t="s">
        <v>7</v>
      </c>
      <c r="C12" s="19" t="s">
        <v>18</v>
      </c>
      <c r="D12" s="22">
        <v>70000</v>
      </c>
      <c r="E12" t="s">
        <v>36</v>
      </c>
      <c r="Y12">
        <v>0.50700000000000001</v>
      </c>
    </row>
    <row r="13" spans="1:25">
      <c r="A13" s="24" t="s">
        <v>24</v>
      </c>
      <c r="B13" s="16" t="s">
        <v>22</v>
      </c>
      <c r="C13" s="19" t="s">
        <v>19</v>
      </c>
      <c r="D13" s="22">
        <v>450</v>
      </c>
      <c r="E13" t="s">
        <v>36</v>
      </c>
      <c r="Y13">
        <v>0.46700000000000003</v>
      </c>
    </row>
    <row r="14" spans="1:25" ht="15.75" thickBot="1">
      <c r="A14" s="24" t="s">
        <v>24</v>
      </c>
      <c r="B14" s="16" t="s">
        <v>23</v>
      </c>
      <c r="C14" s="26" t="s">
        <v>20</v>
      </c>
      <c r="D14" s="22">
        <v>0.3</v>
      </c>
      <c r="Y14">
        <v>0.42899999999999999</v>
      </c>
    </row>
    <row r="15" spans="1:25" ht="15.75" thickBot="1">
      <c r="A15" s="25" t="s">
        <v>24</v>
      </c>
      <c r="B15" s="17" t="s">
        <v>13</v>
      </c>
      <c r="C15" s="20" t="s">
        <v>14</v>
      </c>
      <c r="D15" s="90">
        <v>0.3</v>
      </c>
      <c r="F15" s="51" t="str">
        <f>IF(D15&lt;8.01,"✅ OK","❌ Input w/t ratio is outside the calibrated dataset. Extrapolation applied – results may be less reliable.")</f>
        <v>✅ OK</v>
      </c>
      <c r="Y15">
        <v>0.40600000000000003</v>
      </c>
    </row>
    <row r="16" spans="1:25">
      <c r="Y16">
        <v>0.374</v>
      </c>
    </row>
    <row r="17" spans="1:25">
      <c r="H17" s="62" t="s">
        <v>139</v>
      </c>
      <c r="I17" s="63"/>
      <c r="J17" s="63"/>
      <c r="K17" s="63"/>
      <c r="L17" s="63" t="s">
        <v>141</v>
      </c>
      <c r="M17" s="63"/>
      <c r="N17" s="64"/>
      <c r="Y17">
        <v>0.34200000000000003</v>
      </c>
    </row>
    <row r="18" spans="1:25">
      <c r="H18" s="65" t="s">
        <v>140</v>
      </c>
      <c r="I18" s="66"/>
      <c r="J18" s="66"/>
      <c r="K18" s="66"/>
      <c r="L18" s="66" t="s">
        <v>142</v>
      </c>
      <c r="M18" s="66"/>
      <c r="N18" s="67"/>
      <c r="Y18">
        <v>0.30299999999999999</v>
      </c>
    </row>
    <row r="19" spans="1:25">
      <c r="A19" s="23" t="s">
        <v>25</v>
      </c>
      <c r="B19" s="32" t="s">
        <v>10</v>
      </c>
      <c r="C19" s="33" t="s">
        <v>2</v>
      </c>
      <c r="D19" s="91">
        <f>D9/D11</f>
        <v>333.33333333333331</v>
      </c>
      <c r="H19" s="65" t="s">
        <v>144</v>
      </c>
      <c r="I19" s="66"/>
      <c r="J19" s="66"/>
      <c r="K19" s="66"/>
      <c r="L19" s="66" t="s">
        <v>143</v>
      </c>
      <c r="M19" s="66"/>
      <c r="N19" s="67"/>
    </row>
    <row r="20" spans="1:25" ht="16.5" thickBot="1">
      <c r="A20" s="24" t="s">
        <v>25</v>
      </c>
      <c r="B20" s="34" t="s">
        <v>11</v>
      </c>
      <c r="C20" s="35" t="s">
        <v>3</v>
      </c>
      <c r="D20" s="92">
        <f>D10/D9</f>
        <v>1.2</v>
      </c>
      <c r="H20" s="68" t="s">
        <v>145</v>
      </c>
      <c r="I20" s="69"/>
      <c r="J20" s="72" t="s">
        <v>68</v>
      </c>
      <c r="K20" s="71"/>
      <c r="L20" s="71"/>
      <c r="M20" s="69"/>
      <c r="N20" s="70"/>
    </row>
    <row r="21" spans="1:25" ht="15.75" thickBot="1">
      <c r="A21" s="25" t="s">
        <v>25</v>
      </c>
      <c r="B21" s="36" t="s">
        <v>9</v>
      </c>
      <c r="C21" s="37" t="s">
        <v>4</v>
      </c>
      <c r="D21" s="93">
        <f>D10^2/(D9*D11)*SQRT(1-D14^2)</f>
        <v>457.89081668013392</v>
      </c>
      <c r="F21" s="51" t="str">
        <f>IF(D21&gt;10000.01,"❌ Z is outside the calibrated dataset. Extrapolation applied – results may be less reliable.",
 IF(D21&lt;50,"❌ Z is below the calibrated dataset – results may be less reliable.",
      "✅ OK"))</f>
        <v>✅ OK</v>
      </c>
    </row>
    <row r="22" spans="1:25">
      <c r="A22" s="24"/>
      <c r="B22" s="34"/>
      <c r="C22" s="35"/>
      <c r="D22" s="29"/>
    </row>
    <row r="23" spans="1:25">
      <c r="A23" s="23" t="s">
        <v>25</v>
      </c>
      <c r="B23" s="32" t="s">
        <v>26</v>
      </c>
      <c r="C23" s="33" t="s">
        <v>5</v>
      </c>
      <c r="D23" s="28">
        <f>2*PI()*D11^2*D12/(SQRT(3*(1-D14^2)))/1000</f>
        <v>598.9341866705148</v>
      </c>
      <c r="E23" t="s">
        <v>37</v>
      </c>
    </row>
    <row r="24" spans="1:25">
      <c r="A24" s="25" t="s">
        <v>25</v>
      </c>
      <c r="B24" s="36" t="s">
        <v>27</v>
      </c>
      <c r="C24" s="37" t="s">
        <v>6</v>
      </c>
      <c r="D24" s="30">
        <f>2*PI()*D9*D11*D13/1000</f>
        <v>2120.5750411731101</v>
      </c>
      <c r="E24" t="s">
        <v>37</v>
      </c>
    </row>
    <row r="25" spans="1:25" ht="15.75" thickBot="1">
      <c r="A25" s="24"/>
      <c r="B25" s="34"/>
      <c r="C25" s="35"/>
      <c r="D25" s="31"/>
    </row>
    <row r="26" spans="1:25" ht="15.75" thickBot="1">
      <c r="A26" s="27" t="s">
        <v>25</v>
      </c>
      <c r="B26" s="38" t="s">
        <v>8</v>
      </c>
      <c r="C26" s="39" t="s">
        <v>12</v>
      </c>
      <c r="D26" s="97">
        <f>SQRT(D24/D23)</f>
        <v>1.8816431824637987</v>
      </c>
      <c r="F26" s="51" t="str">
        <f>IF(AND(D26&lt;1.45, D26&gt;1.01),
 "❌ Data below validated slenderness range (λ &lt; 1.45). Apply additional safety margin (×0.90 KDF).",
 IF(D26&lt;1,
      "❌ Relative Slenderness is too far outside the calibrated dataset - results are not reliable.",
      "✅ OK"))</f>
        <v>✅ OK</v>
      </c>
    </row>
    <row r="30" spans="1:25">
      <c r="A30" s="23" t="s">
        <v>29</v>
      </c>
      <c r="B30" s="84" t="s">
        <v>32</v>
      </c>
      <c r="C30" s="84"/>
      <c r="D30" s="98" cm="1">
        <f t="array" ref="D30">MAX(
  0.15,
  IF(
    OR(D21 &gt; 10000, D15+0.00001 &gt; 8),
    IF(
      AND(D21 &gt; 10000, D15+0.00001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(D21 -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(D15+0.00001 - 6),
      IF(
        D21 &gt; 10000,
        INDEX(ReferenceData_Metal!$B$2:$I$12,MATCH(10000,ReferenceData_Metal!$A$2:$A$12,1),MATCH(MIN(D15+0.00001,8),ReferenceData_Metal!$B$1:$I$1,1)) +
        ((INDEX(ReferenceData_Metal!$B$2:$I$12,MATCH(10000,ReferenceData_Metal!$A$2:$A$12,1),MATCH(MIN(D15+0.00001,8),ReferenceData_Metal!$B$1:$I$1,1)) - INDEX(ReferenceData_Metal!$B$2:$I$12,MATCH(INDEX(ReferenceData_Metal!$A$2:$A$12,MATCH(10000,ReferenceData_Metal!$A$2:$A$12,1)-1),ReferenceData_Metal!$A$2:$A$12,1),MATCH(MIN(D15+0.00001,8),ReferenceData_Metal!$B$1:$I$1,1))) /
        (10000 - INDEX(ReferenceData_Metal!$A$2:$A$12,MATCH(10000,ReferenceData_Metal!$A$2:$A$12,1)-1))) * (D21 - 10000),
        INDEX(ReferenceData_Metal!$B$2:$I$12,MATCH(MIN(D21,10000),ReferenceData_Metal!$A$2:$A$12,1),MATCH(8,ReferenceData_Metal!$B$1:$I$1,1)) +
        ((INDEX(ReferenceData_Metal!$B$2:$I$12,MATCH(MIN(D21,10000),ReferenceData_Metal!$A$2:$A$12,1),MATCH(8,ReferenceData_Metal!$B$1:$I$1,1)) - INDEX(ReferenceData_Metal!$B$2:$I$12,MATCH(MIN(D21,10000),ReferenceData_Metal!$A$2:$A$12,1),MATCH(6,ReferenceData_Metal!$B$1:$I$1,1)))/(8 - 6)) * (D15+0.00001 - 8)
      )
    ),
    (1 - (D21 - INDEX(ReferenceData_Metal!$A$2:$A$12,MATCH(D21,ReferenceData_Metal!$A$2:$A$12,1))) /
      (INDEX(ReferenceData_Metal!$A$2:$A$12,MIN(MATCH(D21,ReferenceData_Metal!$A$2:$A$12,1)+1,ROWS(ReferenceData_Metal!$A$2:$A$12))) - INDEX(ReferenceData_Metal!$A$2:$A$12,MATCH(D21,ReferenceData_Metal!$A$2:$A$12,1)))) *
    (1 - (D15+0.00001 - INDEX(ReferenceData_Metal!$B$1:$I$1,MATCH(D15+0.00001,ReferenceData_Metal!$B$1:$I$1,1))) /
      (INDEX(ReferenceData_Metal!$B$1:$I$1,MIN(MATCH(D15+0.00001,ReferenceData_Metal!$B$1:$I$1,1)+1,COLUMNS(ReferenceData_Metal!$B$1:$I$1))) - INDEX(ReferenceData_Metal!$B$1:$I$1,MATCH(D15+0.00001,ReferenceData_Metal!$B$1:$I$1,1)))) *
    INDEX(ReferenceData_Metal!$B$2:$I$12,MATCH(D21,ReferenceData_Metal!$A$2:$A$12,1),MATCH(D15+0.00001,ReferenceData_Metal!$B$1:$I$1,1)) +
    ((D21 - INDEX(ReferenceData_Metal!$A$2:$A$12,MATCH(D21,ReferenceData_Metal!$A$2:$A$12,1))) /
      (INDEX(ReferenceData_Metal!$A$2:$A$12,MIN(MATCH(D21,ReferenceData_Metal!$A$2:$A$12,1)+1,ROWS(ReferenceData_Metal!$A$2:$A$12))) - INDEX(ReferenceData_Metal!$A$2:$A$12,MATCH(D21,ReferenceData_Metal!$A$2:$A$12,1)))) *
    (1 - (D15+0.00001 - INDEX(ReferenceData_Metal!$B$1:$I$1,MATCH(D15+0.00001,ReferenceData_Metal!$B$1:$I$1,1))) /
      (INDEX(ReferenceData_Metal!$B$1:$I$1,MIN(MATCH(D15+0.00001,ReferenceData_Metal!$B$1:$I$1,1)+1,COLUMNS(ReferenceData_Metal!$B$1:$I$1))) - INDEX(ReferenceData_Metal!$B$1:$I$1,MATCH(D15+0.00001,ReferenceData_Metal!$B$1:$I$1,1)))) *
    INDEX(ReferenceData_Metal!$B$2:$I$12,MIN(MATCH(D21,ReferenceData_Metal!$A$2:$A$12,1)+1,ROWS(ReferenceData_Metal!$A$2:$A$12)),MATCH(D15+0.00001,ReferenceData_Metal!$B$1:$I$1,1)) +
    (1 - (D21 - INDEX(ReferenceData_Metal!$A$2:$A$12,MATCH(D21,ReferenceData_Metal!$A$2:$A$12,1))) /
      (INDEX(ReferenceData_Metal!$A$2:$A$12,MIN(MATCH(D21,ReferenceData_Metal!$A$2:$A$12,1)+1,ROWS(ReferenceData_Metal!$A$2:$A$12))) - INDEX(ReferenceData_Metal!$A$2:$A$12,MATCH(D21,ReferenceData_Metal!$A$2:$A$12,1)))) *
    ((D15+0.00001 - INDEX(ReferenceData_Metal!$B$1:$I$1,MATCH(D15+0.00001,ReferenceData_Metal!$B$1:$I$1,1))) /
      (INDEX(ReferenceData_Metal!$B$1:$I$1,MIN(MATCH(D15+0.00001,ReferenceData_Metal!$B$1:$I$1,1)+1,COLUMNS(ReferenceData_Metal!$B$1:$I$1))) - INDEX(ReferenceData_Metal!$B$1:$I$1,MATCH(D15+0.00001,ReferenceData_Metal!$B$1:$I$1,1)))) *
    INDEX(ReferenceData_Metal!$B$2:$I$12,MATCH(D21,ReferenceData_Metal!$A$2:$A$12,1),MIN(MATCH(D15+0.00001,ReferenceData_Metal!$B$1:$I$1,1)+1,COLUMNS(ReferenceData_Metal!$B$1:$I$1))) +
    ((D21 - INDEX(ReferenceData_Metal!$A$2:$A$12,MATCH(D21,ReferenceData_Metal!$A$2:$A$12,1))) /
      (INDEX(ReferenceData_Metal!$A$2:$A$12,MIN(MATCH(D21,ReferenceData_Metal!$A$2:$A$12,1)+1,ROWS(ReferenceData_Metal!$A$2:$A$12))) - INDEX(ReferenceData_Metal!$A$2:$A$12,MATCH(D21,ReferenceData_Metal!$A$2:$A$12,1)))) *
    ((D15+0.00001 - INDEX(ReferenceData_Metal!$B$1:$I$1,MATCH(D15+0.00001,ReferenceData_Metal!$B$1:$I$1,1))) /
      (INDEX(ReferenceData_Metal!$B$1:$I$1,MIN(MATCH(D15+0.00001,ReferenceData_Metal!$B$1:$I$1,1)+1,COLUMNS(ReferenceData_Metal!$B$1:$I$1))) - INDEX(ReferenceData_Metal!$B$1:$I$1,MATCH(D15+0.00001,ReferenceData_Metal!$B$1:$I$1,1)))) *
    INDEX(ReferenceData_Metal!$B$2:$I$12,MIN(MATCH(D21,ReferenceData_Metal!$A$2:$A$12,1)+1,ROWS(ReferenceData_Metal!$A$2:$A$12)),MIN(MATCH(D15+0.00001,ReferenceData_Metal!$B$1:$I$1,1)+1,COLUMNS(ReferenceData_Metal!$B$1:$I$1)))
  )
)</f>
        <v>0.53398924863456776</v>
      </c>
    </row>
    <row r="31" spans="1:25">
      <c r="A31" s="24" t="s">
        <v>29</v>
      </c>
      <c r="B31" s="85" t="s">
        <v>157</v>
      </c>
      <c r="C31" s="43"/>
      <c r="D31" s="100" cm="1">
        <f t="array" ref="D31">MAX(
  0.15,
  IF(
    OR(D21 &gt; 10000, D15+0.00001 &gt; 8),
    IF(
      AND(D21 &gt; 10000, D15+0.00001 &gt; 8),
      INDEX(ReferenceData_Metal_CI!$B$2:$I$12,MATCH(INDEX(ReferenceData_Metal_CI!$A$2:$A$12,MATCH(10000,ReferenceData_Metal_CI!$A$2:$A$12,1)-1),ReferenceData_Metal_CI!$A$2:$A$12,1),MATCH(6,ReferenceData_Metal_CI!$B$1:$I$1,1)) +
      ((INDEX(ReferenceData_Metal_CI!$B$2:$I$12,MATCH(10000,ReferenceData_Metal_CI!$A$2:$A$12,1),MATCH(6,ReferenceData_Metal_CI!$B$1:$I$1,1)) - INDEX(ReferenceData_Metal_CI!$B$2:$I$12,MATCH(INDEX(ReferenceData_Metal_CI!$A$2:$A$12,MATCH(10000,ReferenceData_Metal_CI!$A$2:$A$12,1)-1),ReferenceData_Metal_CI!$A$2:$A$12,1),MATCH(6,ReferenceData_Metal_CI!$B$1:$I$1,1)))/
      (10000 - INDEX(ReferenceData_Metal_CI!$A$2:$A$12,MATCH(10000,ReferenceData_Metal_CI!$A$2:$A$12,1)-1))) * (D21 - INDEX(ReferenceData_Metal_CI!$A$2:$A$12,MATCH(10000,ReferenceData_Metal_CI!$A$2:$A$12,1)-1)) +
      ((INDEX(ReferenceData_Metal_CI!$B$2:$I$12,MATCH(INDEX(ReferenceData_Metal_CI!$A$2:$A$12,MATCH(10000,ReferenceData_Metal_CI!$A$2:$A$12,1)-1),ReferenceData_Metal_CI!$A$2:$A$12,1),MATCH(8,ReferenceData_Metal_CI!$B$1:$I$1,1)) - INDEX(ReferenceData_Metal_CI!$B$2:$I$12,MATCH(INDEX(ReferenceData_Metal_CI!$A$2:$A$12,MATCH(10000,ReferenceData_Metal_CI!$A$2:$A$12,1)-1),ReferenceData_Metal_CI!$A$2:$A$12,1),MATCH(6,ReferenceData_Metal_CI!$B$1:$I$1,1)))/(8 - 6)) * (D15+0.00001 - 6),
      IF(
        D21 &gt; 10000,
        INDEX(ReferenceData_Metal_CI!$B$2:$I$12,MATCH(10000,ReferenceData_Metal_CI!$A$2:$A$12,1),MATCH(MIN(D15+0.00001,8),ReferenceData_Metal_CI!$B$1:$I$1,1)) +
        ((INDEX(ReferenceData_Metal_CI!$B$2:$I$12,MATCH(10000,ReferenceData_Metal_CI!$A$2:$A$12,1),MATCH(MIN(D15+0.00001,8),ReferenceData_Metal_CI!$B$1:$I$1,1)) - INDEX(ReferenceData_Metal_CI!$B$2:$I$12,MATCH(INDEX(ReferenceData_Metal_CI!$A$2:$A$12,MATCH(10000,ReferenceData_Metal_CI!$A$2:$A$12,1)-1),ReferenceData_Metal_CI!$A$2:$A$12,1),MATCH(MIN(D15+0.00001,8),ReferenceData_Metal_CI!$B$1:$I$1,1))) /
        (10000 - INDEX(ReferenceData_Metal_CI!$A$2:$A$12,MATCH(10000,ReferenceData_Metal_CI!$A$2:$A$12,1)-1))) * (D21 - 10000),
        INDEX(ReferenceData_Metal_CI!$B$2:$I$12,MATCH(MIN(D21,10000),ReferenceData_Metal_CI!$A$2:$A$12,1),MATCH(8,ReferenceData_Metal_CI!$B$1:$I$1,1)) +
        ((INDEX(ReferenceData_Metal_CI!$B$2:$I$12,MATCH(MIN(D21,10000),ReferenceData_Metal_CI!$A$2:$A$12,1),MATCH(8,ReferenceData_Metal_CI!$B$1:$I$1,1)) - INDEX(ReferenceData_Metal_CI!$B$2:$I$12,MATCH(MIN(D21,10000),ReferenceData_Metal_CI!$A$2:$A$12,1),MATCH(6,ReferenceData_Metal_CI!$B$1:$I$1,1)))/(8 - 6)) * (D15+0.00001 - 8)
      )
    ),
    (1 - (D21 - INDEX(ReferenceData_Metal_CI!$A$2:$A$12,MATCH(D21,ReferenceData_Metal_CI!$A$2:$A$12,1))) /
      (INDEX(ReferenceData_Metal_CI!$A$2:$A$12,MIN(MATCH(D21,ReferenceData_Metal_CI!$A$2:$A$12,1)+1,ROWS(ReferenceData_Metal_CI!$A$2:$A$12))) - INDEX(ReferenceData_Metal_CI!$A$2:$A$12,MATCH(D21,ReferenceData_Metal_CI!$A$2:$A$12,1)))) *
    (1 - (D15+0.00001 - INDEX(ReferenceData_Metal_CI!$B$1:$I$1,MATCH(D15+0.00001,ReferenceData_Metal_CI!$B$1:$I$1,1))) /
      (INDEX(ReferenceData_Metal_CI!$B$1:$I$1,MIN(MATCH(D15+0.00001,ReferenceData_Metal_CI!$B$1:$I$1,1)+1,COLUMNS(ReferenceData_Metal_CI!$B$1:$I$1))) - INDEX(ReferenceData_Metal_CI!$B$1:$I$1,MATCH(D15+0.00001,ReferenceData_Metal_CI!$B$1:$I$1,1)))) *
    INDEX(ReferenceData_Metal_CI!$B$2:$I$12,MATCH(D21,ReferenceData_Metal_CI!$A$2:$A$12,1),MATCH(D15+0.00001,ReferenceData_Metal_CI!$B$1:$I$1,1)) +
    ((D21 - INDEX(ReferenceData_Metal_CI!$A$2:$A$12,MATCH(D21,ReferenceData_Metal_CI!$A$2:$A$12,1))) /
      (INDEX(ReferenceData_Metal_CI!$A$2:$A$12,MIN(MATCH(D21,ReferenceData_Metal_CI!$A$2:$A$12,1)+1,ROWS(ReferenceData_Metal_CI!$A$2:$A$12))) - INDEX(ReferenceData_Metal_CI!$A$2:$A$12,MATCH(D21,ReferenceData_Metal_CI!$A$2:$A$12,1)))) *
    (1 - (D15+0.00001 - INDEX(ReferenceData_Metal_CI!$B$1:$I$1,MATCH(D15+0.00001,ReferenceData_Metal_CI!$B$1:$I$1,1))) /
      (INDEX(ReferenceData_Metal_CI!$B$1:$I$1,MIN(MATCH(D15+0.00001,ReferenceData_Metal_CI!$B$1:$I$1,1)+1,COLUMNS(ReferenceData_Metal_CI!$B$1:$I$1))) - INDEX(ReferenceData_Metal_CI!$B$1:$I$1,MATCH(D15+0.00001,ReferenceData_Metal_CI!$B$1:$I$1,1)))) *
    INDEX(ReferenceData_Metal_CI!$B$2:$I$12,MIN(MATCH(D21,ReferenceData_Metal_CI!$A$2:$A$12,1)+1,ROWS(ReferenceData_Metal_CI!$A$2:$A$12)),MATCH(D15+0.00001,ReferenceData_Metal_CI!$B$1:$I$1,1)) +
    (1 - (D21 - INDEX(ReferenceData_Metal_CI!$A$2:$A$12,MATCH(D21,ReferenceData_Metal_CI!$A$2:$A$12,1))) /
      (INDEX(ReferenceData_Metal_CI!$A$2:$A$12,MIN(MATCH(D21,ReferenceData_Metal_CI!$A$2:$A$12,1)+1,ROWS(ReferenceData_Metal_CI!$A$2:$A$12))) - INDEX(ReferenceData_Metal_CI!$A$2:$A$12,MATCH(D21,ReferenceData_Metal_CI!$A$2:$A$12,1)))) *
    ((D15+0.00001 - INDEX(ReferenceData_Metal_CI!$B$1:$I$1,MATCH(D15+0.00001,ReferenceData_Metal_CI!$B$1:$I$1,1))) /
      (INDEX(ReferenceData_Metal_CI!$B$1:$I$1,MIN(MATCH(D15+0.00001,ReferenceData_Metal_CI!$B$1:$I$1,1)+1,COLUMNS(ReferenceData_Metal_CI!$B$1:$I$1))) - INDEX(ReferenceData_Metal_CI!$B$1:$I$1,MATCH(D15+0.00001,ReferenceData_Metal_CI!$B$1:$I$1,1)))) *
    INDEX(ReferenceData_Metal_CI!$B$2:$I$12,MATCH(D21,ReferenceData_Metal_CI!$A$2:$A$12,1),MIN(MATCH(D15+0.00001,ReferenceData_Metal_CI!$B$1:$I$1,1)+1,COLUMNS(ReferenceData_Metal_CI!$B$1:$I$1))) +
    ((D21 - INDEX(ReferenceData_Metal_CI!$A$2:$A$12,MATCH(D21,ReferenceData_Metal_CI!$A$2:$A$12,1))) /
      (INDEX(ReferenceData_Metal_CI!$A$2:$A$12,MIN(MATCH(D21,ReferenceData_Metal_CI!$A$2:$A$12,1)+1,ROWS(ReferenceData_Metal_CI!$A$2:$A$12))) - INDEX(ReferenceData_Metal_CI!$A$2:$A$12,MATCH(D21,ReferenceData_Metal_CI!$A$2:$A$12,1)))) *
    ((D15+0.00001 - INDEX(ReferenceData_Metal_CI!$B$1:$I$1,MATCH(D15+0.00001,ReferenceData_Metal_CI!$B$1:$I$1,1))) /
      (INDEX(ReferenceData_Metal_CI!$B$1:$I$1,MIN(MATCH(D15+0.00001,ReferenceData_Metal_CI!$B$1:$I$1,1)+1,COLUMNS(ReferenceData_Metal_CI!$B$1:$I$1))) - INDEX(ReferenceData_Metal_CI!$B$1:$I$1,MATCH(D15+0.00001,ReferenceData_Metal_CI!$B$1:$I$1,1)))) *
    INDEX(ReferenceData_Metal_CI!$B$2:$I$12,MIN(MATCH(D21,ReferenceData_Metal_CI!$A$2:$A$12,1)+1,ROWS(ReferenceData_Metal_CI!$A$2:$A$12)),MIN(MATCH(D15+0.00001,ReferenceData_Metal_CI!$B$1:$I$1,1)+1,COLUMNS(ReferenceData_Metal_CI!$B$1:$I$1)))
  )
)</f>
        <v>0.52200285492197418</v>
      </c>
    </row>
    <row r="32" spans="1:25">
      <c r="A32" s="27"/>
      <c r="B32" s="47"/>
      <c r="C32" s="107"/>
      <c r="D32" s="27"/>
    </row>
    <row r="33" spans="1:6">
      <c r="A33" s="24"/>
      <c r="B33" s="104" t="s">
        <v>153</v>
      </c>
      <c r="C33" s="104"/>
      <c r="D33" s="105"/>
    </row>
    <row r="34" spans="1:6">
      <c r="A34" s="24" t="s">
        <v>151</v>
      </c>
      <c r="B34" s="106" t="s">
        <v>146</v>
      </c>
      <c r="C34" s="106"/>
      <c r="D34" s="96">
        <f>IF(D26&lt;1.45,0.9,1)</f>
        <v>1</v>
      </c>
    </row>
    <row r="35" spans="1:6">
      <c r="A35" s="24" t="s">
        <v>151</v>
      </c>
      <c r="B35" s="87" t="s">
        <v>152</v>
      </c>
      <c r="C35" s="87"/>
      <c r="D35" s="99">
        <f>D34*D30</f>
        <v>0.53398924863456776</v>
      </c>
    </row>
    <row r="36" spans="1:6">
      <c r="A36" s="27"/>
      <c r="B36" s="47"/>
      <c r="C36" s="107"/>
      <c r="D36" s="27"/>
    </row>
    <row r="37" spans="1:6">
      <c r="A37" s="24" t="s">
        <v>30</v>
      </c>
      <c r="B37" s="88" t="s">
        <v>33</v>
      </c>
      <c r="C37" s="89"/>
      <c r="D37" s="101">
        <f>1-0.902*(1-EXP(-(1/16)*(SQRT(D19))))</f>
        <v>0.38616287503446278</v>
      </c>
    </row>
    <row r="38" spans="1:6">
      <c r="A38" s="24" t="s">
        <v>30</v>
      </c>
      <c r="B38" s="88" t="s">
        <v>34</v>
      </c>
      <c r="C38" s="89"/>
      <c r="D38" s="101">
        <v>0.33</v>
      </c>
    </row>
    <row r="39" spans="1:6" ht="15.75" thickBot="1">
      <c r="A39" s="25"/>
      <c r="B39" s="47"/>
      <c r="C39" s="107"/>
      <c r="D39" s="27"/>
    </row>
    <row r="40" spans="1:6" ht="15.75" thickBot="1">
      <c r="A40" s="47" t="s">
        <v>29</v>
      </c>
      <c r="B40" s="48" t="s">
        <v>159</v>
      </c>
      <c r="C40" s="49"/>
      <c r="D40" s="50">
        <f>IF(D26&gt;1.45,D30*D23,D35*D23)</f>
        <v>319.82441632174414</v>
      </c>
      <c r="E40" t="s">
        <v>37</v>
      </c>
      <c r="F40" s="95" t="str">
        <f>IF(D26&lt;1.45, "🛠️ Note: Design load includes additional safety margin (β = 0.90)","OK")</f>
        <v>OK</v>
      </c>
    </row>
    <row r="41" spans="1:6" ht="15.75" thickBot="1">
      <c r="A41" s="14" t="s">
        <v>29</v>
      </c>
      <c r="B41" s="44" t="s">
        <v>158</v>
      </c>
      <c r="C41" s="45"/>
      <c r="D41" s="94">
        <f>IF(D26&gt;1.45,D31*D23,D31*D34*D23)</f>
        <v>312.64535535237934</v>
      </c>
      <c r="E41" t="s">
        <v>37</v>
      </c>
      <c r="F41" s="51" t="str">
        <f>IF(D26&lt;1.45, "🛠️ Note: Design load includes additional safety margin (β = 0.90)","OK")</f>
        <v>OK</v>
      </c>
    </row>
    <row r="42" spans="1:6">
      <c r="A42" s="14" t="s">
        <v>31</v>
      </c>
      <c r="B42" s="44" t="s">
        <v>28</v>
      </c>
      <c r="C42" s="45"/>
      <c r="D42" s="46">
        <f>IF(D26&gt;1.45,MAX(1 - SQRT(D37 / D30)),MAX(1-SQRT(D37/(D30*0.9))))</f>
        <v>0.14960831886606762</v>
      </c>
    </row>
  </sheetData>
  <conditionalFormatting sqref="F15">
    <cfRule type="cellIs" dxfId="7" priority="7" operator="equal">
      <formula>"✅ OK"</formula>
    </cfRule>
    <cfRule type="cellIs" dxfId="6" priority="8" operator="equal">
      <formula>"OK"</formula>
    </cfRule>
  </conditionalFormatting>
  <conditionalFormatting sqref="F21">
    <cfRule type="cellIs" dxfId="5" priority="5" operator="equal">
      <formula>"✅ OK"</formula>
    </cfRule>
    <cfRule type="cellIs" dxfId="4" priority="6" operator="equal">
      <formula>"OK"</formula>
    </cfRule>
  </conditionalFormatting>
  <conditionalFormatting sqref="F26">
    <cfRule type="cellIs" dxfId="3" priority="3" operator="equal">
      <formula>"✅ OK"</formula>
    </cfRule>
    <cfRule type="cellIs" dxfId="2" priority="4" operator="equal">
      <formula>"OK"</formula>
    </cfRule>
  </conditionalFormatting>
  <conditionalFormatting sqref="F40:F41">
    <cfRule type="cellIs" dxfId="1" priority="1" operator="equal">
      <formula>"✅ OK"</formula>
    </cfRule>
    <cfRule type="cellIs" dxfId="0" priority="2" operator="equal">
      <formula>"OK"</formula>
    </cfRule>
  </conditionalFormatting>
  <hyperlinks>
    <hyperlink ref="J20" r:id="rId1" xr:uid="{CA2807D3-043F-480C-B1E9-77295C3147BC}"/>
  </hyperlinks>
  <pageMargins left="0.7" right="0.7" top="0.78740157499999996" bottom="0.78740157499999996"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22EF-01E9-482E-B806-D837BC914975}">
  <dimension ref="A1:R57"/>
  <sheetViews>
    <sheetView topLeftCell="A42" workbookViewId="0">
      <selection activeCell="H12" sqref="H12"/>
    </sheetView>
  </sheetViews>
  <sheetFormatPr baseColWidth="10" defaultColWidth="11.5703125" defaultRowHeight="15"/>
  <sheetData>
    <row r="1" spans="1:9">
      <c r="A1" s="62" t="s">
        <v>139</v>
      </c>
      <c r="B1" s="63"/>
      <c r="C1" s="63"/>
      <c r="D1" s="63"/>
      <c r="E1" s="63" t="s">
        <v>141</v>
      </c>
      <c r="F1" s="63"/>
      <c r="G1" s="64"/>
    </row>
    <row r="2" spans="1:9">
      <c r="A2" s="65" t="s">
        <v>140</v>
      </c>
      <c r="B2" s="66"/>
      <c r="C2" s="66"/>
      <c r="D2" s="66"/>
      <c r="E2" s="66" t="s">
        <v>142</v>
      </c>
      <c r="F2" s="66"/>
      <c r="G2" s="67"/>
    </row>
    <row r="3" spans="1:9">
      <c r="A3" s="65" t="s">
        <v>144</v>
      </c>
      <c r="B3" s="66"/>
      <c r="C3" s="66"/>
      <c r="D3" s="66"/>
      <c r="E3" s="66" t="s">
        <v>143</v>
      </c>
      <c r="F3" s="66"/>
      <c r="G3" s="67"/>
    </row>
    <row r="4" spans="1:9" ht="15.75">
      <c r="A4" s="68" t="s">
        <v>145</v>
      </c>
      <c r="B4" s="69"/>
      <c r="C4" s="72" t="s">
        <v>68</v>
      </c>
      <c r="D4" s="71"/>
      <c r="E4" s="71"/>
      <c r="F4" s="69"/>
      <c r="G4" s="70"/>
    </row>
    <row r="7" spans="1:9" ht="15.75">
      <c r="B7" s="54" t="s">
        <v>62</v>
      </c>
    </row>
    <row r="8" spans="1:9">
      <c r="B8" s="53"/>
    </row>
    <row r="9" spans="1:9">
      <c r="B9" s="53" t="s">
        <v>53</v>
      </c>
    </row>
    <row r="11" spans="1:9" ht="15.75">
      <c r="B11" s="54" t="s">
        <v>54</v>
      </c>
      <c r="I11" t="s">
        <v>270</v>
      </c>
    </row>
    <row r="12" spans="1:9">
      <c r="B12" s="53"/>
      <c r="I12" t="s">
        <v>271</v>
      </c>
    </row>
    <row r="13" spans="1:9">
      <c r="B13" s="53" t="s">
        <v>55</v>
      </c>
      <c r="I13" t="s">
        <v>272</v>
      </c>
    </row>
    <row r="14" spans="1:9">
      <c r="I14" t="s">
        <v>273</v>
      </c>
    </row>
    <row r="15" spans="1:9" ht="15.75">
      <c r="B15" s="54" t="s">
        <v>56</v>
      </c>
      <c r="I15" t="s">
        <v>274</v>
      </c>
    </row>
    <row r="16" spans="1:9">
      <c r="B16" s="53"/>
    </row>
    <row r="17" spans="2:18">
      <c r="B17" s="53" t="s">
        <v>57</v>
      </c>
    </row>
    <row r="18" spans="2:18">
      <c r="B18" s="58"/>
    </row>
    <row r="19" spans="2:18">
      <c r="B19" s="59" t="s">
        <v>58</v>
      </c>
    </row>
    <row r="20" spans="2:18">
      <c r="B20" s="58"/>
    </row>
    <row r="21" spans="2:18">
      <c r="B21" s="59" t="s">
        <v>59</v>
      </c>
    </row>
    <row r="22" spans="2:18">
      <c r="B22" s="58"/>
    </row>
    <row r="23" spans="2:18">
      <c r="B23" s="59" t="s">
        <v>60</v>
      </c>
    </row>
    <row r="24" spans="2:18">
      <c r="B24" s="58"/>
    </row>
    <row r="25" spans="2:18">
      <c r="B25" s="81" t="s">
        <v>147</v>
      </c>
      <c r="C25" s="75"/>
      <c r="D25" s="75"/>
      <c r="E25" s="75"/>
      <c r="F25" s="75"/>
      <c r="G25" s="75"/>
      <c r="H25" s="75"/>
      <c r="I25" s="75"/>
      <c r="J25" s="75"/>
      <c r="K25" s="75"/>
      <c r="L25" s="76"/>
    </row>
    <row r="26" spans="2:18">
      <c r="B26" s="82" t="s">
        <v>148</v>
      </c>
      <c r="C26" s="77"/>
      <c r="D26" s="77"/>
      <c r="E26" s="77"/>
      <c r="F26" s="77"/>
      <c r="G26" s="77"/>
      <c r="H26" s="77"/>
      <c r="I26" s="77"/>
      <c r="J26" s="77"/>
      <c r="K26" s="77"/>
      <c r="L26" s="78"/>
      <c r="N26" s="40" t="s">
        <v>154</v>
      </c>
      <c r="O26" s="84"/>
      <c r="P26" s="84"/>
      <c r="Q26" s="84"/>
      <c r="R26" s="41"/>
    </row>
    <row r="27" spans="2:18">
      <c r="B27" s="82" t="s">
        <v>149</v>
      </c>
      <c r="C27" s="77"/>
      <c r="D27" s="77"/>
      <c r="E27" s="77"/>
      <c r="F27" s="77"/>
      <c r="G27" s="77"/>
      <c r="H27" s="77"/>
      <c r="I27" s="77"/>
      <c r="J27" s="77"/>
      <c r="K27" s="77"/>
      <c r="L27" s="78"/>
      <c r="N27" s="42" t="s">
        <v>155</v>
      </c>
      <c r="O27" s="85"/>
      <c r="P27" s="85"/>
      <c r="Q27" s="85"/>
      <c r="R27" s="43"/>
    </row>
    <row r="28" spans="2:18">
      <c r="B28" s="82"/>
      <c r="C28" s="77"/>
      <c r="D28" s="77"/>
      <c r="E28" s="77"/>
      <c r="F28" s="77"/>
      <c r="G28" s="77"/>
      <c r="H28" s="77"/>
      <c r="I28" s="77"/>
      <c r="J28" s="77"/>
      <c r="K28" s="77"/>
      <c r="L28" s="78"/>
      <c r="N28" s="44" t="s">
        <v>156</v>
      </c>
      <c r="O28" s="86"/>
      <c r="P28" s="86"/>
      <c r="Q28" s="86"/>
      <c r="R28" s="45"/>
    </row>
    <row r="29" spans="2:18">
      <c r="B29" s="83" t="s">
        <v>150</v>
      </c>
      <c r="C29" s="79"/>
      <c r="D29" s="79"/>
      <c r="E29" s="79"/>
      <c r="F29" s="79"/>
      <c r="G29" s="79"/>
      <c r="H29" s="79"/>
      <c r="I29" s="79"/>
      <c r="J29" s="79"/>
      <c r="K29" s="79"/>
      <c r="L29" s="80"/>
    </row>
    <row r="31" spans="2:18">
      <c r="B31" s="59" t="s">
        <v>61</v>
      </c>
    </row>
    <row r="32" spans="2:18">
      <c r="B32" s="53"/>
    </row>
    <row r="33" spans="2:2">
      <c r="B33" s="59" t="s">
        <v>65</v>
      </c>
    </row>
    <row r="34" spans="2:2">
      <c r="B34" s="53"/>
    </row>
    <row r="35" spans="2:2">
      <c r="B35" s="58" t="s">
        <v>67</v>
      </c>
    </row>
    <row r="37" spans="2:2">
      <c r="B37" t="s">
        <v>193</v>
      </c>
    </row>
    <row r="38" spans="2:2">
      <c r="B38" t="s">
        <v>194</v>
      </c>
    </row>
    <row r="40" spans="2:2">
      <c r="B40" t="s">
        <v>195</v>
      </c>
    </row>
    <row r="41" spans="2:2">
      <c r="B41" t="s">
        <v>196</v>
      </c>
    </row>
    <row r="43" spans="2:2">
      <c r="B43" t="s">
        <v>197</v>
      </c>
    </row>
    <row r="44" spans="2:2">
      <c r="B44" t="s">
        <v>198</v>
      </c>
    </row>
    <row r="46" spans="2:2">
      <c r="B46" t="s">
        <v>199</v>
      </c>
    </row>
    <row r="47" spans="2:2">
      <c r="B47" t="s">
        <v>200</v>
      </c>
    </row>
    <row r="49" spans="2:2">
      <c r="B49" t="s">
        <v>267</v>
      </c>
    </row>
    <row r="50" spans="2:2">
      <c r="B50" t="s">
        <v>268</v>
      </c>
    </row>
    <row r="53" spans="2:2" ht="15.75">
      <c r="B53" s="54" t="s">
        <v>66</v>
      </c>
    </row>
    <row r="55" spans="2:2">
      <c r="B55" s="52" t="s">
        <v>49</v>
      </c>
    </row>
    <row r="56" spans="2:2">
      <c r="B56" s="52" t="s">
        <v>69</v>
      </c>
    </row>
    <row r="57" spans="2:2">
      <c r="B57" s="52" t="s">
        <v>269</v>
      </c>
    </row>
  </sheetData>
  <hyperlinks>
    <hyperlink ref="C4" r:id="rId1" xr:uid="{FDC762F3-EAE8-4765-BEA8-0690034F5BAD}"/>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11FA-F61B-447B-811B-9F358481D282}">
  <dimension ref="A1:E13"/>
  <sheetViews>
    <sheetView workbookViewId="0">
      <selection activeCell="A11" sqref="A11"/>
    </sheetView>
  </sheetViews>
  <sheetFormatPr baseColWidth="10" defaultRowHeight="15"/>
  <cols>
    <col min="1" max="1" width="55.28515625" customWidth="1"/>
    <col min="2" max="2" width="37.28515625" customWidth="1"/>
    <col min="3" max="3" width="27.28515625" customWidth="1"/>
    <col min="4" max="4" width="57" customWidth="1"/>
    <col min="5" max="5" width="52.85546875" customWidth="1"/>
  </cols>
  <sheetData>
    <row r="1" spans="1:5">
      <c r="A1" t="s">
        <v>222</v>
      </c>
    </row>
    <row r="2" spans="1:5">
      <c r="A2" t="s">
        <v>226</v>
      </c>
    </row>
    <row r="4" spans="1:5">
      <c r="A4" s="111" t="s">
        <v>220</v>
      </c>
      <c r="B4" s="111" t="s">
        <v>201</v>
      </c>
      <c r="C4" t="s">
        <v>221</v>
      </c>
      <c r="D4" s="111" t="s">
        <v>202</v>
      </c>
    </row>
    <row r="5" spans="1:5" ht="21" customHeight="1">
      <c r="A5" t="s">
        <v>224</v>
      </c>
      <c r="B5" t="s">
        <v>223</v>
      </c>
      <c r="C5" s="112">
        <v>45870</v>
      </c>
      <c r="D5" t="s">
        <v>225</v>
      </c>
    </row>
    <row r="6" spans="1:5" ht="18" customHeight="1">
      <c r="A6" t="s">
        <v>227</v>
      </c>
      <c r="B6" t="s">
        <v>228</v>
      </c>
      <c r="C6" s="108" t="s">
        <v>230</v>
      </c>
      <c r="D6" s="108" t="s">
        <v>229</v>
      </c>
      <c r="E6" s="108"/>
    </row>
    <row r="7" spans="1:5">
      <c r="A7" t="s">
        <v>231</v>
      </c>
      <c r="B7" t="s">
        <v>232</v>
      </c>
      <c r="C7" s="108" t="s">
        <v>230</v>
      </c>
      <c r="D7" s="108" t="s">
        <v>237</v>
      </c>
      <c r="E7" s="108"/>
    </row>
    <row r="8" spans="1:5" ht="15.75" customHeight="1">
      <c r="A8" t="s">
        <v>234</v>
      </c>
      <c r="B8" t="s">
        <v>232</v>
      </c>
      <c r="C8" s="108" t="s">
        <v>230</v>
      </c>
      <c r="D8" s="108" t="s">
        <v>237</v>
      </c>
      <c r="E8" s="108"/>
    </row>
    <row r="9" spans="1:5" ht="19.5" customHeight="1">
      <c r="A9" t="s">
        <v>235</v>
      </c>
      <c r="B9" t="s">
        <v>233</v>
      </c>
      <c r="C9" s="108" t="s">
        <v>230</v>
      </c>
      <c r="D9" s="108" t="s">
        <v>237</v>
      </c>
      <c r="E9" s="108"/>
    </row>
    <row r="10" spans="1:5">
      <c r="A10" t="s">
        <v>236</v>
      </c>
      <c r="B10" t="s">
        <v>233</v>
      </c>
      <c r="C10" s="108" t="s">
        <v>230</v>
      </c>
      <c r="D10" s="108" t="s">
        <v>237</v>
      </c>
    </row>
    <row r="12" spans="1:5">
      <c r="A12" s="52"/>
    </row>
    <row r="13" spans="1:5">
      <c r="A13" t="s">
        <v>238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D3EC-8073-4565-AFB9-2CEBA83FB1DE}">
  <dimension ref="A1:M190"/>
  <sheetViews>
    <sheetView tabSelected="1" topLeftCell="A14" workbookViewId="0">
      <selection activeCell="L36" sqref="L36:L40"/>
    </sheetView>
  </sheetViews>
  <sheetFormatPr baseColWidth="10" defaultColWidth="11.5703125" defaultRowHeight="15"/>
  <sheetData>
    <row r="1" spans="1:7">
      <c r="A1" s="62" t="s">
        <v>139</v>
      </c>
      <c r="B1" s="63"/>
      <c r="C1" s="63"/>
      <c r="D1" s="63"/>
      <c r="E1" s="63" t="s">
        <v>141</v>
      </c>
      <c r="F1" s="63"/>
      <c r="G1" s="64"/>
    </row>
    <row r="2" spans="1:7">
      <c r="A2" s="65" t="s">
        <v>140</v>
      </c>
      <c r="B2" s="66"/>
      <c r="C2" s="66"/>
      <c r="D2" s="66"/>
      <c r="E2" s="66" t="s">
        <v>142</v>
      </c>
      <c r="F2" s="66"/>
      <c r="G2" s="67"/>
    </row>
    <row r="3" spans="1:7">
      <c r="A3" s="65" t="s">
        <v>144</v>
      </c>
      <c r="B3" s="66"/>
      <c r="C3" s="66"/>
      <c r="D3" s="66"/>
      <c r="E3" s="66" t="s">
        <v>143</v>
      </c>
      <c r="F3" s="66"/>
      <c r="G3" s="67"/>
    </row>
    <row r="4" spans="1:7" ht="15.75">
      <c r="A4" s="68" t="s">
        <v>145</v>
      </c>
      <c r="B4" s="69"/>
      <c r="C4" s="72" t="s">
        <v>68</v>
      </c>
      <c r="D4" s="71"/>
      <c r="E4" s="71"/>
      <c r="F4" s="69"/>
      <c r="G4" s="70"/>
    </row>
    <row r="7" spans="1:7">
      <c r="B7" t="s">
        <v>131</v>
      </c>
    </row>
    <row r="8" spans="1:7">
      <c r="B8" t="s">
        <v>174</v>
      </c>
    </row>
    <row r="9" spans="1:7">
      <c r="B9" t="s">
        <v>175</v>
      </c>
    </row>
    <row r="11" spans="1:7">
      <c r="B11" s="52"/>
    </row>
    <row r="12" spans="1:7" ht="24">
      <c r="B12" s="55" t="s">
        <v>93</v>
      </c>
    </row>
    <row r="14" spans="1:7">
      <c r="B14" s="52" t="s">
        <v>239</v>
      </c>
    </row>
    <row r="15" spans="1:7">
      <c r="B15" s="52" t="s">
        <v>94</v>
      </c>
    </row>
    <row r="16" spans="1:7">
      <c r="B16" s="52" t="s">
        <v>95</v>
      </c>
    </row>
    <row r="17" spans="2:13">
      <c r="B17" s="52" t="s">
        <v>69</v>
      </c>
    </row>
    <row r="18" spans="2:13">
      <c r="B18" s="52" t="s">
        <v>96</v>
      </c>
    </row>
    <row r="22" spans="2:13" ht="18">
      <c r="B22" s="56" t="s">
        <v>97</v>
      </c>
    </row>
    <row r="24" spans="2:13">
      <c r="B24" t="s">
        <v>98</v>
      </c>
      <c r="M24" t="s">
        <v>51</v>
      </c>
    </row>
    <row r="26" spans="2:13">
      <c r="B26" t="s">
        <v>99</v>
      </c>
    </row>
    <row r="28" spans="2:13">
      <c r="B28" t="s">
        <v>100</v>
      </c>
    </row>
    <row r="30" spans="2:13">
      <c r="B30" t="s">
        <v>176</v>
      </c>
    </row>
    <row r="32" spans="2:13">
      <c r="B32" t="s">
        <v>177</v>
      </c>
    </row>
    <row r="34" spans="2:13">
      <c r="B34" t="s">
        <v>178</v>
      </c>
    </row>
    <row r="36" spans="2:13" ht="24">
      <c r="B36" s="55" t="s">
        <v>240</v>
      </c>
      <c r="L36" t="s">
        <v>270</v>
      </c>
    </row>
    <row r="37" spans="2:13">
      <c r="L37" t="s">
        <v>271</v>
      </c>
    </row>
    <row r="38" spans="2:13" ht="18">
      <c r="B38" t="s">
        <v>241</v>
      </c>
      <c r="L38" t="s">
        <v>272</v>
      </c>
      <c r="M38" s="56"/>
    </row>
    <row r="39" spans="2:13">
      <c r="L39" t="s">
        <v>273</v>
      </c>
      <c r="M39" s="53"/>
    </row>
    <row r="40" spans="2:13">
      <c r="L40" t="s">
        <v>274</v>
      </c>
      <c r="M40" s="57"/>
    </row>
    <row r="42" spans="2:13" ht="18">
      <c r="B42" s="56" t="s">
        <v>123</v>
      </c>
    </row>
    <row r="44" spans="2:13">
      <c r="B44" s="52" t="s">
        <v>124</v>
      </c>
    </row>
    <row r="45" spans="2:13">
      <c r="B45" s="52" t="s">
        <v>125</v>
      </c>
    </row>
    <row r="46" spans="2:13" ht="18">
      <c r="B46" s="52" t="s">
        <v>242</v>
      </c>
      <c r="M46" s="56"/>
    </row>
    <row r="47" spans="2:13">
      <c r="B47" t="s">
        <v>243</v>
      </c>
    </row>
    <row r="51" spans="2:2" ht="18">
      <c r="B51" s="56" t="s">
        <v>126</v>
      </c>
    </row>
    <row r="53" spans="2:2">
      <c r="B53" s="52" t="s">
        <v>127</v>
      </c>
    </row>
    <row r="54" spans="2:2">
      <c r="B54" s="52" t="s">
        <v>244</v>
      </c>
    </row>
    <row r="55" spans="2:2">
      <c r="B55" s="52" t="s">
        <v>245</v>
      </c>
    </row>
    <row r="59" spans="2:2" ht="18">
      <c r="B59" s="56" t="s">
        <v>246</v>
      </c>
    </row>
    <row r="61" spans="2:2">
      <c r="B61" s="52" t="s">
        <v>128</v>
      </c>
    </row>
    <row r="62" spans="2:2">
      <c r="B62" s="52" t="s">
        <v>50</v>
      </c>
    </row>
    <row r="63" spans="2:2">
      <c r="B63" s="52" t="s">
        <v>129</v>
      </c>
    </row>
    <row r="64" spans="2:2" ht="15.75">
      <c r="B64" s="54"/>
    </row>
    <row r="65" spans="2:2">
      <c r="B65" s="53"/>
    </row>
    <row r="66" spans="2:2">
      <c r="B66" s="57"/>
    </row>
    <row r="67" spans="2:2" ht="18">
      <c r="B67" s="56" t="s">
        <v>130</v>
      </c>
    </row>
    <row r="69" spans="2:2">
      <c r="B69" s="52" t="s">
        <v>247</v>
      </c>
    </row>
    <row r="70" spans="2:2">
      <c r="B70" s="52" t="s">
        <v>248</v>
      </c>
    </row>
    <row r="71" spans="2:2">
      <c r="B71" s="52" t="s">
        <v>249</v>
      </c>
    </row>
    <row r="72" spans="2:2">
      <c r="B72" s="53"/>
    </row>
    <row r="73" spans="2:2">
      <c r="B73" s="53" t="s">
        <v>250</v>
      </c>
    </row>
    <row r="74" spans="2:2">
      <c r="B74" s="53"/>
    </row>
    <row r="75" spans="2:2">
      <c r="B75" s="53" t="s">
        <v>251</v>
      </c>
    </row>
    <row r="77" spans="2:2">
      <c r="B77" s="52" t="s">
        <v>252</v>
      </c>
    </row>
    <row r="78" spans="2:2">
      <c r="B78" s="53"/>
    </row>
    <row r="79" spans="2:2">
      <c r="B79" s="53" t="s">
        <v>253</v>
      </c>
    </row>
    <row r="80" spans="2:2">
      <c r="B80" s="53"/>
    </row>
    <row r="81" spans="2:2">
      <c r="B81" s="53" t="s">
        <v>254</v>
      </c>
    </row>
    <row r="83" spans="2:2">
      <c r="B83" s="52" t="s">
        <v>255</v>
      </c>
    </row>
    <row r="84" spans="2:2">
      <c r="B84" s="53"/>
    </row>
    <row r="85" spans="2:2">
      <c r="B85" s="52" t="s">
        <v>260</v>
      </c>
    </row>
    <row r="86" spans="2:2">
      <c r="B86" t="s">
        <v>261</v>
      </c>
    </row>
    <row r="88" spans="2:2">
      <c r="B88" t="s">
        <v>262</v>
      </c>
    </row>
    <row r="90" spans="2:2">
      <c r="B90" t="s">
        <v>263</v>
      </c>
    </row>
    <row r="92" spans="2:2">
      <c r="B92" s="53" t="s">
        <v>256</v>
      </c>
    </row>
    <row r="93" spans="2:2">
      <c r="B93" s="53"/>
    </row>
    <row r="94" spans="2:2">
      <c r="B94" s="53" t="s">
        <v>257</v>
      </c>
    </row>
    <row r="95" spans="2:2">
      <c r="B95" s="53"/>
    </row>
    <row r="96" spans="2:2">
      <c r="B96" s="53" t="s">
        <v>258</v>
      </c>
    </row>
    <row r="97" spans="2:2">
      <c r="B97" s="53"/>
    </row>
    <row r="98" spans="2:2">
      <c r="B98" s="53" t="s">
        <v>259</v>
      </c>
    </row>
    <row r="102" spans="2:2" ht="18">
      <c r="B102" s="56" t="s">
        <v>101</v>
      </c>
    </row>
    <row r="104" spans="2:2">
      <c r="B104" t="s">
        <v>102</v>
      </c>
    </row>
    <row r="105" spans="2:2">
      <c r="B105" s="53"/>
    </row>
    <row r="106" spans="2:2">
      <c r="B106" s="53" t="s">
        <v>103</v>
      </c>
    </row>
    <row r="107" spans="2:2">
      <c r="B107" s="53"/>
    </row>
    <row r="108" spans="2:2">
      <c r="B108" s="53" t="s">
        <v>104</v>
      </c>
    </row>
    <row r="109" spans="2:2">
      <c r="B109" s="53"/>
    </row>
    <row r="110" spans="2:2">
      <c r="B110" s="53" t="s">
        <v>105</v>
      </c>
    </row>
    <row r="111" spans="2:2">
      <c r="B111" s="53"/>
    </row>
    <row r="112" spans="2:2">
      <c r="B112" s="53" t="s">
        <v>106</v>
      </c>
    </row>
    <row r="113" spans="2:2">
      <c r="B113" s="53"/>
    </row>
    <row r="114" spans="2:2">
      <c r="B114" s="53" t="s">
        <v>107</v>
      </c>
    </row>
    <row r="116" spans="2:2">
      <c r="B116" t="s">
        <v>108</v>
      </c>
    </row>
    <row r="118" spans="2:2">
      <c r="B118" s="57" t="s">
        <v>166</v>
      </c>
    </row>
    <row r="119" spans="2:2">
      <c r="B119" s="53" t="s">
        <v>167</v>
      </c>
    </row>
    <row r="120" spans="2:2">
      <c r="B120" s="58"/>
    </row>
    <row r="121" spans="2:2">
      <c r="B121" s="58" t="s">
        <v>168</v>
      </c>
    </row>
    <row r="122" spans="2:2">
      <c r="B122" s="58"/>
    </row>
    <row r="123" spans="2:2">
      <c r="B123" s="58" t="s">
        <v>169</v>
      </c>
    </row>
    <row r="124" spans="2:2">
      <c r="B124" s="58"/>
    </row>
    <row r="125" spans="2:2">
      <c r="B125" s="58" t="s">
        <v>170</v>
      </c>
    </row>
    <row r="126" spans="2:2">
      <c r="B126" s="53"/>
    </row>
    <row r="127" spans="2:2">
      <c r="B127" s="53" t="s">
        <v>171</v>
      </c>
    </row>
    <row r="129" spans="2:2" ht="18">
      <c r="B129" s="56" t="s">
        <v>109</v>
      </c>
    </row>
    <row r="131" spans="2:2">
      <c r="B131" t="s">
        <v>110</v>
      </c>
    </row>
    <row r="132" spans="2:2">
      <c r="B132" t="s">
        <v>111</v>
      </c>
    </row>
    <row r="136" spans="2:2" ht="18">
      <c r="B136" s="56" t="s">
        <v>112</v>
      </c>
    </row>
    <row r="138" spans="2:2">
      <c r="B138" t="s">
        <v>113</v>
      </c>
    </row>
    <row r="139" spans="2:2">
      <c r="B139" t="s">
        <v>114</v>
      </c>
    </row>
    <row r="143" spans="2:2" ht="18">
      <c r="B143" s="56" t="s">
        <v>115</v>
      </c>
    </row>
    <row r="145" spans="2:2">
      <c r="B145" t="s">
        <v>116</v>
      </c>
    </row>
    <row r="146" spans="2:2">
      <c r="B146" t="s">
        <v>117</v>
      </c>
    </row>
    <row r="150" spans="2:2" ht="18">
      <c r="B150" s="56" t="s">
        <v>118</v>
      </c>
    </row>
    <row r="152" spans="2:2">
      <c r="B152" t="s">
        <v>119</v>
      </c>
    </row>
    <row r="153" spans="2:2">
      <c r="B153" t="s">
        <v>120</v>
      </c>
    </row>
    <row r="157" spans="2:2" ht="18">
      <c r="B157" s="56" t="s">
        <v>132</v>
      </c>
    </row>
    <row r="158" spans="2:2">
      <c r="B158" s="53"/>
    </row>
    <row r="159" spans="2:2">
      <c r="B159" s="53" t="s">
        <v>133</v>
      </c>
    </row>
    <row r="160" spans="2:2">
      <c r="B160" s="53" t="s">
        <v>134</v>
      </c>
    </row>
    <row r="161" spans="2:2">
      <c r="B161" s="53"/>
    </row>
    <row r="162" spans="2:2">
      <c r="B162" s="53" t="s">
        <v>135</v>
      </c>
    </row>
    <row r="163" spans="2:2">
      <c r="B163" s="53"/>
    </row>
    <row r="164" spans="2:2">
      <c r="B164" s="57" t="s">
        <v>136</v>
      </c>
    </row>
    <row r="165" spans="2:2">
      <c r="B165" s="53" t="s">
        <v>137</v>
      </c>
    </row>
    <row r="166" spans="2:2">
      <c r="B166" s="53"/>
    </row>
    <row r="167" spans="2:2">
      <c r="B167" s="53" t="s">
        <v>138</v>
      </c>
    </row>
    <row r="169" spans="2:2">
      <c r="B169" s="53" t="s">
        <v>203</v>
      </c>
    </row>
    <row r="173" spans="2:2" ht="18">
      <c r="B173" s="56" t="s">
        <v>181</v>
      </c>
    </row>
    <row r="174" spans="2:2">
      <c r="B174" s="53"/>
    </row>
    <row r="175" spans="2:2">
      <c r="B175" s="53" t="s">
        <v>182</v>
      </c>
    </row>
    <row r="176" spans="2:2">
      <c r="B176" s="53" t="s">
        <v>183</v>
      </c>
    </row>
    <row r="177" spans="2:2">
      <c r="B177" s="53"/>
    </row>
    <row r="178" spans="2:2">
      <c r="B178" s="53" t="s">
        <v>184</v>
      </c>
    </row>
    <row r="179" spans="2:2">
      <c r="B179" s="53"/>
    </row>
    <row r="180" spans="2:2">
      <c r="B180" s="53" t="s">
        <v>185</v>
      </c>
    </row>
    <row r="182" spans="2:2">
      <c r="B182" t="s">
        <v>267</v>
      </c>
    </row>
    <row r="183" spans="2:2">
      <c r="B183" t="s">
        <v>268</v>
      </c>
    </row>
    <row r="185" spans="2:2" ht="24">
      <c r="B185" s="55" t="s">
        <v>121</v>
      </c>
    </row>
    <row r="187" spans="2:2">
      <c r="B187" t="s">
        <v>122</v>
      </c>
    </row>
    <row r="189" spans="2:2">
      <c r="B189" s="52" t="s">
        <v>172</v>
      </c>
    </row>
    <row r="190" spans="2:2">
      <c r="B190" t="s">
        <v>173</v>
      </c>
    </row>
  </sheetData>
  <hyperlinks>
    <hyperlink ref="C4" r:id="rId1" xr:uid="{CF2D4322-6B69-4346-9FC9-F5E135B4BBA0}"/>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4ACC-0001-4A83-822A-4B9C1971B8A3}">
  <dimension ref="A1:B5"/>
  <sheetViews>
    <sheetView workbookViewId="0">
      <selection activeCell="A11" sqref="A11"/>
    </sheetView>
  </sheetViews>
  <sheetFormatPr baseColWidth="10" defaultRowHeight="15"/>
  <cols>
    <col min="1" max="1" width="35.5703125" customWidth="1"/>
    <col min="2" max="2" width="36.7109375" customWidth="1"/>
  </cols>
  <sheetData>
    <row r="1" spans="1:2">
      <c r="A1" s="108" t="s">
        <v>186</v>
      </c>
      <c r="B1" s="108" t="s">
        <v>179</v>
      </c>
    </row>
    <row r="2" spans="1:2">
      <c r="A2" s="108" t="s">
        <v>180</v>
      </c>
      <c r="B2" s="110">
        <v>45855</v>
      </c>
    </row>
    <row r="3" spans="1:2">
      <c r="A3" s="108" t="s">
        <v>187</v>
      </c>
      <c r="B3" s="108" t="s">
        <v>188</v>
      </c>
    </row>
    <row r="4" spans="1:2" ht="30">
      <c r="A4" s="108" t="s">
        <v>189</v>
      </c>
      <c r="B4" s="108" t="s">
        <v>190</v>
      </c>
    </row>
    <row r="5" spans="1:2">
      <c r="A5" s="108" t="s">
        <v>191</v>
      </c>
      <c r="B5" s="108" t="s">
        <v>192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49985-E159-4975-9098-60D5D9626053}">
  <dimension ref="A1:I12"/>
  <sheetViews>
    <sheetView workbookViewId="0">
      <selection activeCell="K10" sqref="K10"/>
    </sheetView>
  </sheetViews>
  <sheetFormatPr baseColWidth="10" defaultColWidth="11.5703125" defaultRowHeight="15"/>
  <sheetData>
    <row r="1" spans="1:9">
      <c r="A1" t="s">
        <v>4</v>
      </c>
      <c r="B1">
        <v>0</v>
      </c>
      <c r="C1">
        <v>0.5</v>
      </c>
      <c r="D1">
        <v>1</v>
      </c>
      <c r="E1">
        <v>2</v>
      </c>
      <c r="F1">
        <v>3</v>
      </c>
      <c r="G1">
        <v>4</v>
      </c>
      <c r="H1">
        <v>6</v>
      </c>
      <c r="I1">
        <v>8</v>
      </c>
    </row>
    <row r="2" spans="1:9">
      <c r="A2">
        <v>50</v>
      </c>
      <c r="B2">
        <v>0.80300000000000005</v>
      </c>
      <c r="C2">
        <v>0.66500000000000004</v>
      </c>
      <c r="D2">
        <v>0.60499999999999998</v>
      </c>
      <c r="E2">
        <v>0.51700000000000002</v>
      </c>
      <c r="F2">
        <v>0.51500000000000001</v>
      </c>
      <c r="G2">
        <v>0.48499999999999999</v>
      </c>
      <c r="H2">
        <v>0.46800000000000003</v>
      </c>
      <c r="I2">
        <v>0.45700000000000002</v>
      </c>
    </row>
    <row r="3" spans="1:9">
      <c r="A3">
        <v>100</v>
      </c>
      <c r="B3">
        <v>0.71399999999999997</v>
      </c>
      <c r="C3">
        <v>0.56100000000000005</v>
      </c>
      <c r="D3">
        <v>0.46500000000000002</v>
      </c>
      <c r="E3">
        <v>0.40200000000000002</v>
      </c>
      <c r="F3">
        <v>0.374</v>
      </c>
      <c r="G3">
        <v>0.35599999999999998</v>
      </c>
      <c r="H3">
        <v>0.33</v>
      </c>
      <c r="I3">
        <v>0.311</v>
      </c>
    </row>
    <row r="4" spans="1:9">
      <c r="A4">
        <v>200</v>
      </c>
      <c r="B4">
        <v>0.64700000000000002</v>
      </c>
      <c r="C4">
        <v>0.54</v>
      </c>
      <c r="D4">
        <v>0.43099999999999999</v>
      </c>
      <c r="E4">
        <v>0.35799999999999998</v>
      </c>
      <c r="F4">
        <v>0.32300000000000001</v>
      </c>
      <c r="G4">
        <v>0.28100000000000003</v>
      </c>
      <c r="H4">
        <v>0.26900000000000002</v>
      </c>
      <c r="I4">
        <v>0.248</v>
      </c>
    </row>
    <row r="5" spans="1:9">
      <c r="A5">
        <v>400</v>
      </c>
      <c r="B5">
        <v>0.56999999999999995</v>
      </c>
      <c r="C5">
        <v>0.503</v>
      </c>
      <c r="D5">
        <v>0.42299999999999999</v>
      </c>
      <c r="E5">
        <v>0.34799999999999998</v>
      </c>
      <c r="F5">
        <v>0.30599999999999999</v>
      </c>
      <c r="G5">
        <v>0.27700000000000002</v>
      </c>
      <c r="H5">
        <v>0.249</v>
      </c>
      <c r="I5">
        <v>0.23100000000000001</v>
      </c>
    </row>
    <row r="6" spans="1:9">
      <c r="A6">
        <v>700</v>
      </c>
      <c r="B6">
        <v>0.505</v>
      </c>
      <c r="C6">
        <v>0.47899999999999998</v>
      </c>
      <c r="D6">
        <v>0.443</v>
      </c>
      <c r="E6">
        <v>0.34499999999999997</v>
      </c>
      <c r="F6">
        <v>0.29099999999999998</v>
      </c>
      <c r="G6">
        <v>0.27400000000000002</v>
      </c>
      <c r="H6">
        <v>0.23899999999999999</v>
      </c>
      <c r="I6">
        <v>0.21199999999999999</v>
      </c>
    </row>
    <row r="7" spans="1:9">
      <c r="A7">
        <v>1000</v>
      </c>
      <c r="B7">
        <v>0.46300000000000002</v>
      </c>
      <c r="C7">
        <v>0.45300000000000001</v>
      </c>
      <c r="D7">
        <v>0.40799999999999997</v>
      </c>
      <c r="E7">
        <v>0.35199999999999998</v>
      </c>
      <c r="F7">
        <v>0.3</v>
      </c>
      <c r="G7">
        <v>0.26700000000000002</v>
      </c>
      <c r="H7">
        <v>0.23400000000000001</v>
      </c>
      <c r="I7">
        <v>0.20799999999999999</v>
      </c>
    </row>
    <row r="8" spans="1:9">
      <c r="A8">
        <v>1500</v>
      </c>
      <c r="B8">
        <v>0.42699999999999999</v>
      </c>
      <c r="C8">
        <v>0.42199999999999999</v>
      </c>
      <c r="D8">
        <v>0.38700000000000001</v>
      </c>
      <c r="E8">
        <v>0.35699999999999998</v>
      </c>
      <c r="F8">
        <v>0.30399999999999999</v>
      </c>
      <c r="G8">
        <v>0.26400000000000001</v>
      </c>
      <c r="H8">
        <v>0.23699999999999999</v>
      </c>
      <c r="I8">
        <v>0.20599999999999999</v>
      </c>
    </row>
    <row r="9" spans="1:9">
      <c r="A9">
        <v>2000</v>
      </c>
      <c r="B9">
        <v>0.40300000000000002</v>
      </c>
      <c r="C9">
        <v>0.39700000000000002</v>
      </c>
      <c r="D9">
        <v>0.38</v>
      </c>
      <c r="E9">
        <v>0.33600000000000002</v>
      </c>
      <c r="F9">
        <v>0.30299999999999999</v>
      </c>
      <c r="G9">
        <v>0.28000000000000003</v>
      </c>
      <c r="H9">
        <v>0.23100000000000001</v>
      </c>
      <c r="I9">
        <v>0.20200000000000001</v>
      </c>
    </row>
    <row r="10" spans="1:9">
      <c r="A10">
        <v>3000</v>
      </c>
      <c r="B10">
        <v>0.371</v>
      </c>
      <c r="C10">
        <v>0.36699999999999999</v>
      </c>
      <c r="D10">
        <v>0.36</v>
      </c>
      <c r="E10">
        <v>0.32700000000000001</v>
      </c>
      <c r="F10">
        <v>0.307</v>
      </c>
      <c r="G10">
        <v>0.28299999999999997</v>
      </c>
      <c r="H10">
        <v>0.23599999999999999</v>
      </c>
      <c r="I10">
        <v>0.21</v>
      </c>
    </row>
    <row r="11" spans="1:9">
      <c r="A11">
        <v>5000</v>
      </c>
      <c r="B11">
        <v>0.33800000000000002</v>
      </c>
      <c r="C11">
        <v>0.33700000000000002</v>
      </c>
      <c r="D11">
        <v>0.32500000000000001</v>
      </c>
      <c r="E11">
        <v>0.30499999999999999</v>
      </c>
      <c r="F11">
        <v>0.29499999999999998</v>
      </c>
      <c r="G11">
        <v>0.26800000000000002</v>
      </c>
      <c r="H11">
        <v>0.23400000000000001</v>
      </c>
      <c r="I11">
        <v>0.20899999999999999</v>
      </c>
    </row>
    <row r="12" spans="1:9">
      <c r="A12">
        <v>10000</v>
      </c>
      <c r="B12">
        <v>0.30099999999999999</v>
      </c>
      <c r="C12">
        <v>0.29799999999999999</v>
      </c>
      <c r="D12">
        <v>0.29399999999999998</v>
      </c>
      <c r="E12">
        <v>0.27200000000000002</v>
      </c>
      <c r="F12">
        <v>0.25700000000000001</v>
      </c>
      <c r="G12">
        <v>0.23200000000000001</v>
      </c>
      <c r="H12">
        <v>0.215</v>
      </c>
      <c r="I12">
        <v>0.21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4AE6-8A22-42F6-A0F2-BC522DDAA54B}">
  <dimension ref="A1:O31"/>
  <sheetViews>
    <sheetView workbookViewId="0">
      <selection activeCell="E19" sqref="E19"/>
    </sheetView>
  </sheetViews>
  <sheetFormatPr baseColWidth="10" defaultColWidth="11.5703125" defaultRowHeight="15"/>
  <sheetData>
    <row r="1" spans="1:9">
      <c r="A1" t="s">
        <v>4</v>
      </c>
      <c r="B1">
        <v>0</v>
      </c>
      <c r="C1">
        <v>0.5</v>
      </c>
      <c r="D1">
        <v>1</v>
      </c>
      <c r="E1">
        <v>2</v>
      </c>
      <c r="F1">
        <v>3</v>
      </c>
      <c r="G1">
        <v>4</v>
      </c>
      <c r="H1">
        <v>6</v>
      </c>
      <c r="I1">
        <v>8</v>
      </c>
    </row>
    <row r="2" spans="1:9">
      <c r="A2">
        <v>50</v>
      </c>
      <c r="B2">
        <v>0.80800000000000005</v>
      </c>
      <c r="C2">
        <v>0.69799999999999995</v>
      </c>
      <c r="D2">
        <v>0.622</v>
      </c>
      <c r="E2">
        <v>0.54600000000000004</v>
      </c>
      <c r="F2">
        <v>0.52200000000000002</v>
      </c>
      <c r="G2">
        <v>0.49399999999999999</v>
      </c>
      <c r="H2">
        <v>0.48399999999999999</v>
      </c>
      <c r="I2">
        <v>0.46800000000000003</v>
      </c>
    </row>
    <row r="3" spans="1:9">
      <c r="A3">
        <v>100</v>
      </c>
      <c r="B3">
        <v>0.72699999999999998</v>
      </c>
      <c r="C3">
        <v>0.56999999999999995</v>
      </c>
      <c r="D3">
        <v>0.47799999999999998</v>
      </c>
      <c r="E3">
        <v>0.42</v>
      </c>
      <c r="F3">
        <v>0.38100000000000001</v>
      </c>
      <c r="G3">
        <v>0.35799999999999998</v>
      </c>
      <c r="H3">
        <v>0.34100000000000003</v>
      </c>
      <c r="I3">
        <v>0.32200000000000001</v>
      </c>
    </row>
    <row r="4" spans="1:9">
      <c r="A4">
        <v>200</v>
      </c>
      <c r="B4">
        <v>0.65400000000000003</v>
      </c>
      <c r="C4">
        <v>0.54700000000000004</v>
      </c>
      <c r="D4">
        <v>0.437</v>
      </c>
      <c r="E4">
        <v>0.36699999999999999</v>
      </c>
      <c r="F4">
        <v>0.32500000000000001</v>
      </c>
      <c r="G4">
        <v>0.29699999999999999</v>
      </c>
      <c r="H4">
        <v>0.27600000000000002</v>
      </c>
      <c r="I4">
        <v>0.25900000000000001</v>
      </c>
    </row>
    <row r="5" spans="1:9">
      <c r="A5">
        <v>400</v>
      </c>
      <c r="B5">
        <v>0.57299999999999995</v>
      </c>
      <c r="C5">
        <v>0.52400000000000002</v>
      </c>
      <c r="D5">
        <v>0.437</v>
      </c>
      <c r="E5">
        <v>0.35299999999999998</v>
      </c>
      <c r="F5">
        <v>0.311</v>
      </c>
      <c r="G5">
        <v>0.28299999999999997</v>
      </c>
      <c r="H5">
        <v>0.253</v>
      </c>
      <c r="I5">
        <v>0.23499999999999999</v>
      </c>
    </row>
    <row r="6" spans="1:9">
      <c r="A6">
        <v>700</v>
      </c>
      <c r="B6">
        <v>0.50700000000000001</v>
      </c>
      <c r="C6">
        <v>0.48499999999999999</v>
      </c>
      <c r="D6">
        <v>0.45500000000000002</v>
      </c>
      <c r="E6">
        <v>0.35099999999999998</v>
      </c>
      <c r="F6">
        <v>0.29799999999999999</v>
      </c>
      <c r="G6">
        <v>0.28000000000000003</v>
      </c>
      <c r="H6">
        <v>0.24299999999999999</v>
      </c>
      <c r="I6">
        <v>0.216</v>
      </c>
    </row>
    <row r="7" spans="1:9">
      <c r="A7">
        <v>1000</v>
      </c>
      <c r="B7">
        <v>0.46700000000000003</v>
      </c>
      <c r="C7">
        <v>0.46</v>
      </c>
      <c r="D7">
        <v>0.42499999999999999</v>
      </c>
      <c r="E7">
        <v>0.35899999999999999</v>
      </c>
      <c r="F7">
        <v>0.30599999999999999</v>
      </c>
      <c r="G7">
        <v>0.27300000000000002</v>
      </c>
      <c r="H7">
        <v>0.24</v>
      </c>
      <c r="I7">
        <v>0.214</v>
      </c>
    </row>
    <row r="8" spans="1:9">
      <c r="A8">
        <v>1500</v>
      </c>
      <c r="B8">
        <v>0.42899999999999999</v>
      </c>
      <c r="C8">
        <v>0.42499999999999999</v>
      </c>
      <c r="D8">
        <v>0.40400000000000003</v>
      </c>
      <c r="E8">
        <v>0.36499999999999999</v>
      </c>
      <c r="F8">
        <v>0.313</v>
      </c>
      <c r="G8">
        <v>0.27300000000000002</v>
      </c>
      <c r="H8">
        <v>0.24</v>
      </c>
      <c r="I8">
        <v>0.20899999999999999</v>
      </c>
    </row>
    <row r="9" spans="1:9">
      <c r="A9">
        <v>2000</v>
      </c>
      <c r="B9">
        <v>0.40600000000000003</v>
      </c>
      <c r="C9">
        <v>0.40300000000000002</v>
      </c>
      <c r="D9">
        <v>0.38800000000000001</v>
      </c>
      <c r="E9">
        <v>0.35699999999999998</v>
      </c>
      <c r="F9">
        <v>0.316</v>
      </c>
      <c r="G9">
        <v>0.28599999999999998</v>
      </c>
      <c r="H9">
        <v>0.23799999999999999</v>
      </c>
      <c r="I9">
        <v>0.21</v>
      </c>
    </row>
    <row r="10" spans="1:9">
      <c r="A10">
        <v>3000</v>
      </c>
      <c r="B10">
        <v>0.374</v>
      </c>
      <c r="C10">
        <v>0.372</v>
      </c>
      <c r="D10">
        <v>0.36599999999999999</v>
      </c>
      <c r="E10">
        <v>0.33700000000000002</v>
      </c>
      <c r="F10">
        <v>0.318</v>
      </c>
      <c r="G10">
        <v>0.28699999999999998</v>
      </c>
      <c r="H10">
        <v>0.23899999999999999</v>
      </c>
      <c r="I10">
        <v>0.217</v>
      </c>
    </row>
    <row r="11" spans="1:9">
      <c r="A11">
        <v>5000</v>
      </c>
      <c r="B11">
        <v>0.34200000000000003</v>
      </c>
      <c r="C11">
        <v>0.34</v>
      </c>
      <c r="D11">
        <v>0.33100000000000002</v>
      </c>
      <c r="E11">
        <v>0.32</v>
      </c>
      <c r="F11">
        <v>0.307</v>
      </c>
      <c r="G11">
        <v>0.28299999999999997</v>
      </c>
      <c r="H11">
        <v>0.246</v>
      </c>
      <c r="I11">
        <v>0.221</v>
      </c>
    </row>
    <row r="12" spans="1:9">
      <c r="A12">
        <v>10000</v>
      </c>
      <c r="B12">
        <v>0.30299999999999999</v>
      </c>
      <c r="C12">
        <v>0.30099999999999999</v>
      </c>
      <c r="D12">
        <v>0.29799999999999999</v>
      </c>
      <c r="E12">
        <v>0.28599999999999998</v>
      </c>
      <c r="F12">
        <v>0.26700000000000002</v>
      </c>
      <c r="G12">
        <v>0.254</v>
      </c>
      <c r="H12">
        <v>0.23200000000000001</v>
      </c>
      <c r="I12">
        <v>0.218</v>
      </c>
    </row>
    <row r="14" spans="1:9">
      <c r="B14" t="s">
        <v>47</v>
      </c>
      <c r="C14" t="s">
        <v>38</v>
      </c>
      <c r="D14" t="s">
        <v>39</v>
      </c>
      <c r="E14" t="s">
        <v>40</v>
      </c>
      <c r="F14" t="s">
        <v>41</v>
      </c>
      <c r="G14" t="s">
        <v>42</v>
      </c>
      <c r="H14" t="s">
        <v>43</v>
      </c>
      <c r="I14" t="s">
        <v>44</v>
      </c>
    </row>
    <row r="16" spans="1:9">
      <c r="H16" t="s">
        <v>161</v>
      </c>
    </row>
    <row r="17" spans="1:15">
      <c r="A17" t="s">
        <v>45</v>
      </c>
    </row>
    <row r="18" spans="1:15">
      <c r="A18" t="s">
        <v>46</v>
      </c>
      <c r="C18" t="s">
        <v>160</v>
      </c>
    </row>
    <row r="19" spans="1:15">
      <c r="C19">
        <f>MDC_KDF_Calculator!$D$15</f>
        <v>0.3</v>
      </c>
    </row>
    <row r="20" spans="1:15">
      <c r="A20" t="s">
        <v>4</v>
      </c>
      <c r="C20" t="s">
        <v>48</v>
      </c>
    </row>
    <row r="21" spans="1:15">
      <c r="A21">
        <v>50</v>
      </c>
      <c r="C21" cm="1">
        <f t="array" ref="C21">MAX(
  0.15,
  IF(
    OR(A21 &gt; 10000, D21+0.00001 &gt; 8),
    IF(
      AND(A21 &gt; 10000, D21+0.00001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(D21+0.00001 - 6),
      IF(
        A21 &gt; 10000,
        INDEX(ReferenceData_Metal!$B$2:$I$12,MATCH(10000,ReferenceData_Metal!$A$2:$A$12,1),MATCH(MIN(D21+0.00001,8),ReferenceData_Metal!$B$1:$I$1,1)) +
        ((INDEX(ReferenceData_Metal!$B$2:$I$12,MATCH(10000,ReferenceData_Metal!$A$2:$A$12,1),MATCH(MIN(D21+0.00001,8),ReferenceData_Metal!$B$1:$I$1,1)) - INDEX(ReferenceData_Metal!$B$2:$I$12,MATCH(INDEX(ReferenceData_Metal!$A$2:$A$12,MATCH(10000,ReferenceData_Metal!$A$2:$A$12,1)-1),ReferenceData_Metal!$A$2:$A$12,1),MATCH(MIN(D21+0.00001,8),ReferenceData_Metal!$B$1:$I$1,1))) /
        (10000 - INDEX(ReferenceData_Metal!$A$2:$A$12,MATCH(10000,ReferenceData_Metal!$A$2:$A$12,1)-1))) * (A21 - 10000),
        INDEX(ReferenceData_Metal!$B$2:$I$12,MATCH(MIN(A21,10000),ReferenceData_Metal!$A$2:$A$12,1),MATCH(8,ReferenceData_Metal!$B$1:$I$1,1)) +
        ((INDEX(ReferenceData_Metal!$B$2:$I$12,MATCH(MIN(A21,10000),ReferenceData_Metal!$A$2:$A$12,1),MATCH(8,ReferenceData_Metal!$B$1:$I$1,1)) - INDEX(ReferenceData_Metal!$B$2:$I$12,MATCH(MIN(A21,10000),ReferenceData_Metal!$A$2:$A$12,1),MATCH(6,ReferenceData_Metal!$B$1:$I$1,1)))/(8 - 6)) * (D21+0.00001 - 8)
      )
    ),
    (1 - (A21 - INDEX(ReferenceData_Metal!$A$2:$A$12,MATCH(A21,ReferenceData_Metal!$A$2:$A$12,1))) /
      (INDEX(ReferenceData_Metal!$A$2:$A$12,MIN(MATCH(A21,ReferenceData_Metal!$A$2:$A$12,1)+1,ROWS(ReferenceData_Metal!$A$2:$A$12))) - INDEX(ReferenceData_Metal!$A$2:$A$12,MATCH(A21,ReferenceData_Metal!$A$2:$A$12,1)))) *
    (1 -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INDEX(ReferenceData_Metal!$B$2:$I$12,MATCH(A21,ReferenceData_Metal!$A$2:$A$12,1),MATCH(D21+0.00001,ReferenceData_Metal!$B$1:$I$1,1)) +
    ((A21 - INDEX(ReferenceData_Metal!$A$2:$A$12,MATCH(A21,ReferenceData_Metal!$A$2:$A$12,1))) /
      (INDEX(ReferenceData_Metal!$A$2:$A$12,MIN(MATCH(A21,ReferenceData_Metal!$A$2:$A$12,1)+1,ROWS(ReferenceData_Metal!$A$2:$A$12))) - INDEX(ReferenceData_Metal!$A$2:$A$12,MATCH(A21,ReferenceData_Metal!$A$2:$A$12,1)))) *
    (1 -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INDEX(ReferenceData_Metal!$B$2:$I$12,MIN(MATCH(A21,ReferenceData_Metal!$A$2:$A$12,1)+1,ROWS(ReferenceData_Metal!$A$2:$A$12)),MATCH(D21+0.00001,ReferenceData_Metal!$B$1:$I$1,1)) +
    (1 - (A21 - INDEX(ReferenceData_Metal!$A$2:$A$12,MATCH(A21,ReferenceData_Metal!$A$2:$A$12,1))) /
      (INDEX(ReferenceData_Metal!$A$2:$A$12,MIN(MATCH(A21,ReferenceData_Metal!$A$2:$A$12,1)+1,ROWS(ReferenceData_Metal!$A$2:$A$12))) - INDEX(ReferenceData_Metal!$A$2:$A$12,MATCH(A21,ReferenceData_Metal!$A$2:$A$12,1))))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INDEX(ReferenceData_Metal!$B$2:$I$12,MATCH(A21,ReferenceData_Metal!$A$2:$A$12,1),MIN(MATCH(D21+0.00001,ReferenceData_Metal!$B$1:$I$1,1)+1,COLUMNS(ReferenceData_Metal!$B$1:$I$1))) +
    ((A21 - INDEX(ReferenceData_Metal!$A$2:$A$12,MATCH(A21,ReferenceData_Metal!$A$2:$A$12,1))) /
      (INDEX(ReferenceData_Metal!$A$2:$A$12,MIN(MATCH(A21,ReferenceData_Metal!$A$2:$A$12,1)+1,ROWS(ReferenceData_Metal!$A$2:$A$12))) - INDEX(ReferenceData_Metal!$A$2:$A$12,MATCH(A21,ReferenceData_Metal!$A$2:$A$12,1)))) *
    ((D21+0.00001 - INDEX(ReferenceData_Metal!$B$1:$I$1,MATCH(D21+0.00001,ReferenceData_Metal!$B$1:$I$1,1))) /
      (INDEX(ReferenceData_Metal!$B$1:$I$1,MIN(MATCH(D21+0.00001,ReferenceData_Metal!$B$1:$I$1,1)+1,COLUMNS(ReferenceData_Metal!$B$1:$I$1))) - INDEX(ReferenceData_Metal!$B$1:$I$1,MATCH(D21+0.00001,ReferenceData_Metal!$B$1:$I$1,1)))) *
    INDEX(ReferenceData_Metal!$B$2:$I$12,MIN(MATCH(A21,ReferenceData_Metal!$A$2:$A$12,1)+1,ROWS(ReferenceData_Metal!$A$2:$A$12)),MIN(MATCH(D21+0.00001,ReferenceData_Metal!$B$1:$I$1,1)+1,COLUMNS(ReferenceData_Metal!$B$1:$I$1)))
  )
)</f>
        <v>0.74199780000000004</v>
      </c>
      <c r="D21">
        <f>MDC_KDF_Calculator!$D$15</f>
        <v>0.3</v>
      </c>
      <c r="E21" s="13">
        <f>MDC_KDF_Calculator!$D$21</f>
        <v>457.89081668013392</v>
      </c>
      <c r="F21">
        <v>0</v>
      </c>
      <c r="G21" cm="1">
        <f t="array" ref="G21">MAX(
  0.15,
  IF(
    OR(E21 &gt; 10000, F21 &gt; 8),
    IF(
      AND(E21 &gt; 10000, F21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(F21 - 6),
      IF(
        E21 &gt; 10000,
        INDEX(ReferenceData_Metal!$B$2:$I$12,MATCH(10000,ReferenceData_Metal!$A$2:$A$12,1),MATCH(MIN(F21,8),ReferenceData_Metal!$B$1:$I$1,1)) +
        ((INDEX(ReferenceData_Metal!$B$2:$I$12,MATCH(10000,ReferenceData_Metal!$A$2:$A$12,1),MATCH(MIN(F21,8),ReferenceData_Metal!$B$1:$I$1,1)) - INDEX(ReferenceData_Metal!$B$2:$I$12,MATCH(INDEX(ReferenceData_Metal!$A$2:$A$12,MATCH(10000,ReferenceData_Metal!$A$2:$A$12,1)-1),ReferenceData_Metal!$A$2:$A$12,1),MATCH(MIN(F21,8),ReferenceData_Metal!$B$1:$I$1,1))) /
        (10000 - INDEX(ReferenceData_Metal!$A$2:$A$12,MATCH(10000,ReferenceData_Metal!$A$2:$A$12,1)-1))) * (E21 - 10000),
        INDEX(ReferenceData_Metal!$B$2:$I$12,MATCH(MIN(E21,10000),ReferenceData_Metal!$A$2:$A$12,1),MATCH(8,ReferenceData_Metal!$B$1:$I$1,1)) +
        ((INDEX(ReferenceData_Metal!$B$2:$I$12,MATCH(MIN(E21,10000),ReferenceData_Metal!$A$2:$A$12,1),MATCH(8,ReferenceData_Metal!$B$1:$I$1,1)) - INDEX(ReferenceData_Metal!$B$2:$I$12,MATCH(MIN(E21,10000),ReferenceData_Metal!$A$2:$A$12,1),MATCH(6,ReferenceData_Metal!$B$1:$I$1,1)))/(8 - 6)) * (F21 - 8)
      )
    ),
    (1 - (E21 - INDEX(ReferenceData_Metal!$A$2:$A$12,MATCH(E21,ReferenceData_Metal!$A$2:$A$12,1))) /
      (INDEX(ReferenceData_Metal!$A$2:$A$12,MIN(MATCH(E21,ReferenceData_Metal!$A$2:$A$12,1)+1,ROWS(ReferenceData_Metal!$A$2:$A$12))) - INDEX(ReferenceData_Metal!$A$2:$A$12,MATCH(E21,ReferenceData_Metal!$A$2:$A$12,1)))) *
    (1 - (F21 - INDEX(ReferenceData_Metal!$B$1:$I$1,MATCH(F21,ReferenceData_Metal!$B$1:$I$1,1))) /
      (INDEX(ReferenceData_Metal!$B$1:$I$1,MIN(MATCH(F21,ReferenceData_Metal!$B$1:$I$1,1)+1,COLUMNS(ReferenceData_Metal!$B$1:$I$1))) - INDEX(ReferenceData_Metal!$B$1:$I$1,MATCH(F21,ReferenceData_Metal!$B$1:$I$1,1)))) *
    INDEX(ReferenceData_Metal!$B$2:$I$12,MATCH(E21,ReferenceData_Metal!$A$2:$A$12,1),MATCH(F21,ReferenceData_Metal!$B$1:$I$1,1)) +
    ((E21 - INDEX(ReferenceData_Metal!$A$2:$A$12,MATCH(E21,ReferenceData_Metal!$A$2:$A$12,1))) /
      (INDEX(ReferenceData_Metal!$A$2:$A$12,MIN(MATCH(E21,ReferenceData_Metal!$A$2:$A$12,1)+1,ROWS(ReferenceData_Metal!$A$2:$A$12))) - INDEX(ReferenceData_Metal!$A$2:$A$12,MATCH(E21,ReferenceData_Metal!$A$2:$A$12,1)))) *
    (1 - (F21 - INDEX(ReferenceData_Metal!$B$1:$I$1,MATCH(F21,ReferenceData_Metal!$B$1:$I$1,1))) /
      (INDEX(ReferenceData_Metal!$B$1:$I$1,MIN(MATCH(F21,ReferenceData_Metal!$B$1:$I$1,1)+1,COLUMNS(ReferenceData_Metal!$B$1:$I$1))) - INDEX(ReferenceData_Metal!$B$1:$I$1,MATCH(F21,ReferenceData_Metal!$B$1:$I$1,1)))) *
    INDEX(ReferenceData_Metal!$B$2:$I$12,MIN(MATCH(E21,ReferenceData_Metal!$A$2:$A$12,1)+1,ROWS(ReferenceData_Metal!$A$2:$A$12)),MATCH(F21,ReferenceData_Metal!$B$1:$I$1,1)) +
    (1 - (E21 - INDEX(ReferenceData_Metal!$A$2:$A$12,MATCH(E21,ReferenceData_Metal!$A$2:$A$12,1))) /
      (INDEX(ReferenceData_Metal!$A$2:$A$12,MIN(MATCH(E21,ReferenceData_Metal!$A$2:$A$12,1)+1,ROWS(ReferenceData_Metal!$A$2:$A$12))) - INDEX(ReferenceData_Metal!$A$2:$A$12,MATCH(E21,ReferenceData_Metal!$A$2:$A$12,1)))) *
    ((F21 - INDEX(ReferenceData_Metal!$B$1:$I$1,MATCH(F21,ReferenceData_Metal!$B$1:$I$1,1))) /
      (INDEX(ReferenceData_Metal!$B$1:$I$1,MIN(MATCH(F21,ReferenceData_Metal!$B$1:$I$1,1)+1,COLUMNS(ReferenceData_Metal!$B$1:$I$1))) - INDEX(ReferenceData_Metal!$B$1:$I$1,MATCH(F21,ReferenceData_Metal!$B$1:$I$1,1)))) *
    INDEX(ReferenceData_Metal!$B$2:$I$12,MATCH(E21,ReferenceData_Metal!$A$2:$A$12,1),MIN(MATCH(F21,ReferenceData_Metal!$B$1:$I$1,1)+1,COLUMNS(ReferenceData_Metal!$B$1:$I$1))) +
    ((E21 - INDEX(ReferenceData_Metal!$A$2:$A$12,MATCH(E21,ReferenceData_Metal!$A$2:$A$12,1))) /
      (INDEX(ReferenceData_Metal!$A$2:$A$12,MIN(MATCH(E21,ReferenceData_Metal!$A$2:$A$12,1)+1,ROWS(ReferenceData_Metal!$A$2:$A$12))) - INDEX(ReferenceData_Metal!$A$2:$A$12,MATCH(E21,ReferenceData_Metal!$A$2:$A$12,1)))) *
    ((F21 - INDEX(ReferenceData_Metal!$B$1:$I$1,MATCH(F21,ReferenceData_Metal!$B$1:$I$1,1))) /
      (INDEX(ReferenceData_Metal!$B$1:$I$1,MIN(MATCH(F21,ReferenceData_Metal!$B$1:$I$1,1)+1,COLUMNS(ReferenceData_Metal!$B$1:$I$1))) - INDEX(ReferenceData_Metal!$B$1:$I$1,MATCH(F21,ReferenceData_Metal!$B$1:$I$1,1)))) *
    INDEX(ReferenceData_Metal!$B$2:$I$12,MIN(MATCH(E21,ReferenceData_Metal!$A$2:$A$12,1)+1,ROWS(ReferenceData_Metal!$A$2:$A$12)),MIN(MATCH(F21,ReferenceData_Metal!$B$1:$I$1,1)+1,COLUMNS(ReferenceData_Metal!$B$1:$I$1)))
  )
)</f>
        <v>0.56026402033037048</v>
      </c>
      <c r="I21">
        <f>IF(E21*3&lt;10000,E21*3,10000)</f>
        <v>1373.6724500404018</v>
      </c>
      <c r="J21">
        <v>-1</v>
      </c>
      <c r="M21" s="13">
        <f>MDC_KDF_Calculator!$D$19</f>
        <v>333.33333333333331</v>
      </c>
      <c r="N21">
        <f>1-0.902*(1-EXP(-(1/16)*(SQRT(M21))))</f>
        <v>0.38616287503446278</v>
      </c>
      <c r="O21" s="102">
        <f>MAX(1 - SQRT(N21 / C21))</f>
        <v>0.27858702213669051</v>
      </c>
    </row>
    <row r="22" spans="1:15">
      <c r="A22">
        <v>100</v>
      </c>
      <c r="C22" cm="1">
        <f t="array" ref="C22">MAX(
  0.15,
  IF(
    OR(A22 &gt; 10000, D22+0.00001 &gt; 8),
    IF(
      AND(A22 &gt; 10000, D22+0.00001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(D22+0.00001 - 6),
      IF(
        A22 &gt; 10000,
        INDEX(ReferenceData_Metal!$B$2:$I$12,MATCH(10000,ReferenceData_Metal!$A$2:$A$12,1),MATCH(MIN(D22+0.00001,8),ReferenceData_Metal!$B$1:$I$1,1)) +
        ((INDEX(ReferenceData_Metal!$B$2:$I$12,MATCH(10000,ReferenceData_Metal!$A$2:$A$12,1),MATCH(MIN(D22+0.00001,8),ReferenceData_Metal!$B$1:$I$1,1)) - INDEX(ReferenceData_Metal!$B$2:$I$12,MATCH(INDEX(ReferenceData_Metal!$A$2:$A$12,MATCH(10000,ReferenceData_Metal!$A$2:$A$12,1)-1),ReferenceData_Metal!$A$2:$A$12,1),MATCH(MIN(D22+0.00001,8),ReferenceData_Metal!$B$1:$I$1,1))) /
        (10000 - INDEX(ReferenceData_Metal!$A$2:$A$12,MATCH(10000,ReferenceData_Metal!$A$2:$A$12,1)-1))) * (A22 - 10000),
        INDEX(ReferenceData_Metal!$B$2:$I$12,MATCH(MIN(A22,10000),ReferenceData_Metal!$A$2:$A$12,1),MATCH(8,ReferenceData_Metal!$B$1:$I$1,1)) +
        ((INDEX(ReferenceData_Metal!$B$2:$I$12,MATCH(MIN(A22,10000),ReferenceData_Metal!$A$2:$A$12,1),MATCH(8,ReferenceData_Metal!$B$1:$I$1,1)) - INDEX(ReferenceData_Metal!$B$2:$I$12,MATCH(MIN(A22,10000),ReferenceData_Metal!$A$2:$A$12,1),MATCH(6,ReferenceData_Metal!$B$1:$I$1,1)))/(8 - 6)) * (D22+0.00001 - 8)
      )
    ),
    (1 - (A22 - INDEX(ReferenceData_Metal!$A$2:$A$12,MATCH(A22,ReferenceData_Metal!$A$2:$A$12,1))) /
      (INDEX(ReferenceData_Metal!$A$2:$A$12,MIN(MATCH(A22,ReferenceData_Metal!$A$2:$A$12,1)+1,ROWS(ReferenceData_Metal!$A$2:$A$12))) - INDEX(ReferenceData_Metal!$A$2:$A$12,MATCH(A22,ReferenceData_Metal!$A$2:$A$12,1)))) *
    (1 -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INDEX(ReferenceData_Metal!$B$2:$I$12,MATCH(A22,ReferenceData_Metal!$A$2:$A$12,1),MATCH(D22+0.00001,ReferenceData_Metal!$B$1:$I$1,1)) +
    ((A22 - INDEX(ReferenceData_Metal!$A$2:$A$12,MATCH(A22,ReferenceData_Metal!$A$2:$A$12,1))) /
      (INDEX(ReferenceData_Metal!$A$2:$A$12,MIN(MATCH(A22,ReferenceData_Metal!$A$2:$A$12,1)+1,ROWS(ReferenceData_Metal!$A$2:$A$12))) - INDEX(ReferenceData_Metal!$A$2:$A$12,MATCH(A22,ReferenceData_Metal!$A$2:$A$12,1)))) *
    (1 -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INDEX(ReferenceData_Metal!$B$2:$I$12,MIN(MATCH(A22,ReferenceData_Metal!$A$2:$A$12,1)+1,ROWS(ReferenceData_Metal!$A$2:$A$12)),MATCH(D22+0.00001,ReferenceData_Metal!$B$1:$I$1,1)) +
    (1 - (A22 - INDEX(ReferenceData_Metal!$A$2:$A$12,MATCH(A22,ReferenceData_Metal!$A$2:$A$12,1))) /
      (INDEX(ReferenceData_Metal!$A$2:$A$12,MIN(MATCH(A22,ReferenceData_Metal!$A$2:$A$12,1)+1,ROWS(ReferenceData_Metal!$A$2:$A$12))) - INDEX(ReferenceData_Metal!$A$2:$A$12,MATCH(A22,ReferenceData_Metal!$A$2:$A$12,1))))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INDEX(ReferenceData_Metal!$B$2:$I$12,MATCH(A22,ReferenceData_Metal!$A$2:$A$12,1),MIN(MATCH(D22+0.00001,ReferenceData_Metal!$B$1:$I$1,1)+1,COLUMNS(ReferenceData_Metal!$B$1:$I$1))) +
    ((A22 - INDEX(ReferenceData_Metal!$A$2:$A$12,MATCH(A22,ReferenceData_Metal!$A$2:$A$12,1))) /
      (INDEX(ReferenceData_Metal!$A$2:$A$12,MIN(MATCH(A22,ReferenceData_Metal!$A$2:$A$12,1)+1,ROWS(ReferenceData_Metal!$A$2:$A$12))) - INDEX(ReferenceData_Metal!$A$2:$A$12,MATCH(A22,ReferenceData_Metal!$A$2:$A$12,1)))) *
    ((D22+0.00001 - INDEX(ReferenceData_Metal!$B$1:$I$1,MATCH(D22+0.00001,ReferenceData_Metal!$B$1:$I$1,1))) /
      (INDEX(ReferenceData_Metal!$B$1:$I$1,MIN(MATCH(D22+0.00001,ReferenceData_Metal!$B$1:$I$1,1)+1,COLUMNS(ReferenceData_Metal!$B$1:$I$1))) - INDEX(ReferenceData_Metal!$B$1:$I$1,MATCH(D22+0.00001,ReferenceData_Metal!$B$1:$I$1,1)))) *
    INDEX(ReferenceData_Metal!$B$2:$I$12,MIN(MATCH(A22,ReferenceData_Metal!$A$2:$A$12,1)+1,ROWS(ReferenceData_Metal!$A$2:$A$12)),MIN(MATCH(D22+0.00001,ReferenceData_Metal!$B$1:$I$1,1)+1,COLUMNS(ReferenceData_Metal!$B$1:$I$1)))
  )
)</f>
        <v>0.63279686000000002</v>
      </c>
      <c r="D22">
        <f>MDC_KDF_Calculator!$D$15</f>
        <v>0.3</v>
      </c>
      <c r="E22" s="13">
        <f>MDC_KDF_Calculator!$D$21</f>
        <v>457.89081668013392</v>
      </c>
      <c r="F22">
        <v>0.5</v>
      </c>
      <c r="G22" cm="1">
        <f t="array" ref="G22">MAX(
  0.15,
  IF(
    OR(E22 &gt; 10000, F22 &gt; 8),
    IF(
      AND(E22 &gt; 10000, F22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(F22 - 6),
      IF(
        E22 &gt; 10000,
        INDEX(ReferenceData_Metal!$B$2:$I$12,MATCH(10000,ReferenceData_Metal!$A$2:$A$12,1),MATCH(MIN(F22,8),ReferenceData_Metal!$B$1:$I$1,1)) +
        ((INDEX(ReferenceData_Metal!$B$2:$I$12,MATCH(10000,ReferenceData_Metal!$A$2:$A$12,1),MATCH(MIN(F22,8),ReferenceData_Metal!$B$1:$I$1,1)) - INDEX(ReferenceData_Metal!$B$2:$I$12,MATCH(INDEX(ReferenceData_Metal!$A$2:$A$12,MATCH(10000,ReferenceData_Metal!$A$2:$A$12,1)-1),ReferenceData_Metal!$A$2:$A$12,1),MATCH(MIN(F22,8),ReferenceData_Metal!$B$1:$I$1,1))) /
        (10000 - INDEX(ReferenceData_Metal!$A$2:$A$12,MATCH(10000,ReferenceData_Metal!$A$2:$A$12,1)-1))) * (E22 - 10000),
        INDEX(ReferenceData_Metal!$B$2:$I$12,MATCH(MIN(E22,10000),ReferenceData_Metal!$A$2:$A$12,1),MATCH(8,ReferenceData_Metal!$B$1:$I$1,1)) +
        ((INDEX(ReferenceData_Metal!$B$2:$I$12,MATCH(MIN(E22,10000),ReferenceData_Metal!$A$2:$A$12,1),MATCH(8,ReferenceData_Metal!$B$1:$I$1,1)) - INDEX(ReferenceData_Metal!$B$2:$I$12,MATCH(MIN(E22,10000),ReferenceData_Metal!$A$2:$A$12,1),MATCH(6,ReferenceData_Metal!$B$1:$I$1,1)))/(8 - 6)) * (F22 - 8)
      )
    ),
    (1 - (E22 - INDEX(ReferenceData_Metal!$A$2:$A$12,MATCH(E22,ReferenceData_Metal!$A$2:$A$12,1))) /
      (INDEX(ReferenceData_Metal!$A$2:$A$12,MIN(MATCH(E22,ReferenceData_Metal!$A$2:$A$12,1)+1,ROWS(ReferenceData_Metal!$A$2:$A$12))) - INDEX(ReferenceData_Metal!$A$2:$A$12,MATCH(E22,ReferenceData_Metal!$A$2:$A$12,1)))) *
    (1 - (F22 - INDEX(ReferenceData_Metal!$B$1:$I$1,MATCH(F22,ReferenceData_Metal!$B$1:$I$1,1))) /
      (INDEX(ReferenceData_Metal!$B$1:$I$1,MIN(MATCH(F22,ReferenceData_Metal!$B$1:$I$1,1)+1,COLUMNS(ReferenceData_Metal!$B$1:$I$1))) - INDEX(ReferenceData_Metal!$B$1:$I$1,MATCH(F22,ReferenceData_Metal!$B$1:$I$1,1)))) *
    INDEX(ReferenceData_Metal!$B$2:$I$12,MATCH(E22,ReferenceData_Metal!$A$2:$A$12,1),MATCH(F22,ReferenceData_Metal!$B$1:$I$1,1)) +
    ((E22 - INDEX(ReferenceData_Metal!$A$2:$A$12,MATCH(E22,ReferenceData_Metal!$A$2:$A$12,1))) /
      (INDEX(ReferenceData_Metal!$A$2:$A$12,MIN(MATCH(E22,ReferenceData_Metal!$A$2:$A$12,1)+1,ROWS(ReferenceData_Metal!$A$2:$A$12))) - INDEX(ReferenceData_Metal!$A$2:$A$12,MATCH(E22,ReferenceData_Metal!$A$2:$A$12,1)))) *
    (1 - (F22 - INDEX(ReferenceData_Metal!$B$1:$I$1,MATCH(F22,ReferenceData_Metal!$B$1:$I$1,1))) /
      (INDEX(ReferenceData_Metal!$B$1:$I$1,MIN(MATCH(F22,ReferenceData_Metal!$B$1:$I$1,1)+1,COLUMNS(ReferenceData_Metal!$B$1:$I$1))) - INDEX(ReferenceData_Metal!$B$1:$I$1,MATCH(F22,ReferenceData_Metal!$B$1:$I$1,1)))) *
    INDEX(ReferenceData_Metal!$B$2:$I$12,MIN(MATCH(E22,ReferenceData_Metal!$A$2:$A$12,1)+1,ROWS(ReferenceData_Metal!$A$2:$A$12)),MATCH(F22,ReferenceData_Metal!$B$1:$I$1,1)) +
    (1 - (E22 - INDEX(ReferenceData_Metal!$A$2:$A$12,MATCH(E22,ReferenceData_Metal!$A$2:$A$12,1))) /
      (INDEX(ReferenceData_Metal!$A$2:$A$12,MIN(MATCH(E22,ReferenceData_Metal!$A$2:$A$12,1)+1,ROWS(ReferenceData_Metal!$A$2:$A$12))) - INDEX(ReferenceData_Metal!$A$2:$A$12,MATCH(E22,ReferenceData_Metal!$A$2:$A$12,1)))) *
    ((F22 - INDEX(ReferenceData_Metal!$B$1:$I$1,MATCH(F22,ReferenceData_Metal!$B$1:$I$1,1))) /
      (INDEX(ReferenceData_Metal!$B$1:$I$1,MIN(MATCH(F22,ReferenceData_Metal!$B$1:$I$1,1)+1,COLUMNS(ReferenceData_Metal!$B$1:$I$1))) - INDEX(ReferenceData_Metal!$B$1:$I$1,MATCH(F22,ReferenceData_Metal!$B$1:$I$1,1)))) *
    INDEX(ReferenceData_Metal!$B$2:$I$12,MATCH(E22,ReferenceData_Metal!$A$2:$A$12,1),MIN(MATCH(F22,ReferenceData_Metal!$B$1:$I$1,1)+1,COLUMNS(ReferenceData_Metal!$B$1:$I$1))) +
    ((E22 - INDEX(ReferenceData_Metal!$A$2:$A$12,MATCH(E22,ReferenceData_Metal!$A$2:$A$12,1))) /
      (INDEX(ReferenceData_Metal!$A$2:$A$12,MIN(MATCH(E22,ReferenceData_Metal!$A$2:$A$12,1)+1,ROWS(ReferenceData_Metal!$A$2:$A$12))) - INDEX(ReferenceData_Metal!$A$2:$A$12,MATCH(E22,ReferenceData_Metal!$A$2:$A$12,1)))) *
    ((F22 - INDEX(ReferenceData_Metal!$B$1:$I$1,MATCH(F22,ReferenceData_Metal!$B$1:$I$1,1))) /
      (INDEX(ReferenceData_Metal!$B$1:$I$1,MIN(MATCH(F22,ReferenceData_Metal!$B$1:$I$1,1)+1,COLUMNS(ReferenceData_Metal!$B$1:$I$1))) - INDEX(ReferenceData_Metal!$B$1:$I$1,MATCH(F22,ReferenceData_Metal!$B$1:$I$1,1)))) *
    INDEX(ReferenceData_Metal!$B$2:$I$12,MIN(MATCH(E22,ReferenceData_Metal!$A$2:$A$12,1)+1,ROWS(ReferenceData_Metal!$A$2:$A$12)),MIN(MATCH(F22,ReferenceData_Metal!$B$1:$I$1,1)+1,COLUMNS(ReferenceData_Metal!$B$1:$I$1)))
  )
)</f>
        <v>0.51647419383158255</v>
      </c>
      <c r="J22">
        <v>10</v>
      </c>
      <c r="M22" s="13">
        <f>MDC_KDF_Calculator!$D$19</f>
        <v>333.33333333333331</v>
      </c>
      <c r="N22">
        <f t="shared" ref="N22:N31" si="0">1-0.902*(1-EXP(-(1/16)*(SQRT(M22))))</f>
        <v>0.38616287503446278</v>
      </c>
      <c r="O22" s="102">
        <f t="shared" ref="O22:O31" si="1">MAX(1 - SQRT(N22 / C22))</f>
        <v>0.21881642764079989</v>
      </c>
    </row>
    <row r="23" spans="1:15">
      <c r="A23">
        <v>200</v>
      </c>
      <c r="C23" cm="1">
        <f t="array" ref="C23">MAX(
  0.15,
  IF(
    OR(A23 &gt; 10000, D23+0.00001 &gt; 8),
    IF(
      AND(A23 &gt; 10000, D23+0.00001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(A23 -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(D23+0.00001 - 6),
      IF(
        A23 &gt; 10000,
        INDEX(ReferenceData_Metal!$B$2:$I$12,MATCH(10000,ReferenceData_Metal!$A$2:$A$12,1),MATCH(MIN(D23+0.00001,8),ReferenceData_Metal!$B$1:$I$1,1)) +
        ((INDEX(ReferenceData_Metal!$B$2:$I$12,MATCH(10000,ReferenceData_Metal!$A$2:$A$12,1),MATCH(MIN(D23+0.00001,8),ReferenceData_Metal!$B$1:$I$1,1)) - INDEX(ReferenceData_Metal!$B$2:$I$12,MATCH(INDEX(ReferenceData_Metal!$A$2:$A$12,MATCH(10000,ReferenceData_Metal!$A$2:$A$12,1)-1),ReferenceData_Metal!$A$2:$A$12,1),MATCH(MIN(D23+0.00001,8),ReferenceData_Metal!$B$1:$I$1,1))) /
        (10000 - INDEX(ReferenceData_Metal!$A$2:$A$12,MATCH(10000,ReferenceData_Metal!$A$2:$A$12,1)-1))) * (A23 - 10000),
        INDEX(ReferenceData_Metal!$B$2:$I$12,MATCH(MIN(A23,10000),ReferenceData_Metal!$A$2:$A$12,1),MATCH(8,ReferenceData_Metal!$B$1:$I$1,1)) +
        ((INDEX(ReferenceData_Metal!$B$2:$I$12,MATCH(MIN(A23,10000),ReferenceData_Metal!$A$2:$A$12,1),MATCH(8,ReferenceData_Metal!$B$1:$I$1,1)) - INDEX(ReferenceData_Metal!$B$2:$I$12,MATCH(MIN(A23,10000),ReferenceData_Metal!$A$2:$A$12,1),MATCH(6,ReferenceData_Metal!$B$1:$I$1,1)))/(8 - 6)) * (D23+0.00001 - 8)
      )
    ),
    (1 - (A23 - INDEX(ReferenceData_Metal!$A$2:$A$12,MATCH(A23,ReferenceData_Metal!$A$2:$A$12,1))) /
      (INDEX(ReferenceData_Metal!$A$2:$A$12,MIN(MATCH(A23,ReferenceData_Metal!$A$2:$A$12,1)+1,ROWS(ReferenceData_Metal!$A$2:$A$12))) - INDEX(ReferenceData_Metal!$A$2:$A$12,MATCH(A23,ReferenceData_Metal!$A$2:$A$12,1)))) *
    (1 -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INDEX(ReferenceData_Metal!$B$2:$I$12,MATCH(A23,ReferenceData_Metal!$A$2:$A$12,1),MATCH(D23+0.00001,ReferenceData_Metal!$B$1:$I$1,1)) +
    ((A23 - INDEX(ReferenceData_Metal!$A$2:$A$12,MATCH(A23,ReferenceData_Metal!$A$2:$A$12,1))) /
      (INDEX(ReferenceData_Metal!$A$2:$A$12,MIN(MATCH(A23,ReferenceData_Metal!$A$2:$A$12,1)+1,ROWS(ReferenceData_Metal!$A$2:$A$12))) - INDEX(ReferenceData_Metal!$A$2:$A$12,MATCH(A23,ReferenceData_Metal!$A$2:$A$12,1)))) *
    (1 -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INDEX(ReferenceData_Metal!$B$2:$I$12,MIN(MATCH(A23,ReferenceData_Metal!$A$2:$A$12,1)+1,ROWS(ReferenceData_Metal!$A$2:$A$12)),MATCH(D23+0.00001,ReferenceData_Metal!$B$1:$I$1,1)) +
    (1 - (A23 - INDEX(ReferenceData_Metal!$A$2:$A$12,MATCH(A23,ReferenceData_Metal!$A$2:$A$12,1))) /
      (INDEX(ReferenceData_Metal!$A$2:$A$12,MIN(MATCH(A23,ReferenceData_Metal!$A$2:$A$12,1)+1,ROWS(ReferenceData_Metal!$A$2:$A$12))) - INDEX(ReferenceData_Metal!$A$2:$A$12,MATCH(A23,ReferenceData_Metal!$A$2:$A$12,1))))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INDEX(ReferenceData_Metal!$B$2:$I$12,MATCH(A23,ReferenceData_Metal!$A$2:$A$12,1),MIN(MATCH(D23+0.00001,ReferenceData_Metal!$B$1:$I$1,1)+1,COLUMNS(ReferenceData_Metal!$B$1:$I$1))) +
    ((A23 - INDEX(ReferenceData_Metal!$A$2:$A$12,MATCH(A23,ReferenceData_Metal!$A$2:$A$12,1))) /
      (INDEX(ReferenceData_Metal!$A$2:$A$12,MIN(MATCH(A23,ReferenceData_Metal!$A$2:$A$12,1)+1,ROWS(ReferenceData_Metal!$A$2:$A$12))) - INDEX(ReferenceData_Metal!$A$2:$A$12,MATCH(A23,ReferenceData_Metal!$A$2:$A$12,1)))) *
    ((D23+0.00001 - INDEX(ReferenceData_Metal!$B$1:$I$1,MATCH(D23+0.00001,ReferenceData_Metal!$B$1:$I$1,1))) /
      (INDEX(ReferenceData_Metal!$B$1:$I$1,MIN(MATCH(D23+0.00001,ReferenceData_Metal!$B$1:$I$1,1)+1,COLUMNS(ReferenceData_Metal!$B$1:$I$1))) - INDEX(ReferenceData_Metal!$B$1:$I$1,MATCH(D23+0.00001,ReferenceData_Metal!$B$1:$I$1,1)))) *
    INDEX(ReferenceData_Metal!$B$2:$I$12,MIN(MATCH(A23,ReferenceData_Metal!$A$2:$A$12,1)+1,ROWS(ReferenceData_Metal!$A$2:$A$12)),MIN(MATCH(D23+0.00001,ReferenceData_Metal!$B$1:$I$1,1)+1,COLUMNS(ReferenceData_Metal!$B$1:$I$1)))
  )
)</f>
        <v>0.58979786000000001</v>
      </c>
      <c r="D23">
        <f>MDC_KDF_Calculator!$D$15</f>
        <v>0.3</v>
      </c>
      <c r="E23" s="13">
        <f>MDC_KDF_Calculator!$D$21</f>
        <v>457.89081668013392</v>
      </c>
      <c r="F23">
        <v>1</v>
      </c>
      <c r="G23" cm="1">
        <f t="array" ref="G23">MAX(
  0.15,
  IF(
    OR(E23 &gt; 10000, F23 &gt; 8),
    IF(
      AND(E23 &gt; 10000, F23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(E23 -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(F23 - 6),
      IF(
        E23 &gt; 10000,
        INDEX(ReferenceData_Metal!$B$2:$I$12,MATCH(10000,ReferenceData_Metal!$A$2:$A$12,1),MATCH(MIN(F23,8),ReferenceData_Metal!$B$1:$I$1,1)) +
        ((INDEX(ReferenceData_Metal!$B$2:$I$12,MATCH(10000,ReferenceData_Metal!$A$2:$A$12,1),MATCH(MIN(F23,8),ReferenceData_Metal!$B$1:$I$1,1)) - INDEX(ReferenceData_Metal!$B$2:$I$12,MATCH(INDEX(ReferenceData_Metal!$A$2:$A$12,MATCH(10000,ReferenceData_Metal!$A$2:$A$12,1)-1),ReferenceData_Metal!$A$2:$A$12,1),MATCH(MIN(F23,8),ReferenceData_Metal!$B$1:$I$1,1))) /
        (10000 - INDEX(ReferenceData_Metal!$A$2:$A$12,MATCH(10000,ReferenceData_Metal!$A$2:$A$12,1)-1))) * (E23 - 10000),
        INDEX(ReferenceData_Metal!$B$2:$I$12,MATCH(MIN(E23,10000),ReferenceData_Metal!$A$2:$A$12,1),MATCH(8,ReferenceData_Metal!$B$1:$I$1,1)) +
        ((INDEX(ReferenceData_Metal!$B$2:$I$12,MATCH(MIN(E23,10000),ReferenceData_Metal!$A$2:$A$12,1),MATCH(8,ReferenceData_Metal!$B$1:$I$1,1)) - INDEX(ReferenceData_Metal!$B$2:$I$12,MATCH(MIN(E23,10000),ReferenceData_Metal!$A$2:$A$12,1),MATCH(6,ReferenceData_Metal!$B$1:$I$1,1)))/(8 - 6)) * (F23 - 8)
      )
    ),
    (1 - (E23 - INDEX(ReferenceData_Metal!$A$2:$A$12,MATCH(E23,ReferenceData_Metal!$A$2:$A$12,1))) /
      (INDEX(ReferenceData_Metal!$A$2:$A$12,MIN(MATCH(E23,ReferenceData_Metal!$A$2:$A$12,1)+1,ROWS(ReferenceData_Metal!$A$2:$A$12))) - INDEX(ReferenceData_Metal!$A$2:$A$12,MATCH(E23,ReferenceData_Metal!$A$2:$A$12,1)))) *
    (1 - (F23 - INDEX(ReferenceData_Metal!$B$1:$I$1,MATCH(F23,ReferenceData_Metal!$B$1:$I$1,1))) /
      (INDEX(ReferenceData_Metal!$B$1:$I$1,MIN(MATCH(F23,ReferenceData_Metal!$B$1:$I$1,1)+1,COLUMNS(ReferenceData_Metal!$B$1:$I$1))) - INDEX(ReferenceData_Metal!$B$1:$I$1,MATCH(F23,ReferenceData_Metal!$B$1:$I$1,1)))) *
    INDEX(ReferenceData_Metal!$B$2:$I$12,MATCH(E23,ReferenceData_Metal!$A$2:$A$12,1),MATCH(F23,ReferenceData_Metal!$B$1:$I$1,1)) +
    ((E23 - INDEX(ReferenceData_Metal!$A$2:$A$12,MATCH(E23,ReferenceData_Metal!$A$2:$A$12,1))) /
      (INDEX(ReferenceData_Metal!$A$2:$A$12,MIN(MATCH(E23,ReferenceData_Metal!$A$2:$A$12,1)+1,ROWS(ReferenceData_Metal!$A$2:$A$12))) - INDEX(ReferenceData_Metal!$A$2:$A$12,MATCH(E23,ReferenceData_Metal!$A$2:$A$12,1)))) *
    (1 - (F23 - INDEX(ReferenceData_Metal!$B$1:$I$1,MATCH(F23,ReferenceData_Metal!$B$1:$I$1,1))) /
      (INDEX(ReferenceData_Metal!$B$1:$I$1,MIN(MATCH(F23,ReferenceData_Metal!$B$1:$I$1,1)+1,COLUMNS(ReferenceData_Metal!$B$1:$I$1))) - INDEX(ReferenceData_Metal!$B$1:$I$1,MATCH(F23,ReferenceData_Metal!$B$1:$I$1,1)))) *
    INDEX(ReferenceData_Metal!$B$2:$I$12,MIN(MATCH(E23,ReferenceData_Metal!$A$2:$A$12,1)+1,ROWS(ReferenceData_Metal!$A$2:$A$12)),MATCH(F23,ReferenceData_Metal!$B$1:$I$1,1)) +
    (1 - (E23 - INDEX(ReferenceData_Metal!$A$2:$A$12,MATCH(E23,ReferenceData_Metal!$A$2:$A$12,1))) /
      (INDEX(ReferenceData_Metal!$A$2:$A$12,MIN(MATCH(E23,ReferenceData_Metal!$A$2:$A$12,1)+1,ROWS(ReferenceData_Metal!$A$2:$A$12))) - INDEX(ReferenceData_Metal!$A$2:$A$12,MATCH(E23,ReferenceData_Metal!$A$2:$A$12,1)))) *
    ((F23 - INDEX(ReferenceData_Metal!$B$1:$I$1,MATCH(F23,ReferenceData_Metal!$B$1:$I$1,1))) /
      (INDEX(ReferenceData_Metal!$B$1:$I$1,MIN(MATCH(F23,ReferenceData_Metal!$B$1:$I$1,1)+1,COLUMNS(ReferenceData_Metal!$B$1:$I$1))) - INDEX(ReferenceData_Metal!$B$1:$I$1,MATCH(F23,ReferenceData_Metal!$B$1:$I$1,1)))) *
    INDEX(ReferenceData_Metal!$B$2:$I$12,MATCH(E23,ReferenceData_Metal!$A$2:$A$12,1),MIN(MATCH(F23,ReferenceData_Metal!$B$1:$I$1,1)+1,COLUMNS(ReferenceData_Metal!$B$1:$I$1))) +
    ((E23 - INDEX(ReferenceData_Metal!$A$2:$A$12,MATCH(E23,ReferenceData_Metal!$A$2:$A$12,1))) /
      (INDEX(ReferenceData_Metal!$A$2:$A$12,MIN(MATCH(E23,ReferenceData_Metal!$A$2:$A$12,1)+1,ROWS(ReferenceData_Metal!$A$2:$A$12))) - INDEX(ReferenceData_Metal!$A$2:$A$12,MATCH(E23,ReferenceData_Metal!$A$2:$A$12,1)))) *
    ((F23 - INDEX(ReferenceData_Metal!$B$1:$I$1,MATCH(F23,ReferenceData_Metal!$B$1:$I$1,1))) /
      (INDEX(ReferenceData_Metal!$B$1:$I$1,MIN(MATCH(F23,ReferenceData_Metal!$B$1:$I$1,1)+1,COLUMNS(ReferenceData_Metal!$B$1:$I$1))) - INDEX(ReferenceData_Metal!$B$1:$I$1,MATCH(F23,ReferenceData_Metal!$B$1:$I$1,1)))) *
    INDEX(ReferenceData_Metal!$B$2:$I$12,MIN(MATCH(E23,ReferenceData_Metal!$A$2:$A$12,1)+1,ROWS(ReferenceData_Metal!$A$2:$A$12)),MIN(MATCH(F23,ReferenceData_Metal!$B$1:$I$1,1)+1,COLUMNS(ReferenceData_Metal!$B$1:$I$1)))
  )
)</f>
        <v>0.44047344900080804</v>
      </c>
      <c r="M23" s="13">
        <f>MDC_KDF_Calculator!$D$19</f>
        <v>333.33333333333331</v>
      </c>
      <c r="N23">
        <f t="shared" si="0"/>
        <v>0.38616287503446278</v>
      </c>
      <c r="O23" s="102">
        <f t="shared" si="1"/>
        <v>0.19084138310266729</v>
      </c>
    </row>
    <row r="24" spans="1:15">
      <c r="A24">
        <v>400</v>
      </c>
      <c r="C24" cm="1">
        <f t="array" ref="C24">MAX(
  0.15,
  IF(
    OR(A24 &gt; 10000, D24+0.00001 &gt; 8),
    IF(
      AND(A24 &gt; 10000, D24+0.00001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(A24 -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(D24+0.00001 - 6),
      IF(
        A24 &gt; 10000,
        INDEX(ReferenceData_Metal!$B$2:$I$12,MATCH(10000,ReferenceData_Metal!$A$2:$A$12,1),MATCH(MIN(D24+0.00001,8),ReferenceData_Metal!$B$1:$I$1,1)) +
        ((INDEX(ReferenceData_Metal!$B$2:$I$12,MATCH(10000,ReferenceData_Metal!$A$2:$A$12,1),MATCH(MIN(D24+0.00001,8),ReferenceData_Metal!$B$1:$I$1,1)) - INDEX(ReferenceData_Metal!$B$2:$I$12,MATCH(INDEX(ReferenceData_Metal!$A$2:$A$12,MATCH(10000,ReferenceData_Metal!$A$2:$A$12,1)-1),ReferenceData_Metal!$A$2:$A$12,1),MATCH(MIN(D24+0.00001,8),ReferenceData_Metal!$B$1:$I$1,1))) /
        (10000 - INDEX(ReferenceData_Metal!$A$2:$A$12,MATCH(10000,ReferenceData_Metal!$A$2:$A$12,1)-1))) * (A24 - 10000),
        INDEX(ReferenceData_Metal!$B$2:$I$12,MATCH(MIN(A24,10000),ReferenceData_Metal!$A$2:$A$12,1),MATCH(8,ReferenceData_Metal!$B$1:$I$1,1)) +
        ((INDEX(ReferenceData_Metal!$B$2:$I$12,MATCH(MIN(A24,10000),ReferenceData_Metal!$A$2:$A$12,1),MATCH(8,ReferenceData_Metal!$B$1:$I$1,1)) - INDEX(ReferenceData_Metal!$B$2:$I$12,MATCH(MIN(A24,10000),ReferenceData_Metal!$A$2:$A$12,1),MATCH(6,ReferenceData_Metal!$B$1:$I$1,1)))/(8 - 6)) * (D24+0.00001 - 8)
      )
    ),
    (1 - (A24 - INDEX(ReferenceData_Metal!$A$2:$A$12,MATCH(A24,ReferenceData_Metal!$A$2:$A$12,1))) /
      (INDEX(ReferenceData_Metal!$A$2:$A$12,MIN(MATCH(A24,ReferenceData_Metal!$A$2:$A$12,1)+1,ROWS(ReferenceData_Metal!$A$2:$A$12))) - INDEX(ReferenceData_Metal!$A$2:$A$12,MATCH(A24,ReferenceData_Metal!$A$2:$A$12,1)))) *
    (1 -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INDEX(ReferenceData_Metal!$B$2:$I$12,MATCH(A24,ReferenceData_Metal!$A$2:$A$12,1),MATCH(D24+0.00001,ReferenceData_Metal!$B$1:$I$1,1)) +
    ((A24 - INDEX(ReferenceData_Metal!$A$2:$A$12,MATCH(A24,ReferenceData_Metal!$A$2:$A$12,1))) /
      (INDEX(ReferenceData_Metal!$A$2:$A$12,MIN(MATCH(A24,ReferenceData_Metal!$A$2:$A$12,1)+1,ROWS(ReferenceData_Metal!$A$2:$A$12))) - INDEX(ReferenceData_Metal!$A$2:$A$12,MATCH(A24,ReferenceData_Metal!$A$2:$A$12,1)))) *
    (1 -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INDEX(ReferenceData_Metal!$B$2:$I$12,MIN(MATCH(A24,ReferenceData_Metal!$A$2:$A$12,1)+1,ROWS(ReferenceData_Metal!$A$2:$A$12)),MATCH(D24+0.00001,ReferenceData_Metal!$B$1:$I$1,1)) +
    (1 - (A24 - INDEX(ReferenceData_Metal!$A$2:$A$12,MATCH(A24,ReferenceData_Metal!$A$2:$A$12,1))) /
      (INDEX(ReferenceData_Metal!$A$2:$A$12,MIN(MATCH(A24,ReferenceData_Metal!$A$2:$A$12,1)+1,ROWS(ReferenceData_Metal!$A$2:$A$12))) - INDEX(ReferenceData_Metal!$A$2:$A$12,MATCH(A24,ReferenceData_Metal!$A$2:$A$12,1))))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INDEX(ReferenceData_Metal!$B$2:$I$12,MATCH(A24,ReferenceData_Metal!$A$2:$A$12,1),MIN(MATCH(D24+0.00001,ReferenceData_Metal!$B$1:$I$1,1)+1,COLUMNS(ReferenceData_Metal!$B$1:$I$1))) +
    ((A24 - INDEX(ReferenceData_Metal!$A$2:$A$12,MATCH(A24,ReferenceData_Metal!$A$2:$A$12,1))) /
      (INDEX(ReferenceData_Metal!$A$2:$A$12,MIN(MATCH(A24,ReferenceData_Metal!$A$2:$A$12,1)+1,ROWS(ReferenceData_Metal!$A$2:$A$12))) - INDEX(ReferenceData_Metal!$A$2:$A$12,MATCH(A24,ReferenceData_Metal!$A$2:$A$12,1)))) *
    ((D24+0.00001 - INDEX(ReferenceData_Metal!$B$1:$I$1,MATCH(D24+0.00001,ReferenceData_Metal!$B$1:$I$1,1))) /
      (INDEX(ReferenceData_Metal!$B$1:$I$1,MIN(MATCH(D24+0.00001,ReferenceData_Metal!$B$1:$I$1,1)+1,COLUMNS(ReferenceData_Metal!$B$1:$I$1))) - INDEX(ReferenceData_Metal!$B$1:$I$1,MATCH(D24+0.00001,ReferenceData_Metal!$B$1:$I$1,1)))) *
    INDEX(ReferenceData_Metal!$B$2:$I$12,MIN(MATCH(A24,ReferenceData_Metal!$A$2:$A$12,1)+1,ROWS(ReferenceData_Metal!$A$2:$A$12)),MIN(MATCH(D24+0.00001,ReferenceData_Metal!$B$1:$I$1,1)+1,COLUMNS(ReferenceData_Metal!$B$1:$I$1)))
  )
)</f>
        <v>0.54359902000000004</v>
      </c>
      <c r="D24">
        <f>MDC_KDF_Calculator!$D$15</f>
        <v>0.3</v>
      </c>
      <c r="E24" s="13">
        <f>MDC_KDF_Calculator!$D$21</f>
        <v>457.89081668013392</v>
      </c>
      <c r="F24">
        <v>2</v>
      </c>
      <c r="G24" cm="1">
        <f t="array" ref="G24">MAX(
  0.15,
  IF(
    OR(E24 &gt; 10000, F24 &gt; 8),
    IF(
      AND(E24 &gt; 10000, F24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(E24 -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(F24 - 6),
      IF(
        E24 &gt; 10000,
        INDEX(ReferenceData_Metal!$B$2:$I$12,MATCH(10000,ReferenceData_Metal!$A$2:$A$12,1),MATCH(MIN(F24,8),ReferenceData_Metal!$B$1:$I$1,1)) +
        ((INDEX(ReferenceData_Metal!$B$2:$I$12,MATCH(10000,ReferenceData_Metal!$A$2:$A$12,1),MATCH(MIN(F24,8),ReferenceData_Metal!$B$1:$I$1,1)) - INDEX(ReferenceData_Metal!$B$2:$I$12,MATCH(INDEX(ReferenceData_Metal!$A$2:$A$12,MATCH(10000,ReferenceData_Metal!$A$2:$A$12,1)-1),ReferenceData_Metal!$A$2:$A$12,1),MATCH(MIN(F24,8),ReferenceData_Metal!$B$1:$I$1,1))) /
        (10000 - INDEX(ReferenceData_Metal!$A$2:$A$12,MATCH(10000,ReferenceData_Metal!$A$2:$A$12,1)-1))) * (E24 - 10000),
        INDEX(ReferenceData_Metal!$B$2:$I$12,MATCH(MIN(E24,10000),ReferenceData_Metal!$A$2:$A$12,1),MATCH(8,ReferenceData_Metal!$B$1:$I$1,1)) +
        ((INDEX(ReferenceData_Metal!$B$2:$I$12,MATCH(MIN(E24,10000),ReferenceData_Metal!$A$2:$A$12,1),MATCH(8,ReferenceData_Metal!$B$1:$I$1,1)) - INDEX(ReferenceData_Metal!$B$2:$I$12,MATCH(MIN(E24,10000),ReferenceData_Metal!$A$2:$A$12,1),MATCH(6,ReferenceData_Metal!$B$1:$I$1,1)))/(8 - 6)) * (F24 - 8)
      )
    ),
    (1 - (E24 - INDEX(ReferenceData_Metal!$A$2:$A$12,MATCH(E24,ReferenceData_Metal!$A$2:$A$12,1))) /
      (INDEX(ReferenceData_Metal!$A$2:$A$12,MIN(MATCH(E24,ReferenceData_Metal!$A$2:$A$12,1)+1,ROWS(ReferenceData_Metal!$A$2:$A$12))) - INDEX(ReferenceData_Metal!$A$2:$A$12,MATCH(E24,ReferenceData_Metal!$A$2:$A$12,1)))) *
    (1 - (F24 - INDEX(ReferenceData_Metal!$B$1:$I$1,MATCH(F24,ReferenceData_Metal!$B$1:$I$1,1))) /
      (INDEX(ReferenceData_Metal!$B$1:$I$1,MIN(MATCH(F24,ReferenceData_Metal!$B$1:$I$1,1)+1,COLUMNS(ReferenceData_Metal!$B$1:$I$1))) - INDEX(ReferenceData_Metal!$B$1:$I$1,MATCH(F24,ReferenceData_Metal!$B$1:$I$1,1)))) *
    INDEX(ReferenceData_Metal!$B$2:$I$12,MATCH(E24,ReferenceData_Metal!$A$2:$A$12,1),MATCH(F24,ReferenceData_Metal!$B$1:$I$1,1)) +
    ((E24 - INDEX(ReferenceData_Metal!$A$2:$A$12,MATCH(E24,ReferenceData_Metal!$A$2:$A$12,1))) /
      (INDEX(ReferenceData_Metal!$A$2:$A$12,MIN(MATCH(E24,ReferenceData_Metal!$A$2:$A$12,1)+1,ROWS(ReferenceData_Metal!$A$2:$A$12))) - INDEX(ReferenceData_Metal!$A$2:$A$12,MATCH(E24,ReferenceData_Metal!$A$2:$A$12,1)))) *
    (1 - (F24 - INDEX(ReferenceData_Metal!$B$1:$I$1,MATCH(F24,ReferenceData_Metal!$B$1:$I$1,1))) /
      (INDEX(ReferenceData_Metal!$B$1:$I$1,MIN(MATCH(F24,ReferenceData_Metal!$B$1:$I$1,1)+1,COLUMNS(ReferenceData_Metal!$B$1:$I$1))) - INDEX(ReferenceData_Metal!$B$1:$I$1,MATCH(F24,ReferenceData_Metal!$B$1:$I$1,1)))) *
    INDEX(ReferenceData_Metal!$B$2:$I$12,MIN(MATCH(E24,ReferenceData_Metal!$A$2:$A$12,1)+1,ROWS(ReferenceData_Metal!$A$2:$A$12)),MATCH(F24,ReferenceData_Metal!$B$1:$I$1,1)) +
    (1 - (E24 - INDEX(ReferenceData_Metal!$A$2:$A$12,MATCH(E24,ReferenceData_Metal!$A$2:$A$12,1))) /
      (INDEX(ReferenceData_Metal!$A$2:$A$12,MIN(MATCH(E24,ReferenceData_Metal!$A$2:$A$12,1)+1,ROWS(ReferenceData_Metal!$A$2:$A$12))) - INDEX(ReferenceData_Metal!$A$2:$A$12,MATCH(E24,ReferenceData_Metal!$A$2:$A$12,1)))) *
    ((F24 - INDEX(ReferenceData_Metal!$B$1:$I$1,MATCH(F24,ReferenceData_Metal!$B$1:$I$1,1))) /
      (INDEX(ReferenceData_Metal!$B$1:$I$1,MIN(MATCH(F24,ReferenceData_Metal!$B$1:$I$1,1)+1,COLUMNS(ReferenceData_Metal!$B$1:$I$1))) - INDEX(ReferenceData_Metal!$B$1:$I$1,MATCH(F24,ReferenceData_Metal!$B$1:$I$1,1)))) *
    INDEX(ReferenceData_Metal!$B$2:$I$12,MATCH(E24,ReferenceData_Metal!$A$2:$A$12,1),MIN(MATCH(F24,ReferenceData_Metal!$B$1:$I$1,1)+1,COLUMNS(ReferenceData_Metal!$B$1:$I$1))) +
    ((E24 - INDEX(ReferenceData_Metal!$A$2:$A$12,MATCH(E24,ReferenceData_Metal!$A$2:$A$12,1))) /
      (INDEX(ReferenceData_Metal!$A$2:$A$12,MIN(MATCH(E24,ReferenceData_Metal!$A$2:$A$12,1)+1,ROWS(ReferenceData_Metal!$A$2:$A$12))) - INDEX(ReferenceData_Metal!$A$2:$A$12,MATCH(E24,ReferenceData_Metal!$A$2:$A$12,1)))) *
    ((F24 - INDEX(ReferenceData_Metal!$B$1:$I$1,MATCH(F24,ReferenceData_Metal!$B$1:$I$1,1))) /
      (INDEX(ReferenceData_Metal!$B$1:$I$1,MIN(MATCH(F24,ReferenceData_Metal!$B$1:$I$1,1)+1,COLUMNS(ReferenceData_Metal!$B$1:$I$1))) - INDEX(ReferenceData_Metal!$B$1:$I$1,MATCH(F24,ReferenceData_Metal!$B$1:$I$1,1)))) *
    INDEX(ReferenceData_Metal!$B$2:$I$12,MIN(MATCH(E24,ReferenceData_Metal!$A$2:$A$12,1)+1,ROWS(ReferenceData_Metal!$A$2:$A$12)),MIN(MATCH(F24,ReferenceData_Metal!$B$1:$I$1,1)+1,COLUMNS(ReferenceData_Metal!$B$1:$I$1)))
  )
)</f>
        <v>0.3526140612221324</v>
      </c>
      <c r="I24">
        <f>C19</f>
        <v>0.3</v>
      </c>
      <c r="J24">
        <v>1</v>
      </c>
      <c r="K24" cm="1">
        <f t="array" ref="K24">MAX(
  0.15,
  IF(
    OR(E21 &gt; 10000, I24 &gt; 8),
    IF(
      AND(E21 &gt; 10000, I24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(I24 - 6),
      IF(
        E21 &gt; 10000,
        INDEX(ReferenceData_Metal!$B$2:$I$12,MATCH(10000,ReferenceData_Metal!$A$2:$A$12,1),MATCH(MIN(I24,8),ReferenceData_Metal!$B$1:$I$1,1)) +
        ((INDEX(ReferenceData_Metal!$B$2:$I$12,MATCH(10000,ReferenceData_Metal!$A$2:$A$12,1),MATCH(MIN(I24,8),ReferenceData_Metal!$B$1:$I$1,1)) - INDEX(ReferenceData_Metal!$B$2:$I$12,MATCH(INDEX(ReferenceData_Metal!$A$2:$A$12,MATCH(10000,ReferenceData_Metal!$A$2:$A$12,1)-1),ReferenceData_Metal!$A$2:$A$12,1),MATCH(MIN(I24,8),ReferenceData_Metal!$B$1:$I$1,1))) /
        (10000 - INDEX(ReferenceData_Metal!$A$2:$A$12,MATCH(10000,ReferenceData_Metal!$A$2:$A$12,1)-1))) * (E21 - 10000),
        INDEX(ReferenceData_Metal!$B$2:$I$12,MATCH(MIN(E21,10000),ReferenceData_Metal!$A$2:$A$12,1),MATCH(8,ReferenceData_Metal!$B$1:$I$1,1)) +
        ((INDEX(ReferenceData_Metal!$B$2:$I$12,MATCH(MIN(E21,10000),ReferenceData_Metal!$A$2:$A$12,1),MATCH(8,ReferenceData_Metal!$B$1:$I$1,1)) - INDEX(ReferenceData_Metal!$B$2:$I$12,MATCH(MIN(E21,10000),ReferenceData_Metal!$A$2:$A$12,1),MATCH(6,ReferenceData_Metal!$B$1:$I$1,1)))/(8 - 6)) * (I24 - 8)
      )
    ),
    (1 - (E21 - INDEX(ReferenceData_Metal!$A$2:$A$12,MATCH(E21,ReferenceData_Metal!$A$2:$A$12,1))) /
      (INDEX(ReferenceData_Metal!$A$2:$A$12,MIN(MATCH(E21,ReferenceData_Metal!$A$2:$A$12,1)+1,ROWS(ReferenceData_Metal!$A$2:$A$12))) - INDEX(ReferenceData_Metal!$A$2:$A$12,MATCH(E21,ReferenceData_Metal!$A$2:$A$12,1)))) *
    (1 - (I24 - INDEX(ReferenceData_Metal!$B$1:$I$1,MATCH(I24,ReferenceData_Metal!$B$1:$I$1,1))) /
      (INDEX(ReferenceData_Metal!$B$1:$I$1,MIN(MATCH(I24,ReferenceData_Metal!$B$1:$I$1,1)+1,COLUMNS(ReferenceData_Metal!$B$1:$I$1))) - INDEX(ReferenceData_Metal!$B$1:$I$1,MATCH(I24,ReferenceData_Metal!$B$1:$I$1,1)))) *
    INDEX(ReferenceData_Metal!$B$2:$I$12,MATCH(E21,ReferenceData_Metal!$A$2:$A$12,1),MATCH(I24,ReferenceData_Metal!$B$1:$I$1,1)) +
    ((E21 - INDEX(ReferenceData_Metal!$A$2:$A$12,MATCH(E21,ReferenceData_Metal!$A$2:$A$12,1))) /
      (INDEX(ReferenceData_Metal!$A$2:$A$12,MIN(MATCH(E21,ReferenceData_Metal!$A$2:$A$12,1)+1,ROWS(ReferenceData_Metal!$A$2:$A$12))) - INDEX(ReferenceData_Metal!$A$2:$A$12,MATCH(E21,ReferenceData_Metal!$A$2:$A$12,1)))) *
    (1 - (I24 - INDEX(ReferenceData_Metal!$B$1:$I$1,MATCH(I24,ReferenceData_Metal!$B$1:$I$1,1))) /
      (INDEX(ReferenceData_Metal!$B$1:$I$1,MIN(MATCH(I24,ReferenceData_Metal!$B$1:$I$1,1)+1,COLUMNS(ReferenceData_Metal!$B$1:$I$1))) - INDEX(ReferenceData_Metal!$B$1:$I$1,MATCH(I24,ReferenceData_Metal!$B$1:$I$1,1)))) *
    INDEX(ReferenceData_Metal!$B$2:$I$12,MIN(MATCH(E21,ReferenceData_Metal!$A$2:$A$12,1)+1,ROWS(ReferenceData_Metal!$A$2:$A$12)),MATCH(I24,ReferenceData_Metal!$B$1:$I$1,1)) +
    (1 - (E21 - INDEX(ReferenceData_Metal!$A$2:$A$12,MATCH(E21,ReferenceData_Metal!$A$2:$A$12,1))) /
      (INDEX(ReferenceData_Metal!$A$2:$A$12,MIN(MATCH(E21,ReferenceData_Metal!$A$2:$A$12,1)+1,ROWS(ReferenceData_Metal!$A$2:$A$12))) - INDEX(ReferenceData_Metal!$A$2:$A$12,MATCH(E21,ReferenceData_Metal!$A$2:$A$12,1)))) *
    ((I24 - INDEX(ReferenceData_Metal!$B$1:$I$1,MATCH(I24,ReferenceData_Metal!$B$1:$I$1,1))) /
      (INDEX(ReferenceData_Metal!$B$1:$I$1,MIN(MATCH(I24,ReferenceData_Metal!$B$1:$I$1,1)+1,COLUMNS(ReferenceData_Metal!$B$1:$I$1))) - INDEX(ReferenceData_Metal!$B$1:$I$1,MATCH(I24,ReferenceData_Metal!$B$1:$I$1,1)))) *
    INDEX(ReferenceData_Metal!$B$2:$I$12,MATCH(E21,ReferenceData_Metal!$A$2:$A$12,1),MIN(MATCH(I24,ReferenceData_Metal!$B$1:$I$1,1)+1,COLUMNS(ReferenceData_Metal!$B$1:$I$1))) +
    ((E21 - INDEX(ReferenceData_Metal!$A$2:$A$12,MATCH(E21,ReferenceData_Metal!$A$2:$A$12,1))) /
      (INDEX(ReferenceData_Metal!$A$2:$A$12,MIN(MATCH(E21,ReferenceData_Metal!$A$2:$A$12,1)+1,ROWS(ReferenceData_Metal!$A$2:$A$12))) - INDEX(ReferenceData_Metal!$A$2:$A$12,MATCH(E21,ReferenceData_Metal!$A$2:$A$12,1)))) *
    ((I24 - INDEX(ReferenceData_Metal!$B$1:$I$1,MATCH(I24,ReferenceData_Metal!$B$1:$I$1,1))) /
      (INDEX(ReferenceData_Metal!$B$1:$I$1,MIN(MATCH(I24,ReferenceData_Metal!$B$1:$I$1,1)+1,COLUMNS(ReferenceData_Metal!$B$1:$I$1))) - INDEX(ReferenceData_Metal!$B$1:$I$1,MATCH(I24,ReferenceData_Metal!$B$1:$I$1,1)))) *
    INDEX(ReferenceData_Metal!$B$2:$I$12,MIN(MATCH(E21,ReferenceData_Metal!$A$2:$A$12,1)+1,ROWS(ReferenceData_Metal!$A$2:$A$12)),MIN(MATCH(I24,ReferenceData_Metal!$B$1:$I$1,1)+1,COLUMNS(ReferenceData_Metal!$B$1:$I$1)))
  )
)</f>
        <v>0.53399012443109772</v>
      </c>
      <c r="M24" s="13">
        <f>MDC_KDF_Calculator!$D$19</f>
        <v>333.33333333333331</v>
      </c>
      <c r="N24">
        <f t="shared" si="0"/>
        <v>0.38616287503446278</v>
      </c>
      <c r="O24" s="102">
        <f t="shared" si="1"/>
        <v>0.15715846952670554</v>
      </c>
    </row>
    <row r="25" spans="1:15">
      <c r="A25">
        <v>700</v>
      </c>
      <c r="C25" cm="1">
        <f t="array" ref="C25">MAX(
  0.15,
  IF(
    OR(A25 &gt; 10000, D25+0.00001 &gt; 8),
    IF(
      AND(A25 &gt; 10000, D25+0.00001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(D25+0.00001 - 6),
      IF(
        A25 &gt; 10000,
        INDEX(ReferenceData_Metal!$B$2:$I$12,MATCH(10000,ReferenceData_Metal!$A$2:$A$12,1),MATCH(MIN(D25+0.00001,8),ReferenceData_Metal!$B$1:$I$1,1)) +
        ((INDEX(ReferenceData_Metal!$B$2:$I$12,MATCH(10000,ReferenceData_Metal!$A$2:$A$12,1),MATCH(MIN(D25+0.00001,8),ReferenceData_Metal!$B$1:$I$1,1)) - INDEX(ReferenceData_Metal!$B$2:$I$12,MATCH(INDEX(ReferenceData_Metal!$A$2:$A$12,MATCH(10000,ReferenceData_Metal!$A$2:$A$12,1)-1),ReferenceData_Metal!$A$2:$A$12,1),MATCH(MIN(D25+0.00001,8),ReferenceData_Metal!$B$1:$I$1,1))) /
        (10000 - INDEX(ReferenceData_Metal!$A$2:$A$12,MATCH(10000,ReferenceData_Metal!$A$2:$A$12,1)-1))) * (A25 - 10000),
        INDEX(ReferenceData_Metal!$B$2:$I$12,MATCH(MIN(A25,10000),ReferenceData_Metal!$A$2:$A$12,1),MATCH(8,ReferenceData_Metal!$B$1:$I$1,1)) +
        ((INDEX(ReferenceData_Metal!$B$2:$I$12,MATCH(MIN(A25,10000),ReferenceData_Metal!$A$2:$A$12,1),MATCH(8,ReferenceData_Metal!$B$1:$I$1,1)) - INDEX(ReferenceData_Metal!$B$2:$I$12,MATCH(MIN(A25,10000),ReferenceData_Metal!$A$2:$A$12,1),MATCH(6,ReferenceData_Metal!$B$1:$I$1,1)))/(8 - 6)) * (D25+0.00001 - 8)
      )
    ),
    (1 - (A25 - INDEX(ReferenceData_Metal!$A$2:$A$12,MATCH(A25,ReferenceData_Metal!$A$2:$A$12,1))) /
      (INDEX(ReferenceData_Metal!$A$2:$A$12,MIN(MATCH(A25,ReferenceData_Metal!$A$2:$A$12,1)+1,ROWS(ReferenceData_Metal!$A$2:$A$12))) - INDEX(ReferenceData_Metal!$A$2:$A$12,MATCH(A25,ReferenceData_Metal!$A$2:$A$12,1)))) *
    (1 -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INDEX(ReferenceData_Metal!$B$2:$I$12,MATCH(A25,ReferenceData_Metal!$A$2:$A$12,1),MATCH(D25+0.00001,ReferenceData_Metal!$B$1:$I$1,1)) +
    ((A25 - INDEX(ReferenceData_Metal!$A$2:$A$12,MATCH(A25,ReferenceData_Metal!$A$2:$A$12,1))) /
      (INDEX(ReferenceData_Metal!$A$2:$A$12,MIN(MATCH(A25,ReferenceData_Metal!$A$2:$A$12,1)+1,ROWS(ReferenceData_Metal!$A$2:$A$12))) - INDEX(ReferenceData_Metal!$A$2:$A$12,MATCH(A25,ReferenceData_Metal!$A$2:$A$12,1)))) *
    (1 -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INDEX(ReferenceData_Metal!$B$2:$I$12,MIN(MATCH(A25,ReferenceData_Metal!$A$2:$A$12,1)+1,ROWS(ReferenceData_Metal!$A$2:$A$12)),MATCH(D25+0.00001,ReferenceData_Metal!$B$1:$I$1,1)) +
    (1 - (A25 - INDEX(ReferenceData_Metal!$A$2:$A$12,MATCH(A25,ReferenceData_Metal!$A$2:$A$12,1))) /
      (INDEX(ReferenceData_Metal!$A$2:$A$12,MIN(MATCH(A25,ReferenceData_Metal!$A$2:$A$12,1)+1,ROWS(ReferenceData_Metal!$A$2:$A$12))) - INDEX(ReferenceData_Metal!$A$2:$A$12,MATCH(A25,ReferenceData_Metal!$A$2:$A$12,1))))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INDEX(ReferenceData_Metal!$B$2:$I$12,MATCH(A25,ReferenceData_Metal!$A$2:$A$12,1),MIN(MATCH(D25+0.00001,ReferenceData_Metal!$B$1:$I$1,1)+1,COLUMNS(ReferenceData_Metal!$B$1:$I$1))) +
    ((A25 - INDEX(ReferenceData_Metal!$A$2:$A$12,MATCH(A25,ReferenceData_Metal!$A$2:$A$12,1))) /
      (INDEX(ReferenceData_Metal!$A$2:$A$12,MIN(MATCH(A25,ReferenceData_Metal!$A$2:$A$12,1)+1,ROWS(ReferenceData_Metal!$A$2:$A$12))) - INDEX(ReferenceData_Metal!$A$2:$A$12,MATCH(A25,ReferenceData_Metal!$A$2:$A$12,1)))) *
    ((D25+0.00001 - INDEX(ReferenceData_Metal!$B$1:$I$1,MATCH(D25+0.00001,ReferenceData_Metal!$B$1:$I$1,1))) /
      (INDEX(ReferenceData_Metal!$B$1:$I$1,MIN(MATCH(D25+0.00001,ReferenceData_Metal!$B$1:$I$1,1)+1,COLUMNS(ReferenceData_Metal!$B$1:$I$1))) - INDEX(ReferenceData_Metal!$B$1:$I$1,MATCH(D25+0.00001,ReferenceData_Metal!$B$1:$I$1,1)))) *
    INDEX(ReferenceData_Metal!$B$2:$I$12,MIN(MATCH(A25,ReferenceData_Metal!$A$2:$A$12,1)+1,ROWS(ReferenceData_Metal!$A$2:$A$12)),MIN(MATCH(D25+0.00001,ReferenceData_Metal!$B$1:$I$1,1)+1,COLUMNS(ReferenceData_Metal!$B$1:$I$1)))
  )
)</f>
        <v>0.49379956000000003</v>
      </c>
      <c r="D25">
        <f>MDC_KDF_Calculator!$D$15</f>
        <v>0.3</v>
      </c>
      <c r="E25" s="13">
        <f>MDC_KDF_Calculator!$D$21</f>
        <v>457.89081668013392</v>
      </c>
      <c r="F25">
        <v>3</v>
      </c>
      <c r="G25" cm="1">
        <f t="array" ref="G25">MAX(
  0.15,
  IF(
    OR(E25 &gt; 10000, F25 &gt; 8),
    IF(
      AND(E25 &gt; 10000, F25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(F25 - 6),
      IF(
        E25 &gt; 10000,
        INDEX(ReferenceData_Metal!$B$2:$I$12,MATCH(10000,ReferenceData_Metal!$A$2:$A$12,1),MATCH(MIN(F25,8),ReferenceData_Metal!$B$1:$I$1,1)) +
        ((INDEX(ReferenceData_Metal!$B$2:$I$12,MATCH(10000,ReferenceData_Metal!$A$2:$A$12,1),MATCH(MIN(F25,8),ReferenceData_Metal!$B$1:$I$1,1)) - INDEX(ReferenceData_Metal!$B$2:$I$12,MATCH(INDEX(ReferenceData_Metal!$A$2:$A$12,MATCH(10000,ReferenceData_Metal!$A$2:$A$12,1)-1),ReferenceData_Metal!$A$2:$A$12,1),MATCH(MIN(F25,8),ReferenceData_Metal!$B$1:$I$1,1))) /
        (10000 - INDEX(ReferenceData_Metal!$A$2:$A$12,MATCH(10000,ReferenceData_Metal!$A$2:$A$12,1)-1))) * (E25 - 10000),
        INDEX(ReferenceData_Metal!$B$2:$I$12,MATCH(MIN(E25,10000),ReferenceData_Metal!$A$2:$A$12,1),MATCH(8,ReferenceData_Metal!$B$1:$I$1,1)) +
        ((INDEX(ReferenceData_Metal!$B$2:$I$12,MATCH(MIN(E25,10000),ReferenceData_Metal!$A$2:$A$12,1),MATCH(8,ReferenceData_Metal!$B$1:$I$1,1)) - INDEX(ReferenceData_Metal!$B$2:$I$12,MATCH(MIN(E25,10000),ReferenceData_Metal!$A$2:$A$12,1),MATCH(6,ReferenceData_Metal!$B$1:$I$1,1)))/(8 - 6)) * (F25 - 8)
      )
    ),
    (1 - (E25 - INDEX(ReferenceData_Metal!$A$2:$A$12,MATCH(E25,ReferenceData_Metal!$A$2:$A$12,1))) /
      (INDEX(ReferenceData_Metal!$A$2:$A$12,MIN(MATCH(E25,ReferenceData_Metal!$A$2:$A$12,1)+1,ROWS(ReferenceData_Metal!$A$2:$A$12))) - INDEX(ReferenceData_Metal!$A$2:$A$12,MATCH(E25,ReferenceData_Metal!$A$2:$A$12,1)))) *
    (1 - (F25 - INDEX(ReferenceData_Metal!$B$1:$I$1,MATCH(F25,ReferenceData_Metal!$B$1:$I$1,1))) /
      (INDEX(ReferenceData_Metal!$B$1:$I$1,MIN(MATCH(F25,ReferenceData_Metal!$B$1:$I$1,1)+1,COLUMNS(ReferenceData_Metal!$B$1:$I$1))) - INDEX(ReferenceData_Metal!$B$1:$I$1,MATCH(F25,ReferenceData_Metal!$B$1:$I$1,1)))) *
    INDEX(ReferenceData_Metal!$B$2:$I$12,MATCH(E25,ReferenceData_Metal!$A$2:$A$12,1),MATCH(F25,ReferenceData_Metal!$B$1:$I$1,1)) +
    ((E25 - INDEX(ReferenceData_Metal!$A$2:$A$12,MATCH(E25,ReferenceData_Metal!$A$2:$A$12,1))) /
      (INDEX(ReferenceData_Metal!$A$2:$A$12,MIN(MATCH(E25,ReferenceData_Metal!$A$2:$A$12,1)+1,ROWS(ReferenceData_Metal!$A$2:$A$12))) - INDEX(ReferenceData_Metal!$A$2:$A$12,MATCH(E25,ReferenceData_Metal!$A$2:$A$12,1)))) *
    (1 - (F25 - INDEX(ReferenceData_Metal!$B$1:$I$1,MATCH(F25,ReferenceData_Metal!$B$1:$I$1,1))) /
      (INDEX(ReferenceData_Metal!$B$1:$I$1,MIN(MATCH(F25,ReferenceData_Metal!$B$1:$I$1,1)+1,COLUMNS(ReferenceData_Metal!$B$1:$I$1))) - INDEX(ReferenceData_Metal!$B$1:$I$1,MATCH(F25,ReferenceData_Metal!$B$1:$I$1,1)))) *
    INDEX(ReferenceData_Metal!$B$2:$I$12,MIN(MATCH(E25,ReferenceData_Metal!$A$2:$A$12,1)+1,ROWS(ReferenceData_Metal!$A$2:$A$12)),MATCH(F25,ReferenceData_Metal!$B$1:$I$1,1)) +
    (1 - (E25 - INDEX(ReferenceData_Metal!$A$2:$A$12,MATCH(E25,ReferenceData_Metal!$A$2:$A$12,1))) /
      (INDEX(ReferenceData_Metal!$A$2:$A$12,MIN(MATCH(E25,ReferenceData_Metal!$A$2:$A$12,1)+1,ROWS(ReferenceData_Metal!$A$2:$A$12))) - INDEX(ReferenceData_Metal!$A$2:$A$12,MATCH(E25,ReferenceData_Metal!$A$2:$A$12,1)))) *
    ((F25 - INDEX(ReferenceData_Metal!$B$1:$I$1,MATCH(F25,ReferenceData_Metal!$B$1:$I$1,1))) /
      (INDEX(ReferenceData_Metal!$B$1:$I$1,MIN(MATCH(F25,ReferenceData_Metal!$B$1:$I$1,1)+1,COLUMNS(ReferenceData_Metal!$B$1:$I$1))) - INDEX(ReferenceData_Metal!$B$1:$I$1,MATCH(F25,ReferenceData_Metal!$B$1:$I$1,1)))) *
    INDEX(ReferenceData_Metal!$B$2:$I$12,MATCH(E25,ReferenceData_Metal!$A$2:$A$12,1),MIN(MATCH(F25,ReferenceData_Metal!$B$1:$I$1,1)+1,COLUMNS(ReferenceData_Metal!$B$1:$I$1))) +
    ((E25 - INDEX(ReferenceData_Metal!$A$2:$A$12,MATCH(E25,ReferenceData_Metal!$A$2:$A$12,1))) /
      (INDEX(ReferenceData_Metal!$A$2:$A$12,MIN(MATCH(E25,ReferenceData_Metal!$A$2:$A$12,1)+1,ROWS(ReferenceData_Metal!$A$2:$A$12))) - INDEX(ReferenceData_Metal!$A$2:$A$12,MATCH(E25,ReferenceData_Metal!$A$2:$A$12,1)))) *
    ((F25 - INDEX(ReferenceData_Metal!$B$1:$I$1,MATCH(F25,ReferenceData_Metal!$B$1:$I$1,1))) /
      (INDEX(ReferenceData_Metal!$B$1:$I$1,MIN(MATCH(F25,ReferenceData_Metal!$B$1:$I$1,1)+1,COLUMNS(ReferenceData_Metal!$B$1:$I$1))) - INDEX(ReferenceData_Metal!$B$1:$I$1,MATCH(F25,ReferenceData_Metal!$B$1:$I$1,1)))) *
    INDEX(ReferenceData_Metal!$B$2:$I$12,MIN(MATCH(E25,ReferenceData_Metal!$A$2:$A$12,1)+1,ROWS(ReferenceData_Metal!$A$2:$A$12)),MIN(MATCH(F25,ReferenceData_Metal!$B$1:$I$1,1)+1,COLUMNS(ReferenceData_Metal!$B$1:$I$1)))
  )
)</f>
        <v>0.30849139794386088</v>
      </c>
      <c r="I25">
        <f>C19</f>
        <v>0.3</v>
      </c>
      <c r="J25">
        <v>10000</v>
      </c>
      <c r="K25" cm="1">
        <f t="array" ref="K25">MAX(
  0.15,
  IF(
    OR(E22 &gt; 10000, I25 &gt; 8),
    IF(
      AND(E22 &gt; 10000, I25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(I25 - 6),
      IF(
        E22 &gt; 10000,
        INDEX(ReferenceData_Metal!$B$2:$I$12,MATCH(10000,ReferenceData_Metal!$A$2:$A$12,1),MATCH(MIN(I25,8),ReferenceData_Metal!$B$1:$I$1,1)) +
        ((INDEX(ReferenceData_Metal!$B$2:$I$12,MATCH(10000,ReferenceData_Metal!$A$2:$A$12,1),MATCH(MIN(I25,8),ReferenceData_Metal!$B$1:$I$1,1)) - INDEX(ReferenceData_Metal!$B$2:$I$12,MATCH(INDEX(ReferenceData_Metal!$A$2:$A$12,MATCH(10000,ReferenceData_Metal!$A$2:$A$12,1)-1),ReferenceData_Metal!$A$2:$A$12,1),MATCH(MIN(I25,8),ReferenceData_Metal!$B$1:$I$1,1))) /
        (10000 - INDEX(ReferenceData_Metal!$A$2:$A$12,MATCH(10000,ReferenceData_Metal!$A$2:$A$12,1)-1))) * (E22 - 10000),
        INDEX(ReferenceData_Metal!$B$2:$I$12,MATCH(MIN(E22,10000),ReferenceData_Metal!$A$2:$A$12,1),MATCH(8,ReferenceData_Metal!$B$1:$I$1,1)) +
        ((INDEX(ReferenceData_Metal!$B$2:$I$12,MATCH(MIN(E22,10000),ReferenceData_Metal!$A$2:$A$12,1),MATCH(8,ReferenceData_Metal!$B$1:$I$1,1)) - INDEX(ReferenceData_Metal!$B$2:$I$12,MATCH(MIN(E22,10000),ReferenceData_Metal!$A$2:$A$12,1),MATCH(6,ReferenceData_Metal!$B$1:$I$1,1)))/(8 - 6)) * (I25 - 8)
      )
    ),
    (1 - (E22 - INDEX(ReferenceData_Metal!$A$2:$A$12,MATCH(E22,ReferenceData_Metal!$A$2:$A$12,1))) /
      (INDEX(ReferenceData_Metal!$A$2:$A$12,MIN(MATCH(E22,ReferenceData_Metal!$A$2:$A$12,1)+1,ROWS(ReferenceData_Metal!$A$2:$A$12))) - INDEX(ReferenceData_Metal!$A$2:$A$12,MATCH(E22,ReferenceData_Metal!$A$2:$A$12,1)))) *
    (1 - (I25 - INDEX(ReferenceData_Metal!$B$1:$I$1,MATCH(I25,ReferenceData_Metal!$B$1:$I$1,1))) /
      (INDEX(ReferenceData_Metal!$B$1:$I$1,MIN(MATCH(I25,ReferenceData_Metal!$B$1:$I$1,1)+1,COLUMNS(ReferenceData_Metal!$B$1:$I$1))) - INDEX(ReferenceData_Metal!$B$1:$I$1,MATCH(I25,ReferenceData_Metal!$B$1:$I$1,1)))) *
    INDEX(ReferenceData_Metal!$B$2:$I$12,MATCH(E22,ReferenceData_Metal!$A$2:$A$12,1),MATCH(I25,ReferenceData_Metal!$B$1:$I$1,1)) +
    ((E22 - INDEX(ReferenceData_Metal!$A$2:$A$12,MATCH(E22,ReferenceData_Metal!$A$2:$A$12,1))) /
      (INDEX(ReferenceData_Metal!$A$2:$A$12,MIN(MATCH(E22,ReferenceData_Metal!$A$2:$A$12,1)+1,ROWS(ReferenceData_Metal!$A$2:$A$12))) - INDEX(ReferenceData_Metal!$A$2:$A$12,MATCH(E22,ReferenceData_Metal!$A$2:$A$12,1)))) *
    (1 - (I25 - INDEX(ReferenceData_Metal!$B$1:$I$1,MATCH(I25,ReferenceData_Metal!$B$1:$I$1,1))) /
      (INDEX(ReferenceData_Metal!$B$1:$I$1,MIN(MATCH(I25,ReferenceData_Metal!$B$1:$I$1,1)+1,COLUMNS(ReferenceData_Metal!$B$1:$I$1))) - INDEX(ReferenceData_Metal!$B$1:$I$1,MATCH(I25,ReferenceData_Metal!$B$1:$I$1,1)))) *
    INDEX(ReferenceData_Metal!$B$2:$I$12,MIN(MATCH(E22,ReferenceData_Metal!$A$2:$A$12,1)+1,ROWS(ReferenceData_Metal!$A$2:$A$12)),MATCH(I25,ReferenceData_Metal!$B$1:$I$1,1)) +
    (1 - (E22 - INDEX(ReferenceData_Metal!$A$2:$A$12,MATCH(E22,ReferenceData_Metal!$A$2:$A$12,1))) /
      (INDEX(ReferenceData_Metal!$A$2:$A$12,MIN(MATCH(E22,ReferenceData_Metal!$A$2:$A$12,1)+1,ROWS(ReferenceData_Metal!$A$2:$A$12))) - INDEX(ReferenceData_Metal!$A$2:$A$12,MATCH(E22,ReferenceData_Metal!$A$2:$A$12,1)))) *
    ((I25 - INDEX(ReferenceData_Metal!$B$1:$I$1,MATCH(I25,ReferenceData_Metal!$B$1:$I$1,1))) /
      (INDEX(ReferenceData_Metal!$B$1:$I$1,MIN(MATCH(I25,ReferenceData_Metal!$B$1:$I$1,1)+1,COLUMNS(ReferenceData_Metal!$B$1:$I$1))) - INDEX(ReferenceData_Metal!$B$1:$I$1,MATCH(I25,ReferenceData_Metal!$B$1:$I$1,1)))) *
    INDEX(ReferenceData_Metal!$B$2:$I$12,MATCH(E22,ReferenceData_Metal!$A$2:$A$12,1),MIN(MATCH(I25,ReferenceData_Metal!$B$1:$I$1,1)+1,COLUMNS(ReferenceData_Metal!$B$1:$I$1))) +
    ((E22 - INDEX(ReferenceData_Metal!$A$2:$A$12,MATCH(E22,ReferenceData_Metal!$A$2:$A$12,1))) /
      (INDEX(ReferenceData_Metal!$A$2:$A$12,MIN(MATCH(E22,ReferenceData_Metal!$A$2:$A$12,1)+1,ROWS(ReferenceData_Metal!$A$2:$A$12))) - INDEX(ReferenceData_Metal!$A$2:$A$12,MATCH(E22,ReferenceData_Metal!$A$2:$A$12,1)))) *
    ((I25 - INDEX(ReferenceData_Metal!$B$1:$I$1,MATCH(I25,ReferenceData_Metal!$B$1:$I$1,1))) /
      (INDEX(ReferenceData_Metal!$B$1:$I$1,MIN(MATCH(I25,ReferenceData_Metal!$B$1:$I$1,1)+1,COLUMNS(ReferenceData_Metal!$B$1:$I$1))) - INDEX(ReferenceData_Metal!$B$1:$I$1,MATCH(I25,ReferenceData_Metal!$B$1:$I$1,1)))) *
    INDEX(ReferenceData_Metal!$B$2:$I$12,MIN(MATCH(E22,ReferenceData_Metal!$A$2:$A$12,1)+1,ROWS(ReferenceData_Metal!$A$2:$A$12)),MIN(MATCH(I25,ReferenceData_Metal!$B$1:$I$1,1)+1,COLUMNS(ReferenceData_Metal!$B$1:$I$1)))
  )
)</f>
        <v>0.53399012443109772</v>
      </c>
      <c r="M25" s="13">
        <f>MDC_KDF_Calculator!$D$19</f>
        <v>333.33333333333331</v>
      </c>
      <c r="N25">
        <f t="shared" si="0"/>
        <v>0.38616287503446278</v>
      </c>
      <c r="O25" s="102">
        <f t="shared" si="1"/>
        <v>0.11567905711675952</v>
      </c>
    </row>
    <row r="26" spans="1:15">
      <c r="A26">
        <v>1000</v>
      </c>
      <c r="C26" cm="1">
        <f t="array" ref="C26">MAX(
  0.15,
  IF(
    OR(A26 &gt; 10000, D26+0.00001 &gt; 8),
    IF(
      AND(A26 &gt; 10000, D26+0.00001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(A26 -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(D26+0.00001 - 6),
      IF(
        A26 &gt; 10000,
        INDEX(ReferenceData_Metal!$B$2:$I$12,MATCH(10000,ReferenceData_Metal!$A$2:$A$12,1),MATCH(MIN(D26+0.00001,8),ReferenceData_Metal!$B$1:$I$1,1)) +
        ((INDEX(ReferenceData_Metal!$B$2:$I$12,MATCH(10000,ReferenceData_Metal!$A$2:$A$12,1),MATCH(MIN(D26+0.00001,8),ReferenceData_Metal!$B$1:$I$1,1)) - INDEX(ReferenceData_Metal!$B$2:$I$12,MATCH(INDEX(ReferenceData_Metal!$A$2:$A$12,MATCH(10000,ReferenceData_Metal!$A$2:$A$12,1)-1),ReferenceData_Metal!$A$2:$A$12,1),MATCH(MIN(D26+0.00001,8),ReferenceData_Metal!$B$1:$I$1,1))) /
        (10000 - INDEX(ReferenceData_Metal!$A$2:$A$12,MATCH(10000,ReferenceData_Metal!$A$2:$A$12,1)-1))) * (A26 - 10000),
        INDEX(ReferenceData_Metal!$B$2:$I$12,MATCH(MIN(A26,10000),ReferenceData_Metal!$A$2:$A$12,1),MATCH(8,ReferenceData_Metal!$B$1:$I$1,1)) +
        ((INDEX(ReferenceData_Metal!$B$2:$I$12,MATCH(MIN(A26,10000),ReferenceData_Metal!$A$2:$A$12,1),MATCH(8,ReferenceData_Metal!$B$1:$I$1,1)) - INDEX(ReferenceData_Metal!$B$2:$I$12,MATCH(MIN(A26,10000),ReferenceData_Metal!$A$2:$A$12,1),MATCH(6,ReferenceData_Metal!$B$1:$I$1,1)))/(8 - 6)) * (D26+0.00001 - 8)
      )
    ),
    (1 - (A26 - INDEX(ReferenceData_Metal!$A$2:$A$12,MATCH(A26,ReferenceData_Metal!$A$2:$A$12,1))) /
      (INDEX(ReferenceData_Metal!$A$2:$A$12,MIN(MATCH(A26,ReferenceData_Metal!$A$2:$A$12,1)+1,ROWS(ReferenceData_Metal!$A$2:$A$12))) - INDEX(ReferenceData_Metal!$A$2:$A$12,MATCH(A26,ReferenceData_Metal!$A$2:$A$12,1)))) *
    (1 -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INDEX(ReferenceData_Metal!$B$2:$I$12,MATCH(A26,ReferenceData_Metal!$A$2:$A$12,1),MATCH(D26+0.00001,ReferenceData_Metal!$B$1:$I$1,1)) +
    ((A26 - INDEX(ReferenceData_Metal!$A$2:$A$12,MATCH(A26,ReferenceData_Metal!$A$2:$A$12,1))) /
      (INDEX(ReferenceData_Metal!$A$2:$A$12,MIN(MATCH(A26,ReferenceData_Metal!$A$2:$A$12,1)+1,ROWS(ReferenceData_Metal!$A$2:$A$12))) - INDEX(ReferenceData_Metal!$A$2:$A$12,MATCH(A26,ReferenceData_Metal!$A$2:$A$12,1)))) *
    (1 -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INDEX(ReferenceData_Metal!$B$2:$I$12,MIN(MATCH(A26,ReferenceData_Metal!$A$2:$A$12,1)+1,ROWS(ReferenceData_Metal!$A$2:$A$12)),MATCH(D26+0.00001,ReferenceData_Metal!$B$1:$I$1,1)) +
    (1 - (A26 - INDEX(ReferenceData_Metal!$A$2:$A$12,MATCH(A26,ReferenceData_Metal!$A$2:$A$12,1))) /
      (INDEX(ReferenceData_Metal!$A$2:$A$12,MIN(MATCH(A26,ReferenceData_Metal!$A$2:$A$12,1)+1,ROWS(ReferenceData_Metal!$A$2:$A$12))) - INDEX(ReferenceData_Metal!$A$2:$A$12,MATCH(A26,ReferenceData_Metal!$A$2:$A$12,1))))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INDEX(ReferenceData_Metal!$B$2:$I$12,MATCH(A26,ReferenceData_Metal!$A$2:$A$12,1),MIN(MATCH(D26+0.00001,ReferenceData_Metal!$B$1:$I$1,1)+1,COLUMNS(ReferenceData_Metal!$B$1:$I$1))) +
    ((A26 - INDEX(ReferenceData_Metal!$A$2:$A$12,MATCH(A26,ReferenceData_Metal!$A$2:$A$12,1))) /
      (INDEX(ReferenceData_Metal!$A$2:$A$12,MIN(MATCH(A26,ReferenceData_Metal!$A$2:$A$12,1)+1,ROWS(ReferenceData_Metal!$A$2:$A$12))) - INDEX(ReferenceData_Metal!$A$2:$A$12,MATCH(A26,ReferenceData_Metal!$A$2:$A$12,1)))) *
    ((D26+0.00001 - INDEX(ReferenceData_Metal!$B$1:$I$1,MATCH(D26+0.00001,ReferenceData_Metal!$B$1:$I$1,1))) /
      (INDEX(ReferenceData_Metal!$B$1:$I$1,MIN(MATCH(D26+0.00001,ReferenceData_Metal!$B$1:$I$1,1)+1,COLUMNS(ReferenceData_Metal!$B$1:$I$1))) - INDEX(ReferenceData_Metal!$B$1:$I$1,MATCH(D26+0.00001,ReferenceData_Metal!$B$1:$I$1,1)))) *
    INDEX(ReferenceData_Metal!$B$2:$I$12,MIN(MATCH(A26,ReferenceData_Metal!$A$2:$A$12,1)+1,ROWS(ReferenceData_Metal!$A$2:$A$12)),MIN(MATCH(D26+0.00001,ReferenceData_Metal!$B$1:$I$1,1)+1,COLUMNS(ReferenceData_Metal!$B$1:$I$1)))
  )
)</f>
        <v>0.46279986000000006</v>
      </c>
      <c r="D26">
        <f>MDC_KDF_Calculator!$D$15</f>
        <v>0.3</v>
      </c>
      <c r="E26" s="13">
        <f>MDC_KDF_Calculator!$D$21</f>
        <v>457.89081668013392</v>
      </c>
      <c r="F26">
        <v>4</v>
      </c>
      <c r="G26" cm="1">
        <f t="array" ref="G26">MAX(
  0.15,
  IF(
    OR(E26 &gt; 10000, F26 &gt; 8),
    IF(
      AND(E26 &gt; 10000, F26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(E26 -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(F26 - 6),
      IF(
        E26 &gt; 10000,
        INDEX(ReferenceData_Metal!$B$2:$I$12,MATCH(10000,ReferenceData_Metal!$A$2:$A$12,1),MATCH(MIN(F26,8),ReferenceData_Metal!$B$1:$I$1,1)) +
        ((INDEX(ReferenceData_Metal!$B$2:$I$12,MATCH(10000,ReferenceData_Metal!$A$2:$A$12,1),MATCH(MIN(F26,8),ReferenceData_Metal!$B$1:$I$1,1)) - INDEX(ReferenceData_Metal!$B$2:$I$12,MATCH(INDEX(ReferenceData_Metal!$A$2:$A$12,MATCH(10000,ReferenceData_Metal!$A$2:$A$12,1)-1),ReferenceData_Metal!$A$2:$A$12,1),MATCH(MIN(F26,8),ReferenceData_Metal!$B$1:$I$1,1))) /
        (10000 - INDEX(ReferenceData_Metal!$A$2:$A$12,MATCH(10000,ReferenceData_Metal!$A$2:$A$12,1)-1))) * (E26 - 10000),
        INDEX(ReferenceData_Metal!$B$2:$I$12,MATCH(MIN(E26,10000),ReferenceData_Metal!$A$2:$A$12,1),MATCH(8,ReferenceData_Metal!$B$1:$I$1,1)) +
        ((INDEX(ReferenceData_Metal!$B$2:$I$12,MATCH(MIN(E26,10000),ReferenceData_Metal!$A$2:$A$12,1),MATCH(8,ReferenceData_Metal!$B$1:$I$1,1)) - INDEX(ReferenceData_Metal!$B$2:$I$12,MATCH(MIN(E26,10000),ReferenceData_Metal!$A$2:$A$12,1),MATCH(6,ReferenceData_Metal!$B$1:$I$1,1)))/(8 - 6)) * (F26 - 8)
      )
    ),
    (1 - (E26 - INDEX(ReferenceData_Metal!$A$2:$A$12,MATCH(E26,ReferenceData_Metal!$A$2:$A$12,1))) /
      (INDEX(ReferenceData_Metal!$A$2:$A$12,MIN(MATCH(E26,ReferenceData_Metal!$A$2:$A$12,1)+1,ROWS(ReferenceData_Metal!$A$2:$A$12))) - INDEX(ReferenceData_Metal!$A$2:$A$12,MATCH(E26,ReferenceData_Metal!$A$2:$A$12,1)))) *
    (1 - (F26 - INDEX(ReferenceData_Metal!$B$1:$I$1,MATCH(F26,ReferenceData_Metal!$B$1:$I$1,1))) /
      (INDEX(ReferenceData_Metal!$B$1:$I$1,MIN(MATCH(F26,ReferenceData_Metal!$B$1:$I$1,1)+1,COLUMNS(ReferenceData_Metal!$B$1:$I$1))) - INDEX(ReferenceData_Metal!$B$1:$I$1,MATCH(F26,ReferenceData_Metal!$B$1:$I$1,1)))) *
    INDEX(ReferenceData_Metal!$B$2:$I$12,MATCH(E26,ReferenceData_Metal!$A$2:$A$12,1),MATCH(F26,ReferenceData_Metal!$B$1:$I$1,1)) +
    ((E26 - INDEX(ReferenceData_Metal!$A$2:$A$12,MATCH(E26,ReferenceData_Metal!$A$2:$A$12,1))) /
      (INDEX(ReferenceData_Metal!$A$2:$A$12,MIN(MATCH(E26,ReferenceData_Metal!$A$2:$A$12,1)+1,ROWS(ReferenceData_Metal!$A$2:$A$12))) - INDEX(ReferenceData_Metal!$A$2:$A$12,MATCH(E26,ReferenceData_Metal!$A$2:$A$12,1)))) *
    (1 - (F26 - INDEX(ReferenceData_Metal!$B$1:$I$1,MATCH(F26,ReferenceData_Metal!$B$1:$I$1,1))) /
      (INDEX(ReferenceData_Metal!$B$1:$I$1,MIN(MATCH(F26,ReferenceData_Metal!$B$1:$I$1,1)+1,COLUMNS(ReferenceData_Metal!$B$1:$I$1))) - INDEX(ReferenceData_Metal!$B$1:$I$1,MATCH(F26,ReferenceData_Metal!$B$1:$I$1,1)))) *
    INDEX(ReferenceData_Metal!$B$2:$I$12,MIN(MATCH(E26,ReferenceData_Metal!$A$2:$A$12,1)+1,ROWS(ReferenceData_Metal!$A$2:$A$12)),MATCH(F26,ReferenceData_Metal!$B$1:$I$1,1)) +
    (1 - (E26 - INDEX(ReferenceData_Metal!$A$2:$A$12,MATCH(E26,ReferenceData_Metal!$A$2:$A$12,1))) /
      (INDEX(ReferenceData_Metal!$A$2:$A$12,MIN(MATCH(E26,ReferenceData_Metal!$A$2:$A$12,1)+1,ROWS(ReferenceData_Metal!$A$2:$A$12))) - INDEX(ReferenceData_Metal!$A$2:$A$12,MATCH(E26,ReferenceData_Metal!$A$2:$A$12,1)))) *
    ((F26 - INDEX(ReferenceData_Metal!$B$1:$I$1,MATCH(F26,ReferenceData_Metal!$B$1:$I$1,1))) /
      (INDEX(ReferenceData_Metal!$B$1:$I$1,MIN(MATCH(F26,ReferenceData_Metal!$B$1:$I$1,1)+1,COLUMNS(ReferenceData_Metal!$B$1:$I$1))) - INDEX(ReferenceData_Metal!$B$1:$I$1,MATCH(F26,ReferenceData_Metal!$B$1:$I$1,1)))) *
    INDEX(ReferenceData_Metal!$B$2:$I$12,MATCH(E26,ReferenceData_Metal!$A$2:$A$12,1),MIN(MATCH(F26,ReferenceData_Metal!$B$1:$I$1,1)+1,COLUMNS(ReferenceData_Metal!$B$1:$I$1))) +
    ((E26 - INDEX(ReferenceData_Metal!$A$2:$A$12,MATCH(E26,ReferenceData_Metal!$A$2:$A$12,1))) /
      (INDEX(ReferenceData_Metal!$A$2:$A$12,MIN(MATCH(E26,ReferenceData_Metal!$A$2:$A$12,1)+1,ROWS(ReferenceData_Metal!$A$2:$A$12))) - INDEX(ReferenceData_Metal!$A$2:$A$12,MATCH(E26,ReferenceData_Metal!$A$2:$A$12,1)))) *
    ((F26 - INDEX(ReferenceData_Metal!$B$1:$I$1,MATCH(F26,ReferenceData_Metal!$B$1:$I$1,1))) /
      (INDEX(ReferenceData_Metal!$B$1:$I$1,MIN(MATCH(F26,ReferenceData_Metal!$B$1:$I$1,1)+1,COLUMNS(ReferenceData_Metal!$B$1:$I$1))) - INDEX(ReferenceData_Metal!$B$1:$I$1,MATCH(F26,ReferenceData_Metal!$B$1:$I$1,1)))) *
    INDEX(ReferenceData_Metal!$B$2:$I$12,MIN(MATCH(E26,ReferenceData_Metal!$A$2:$A$12,1)+1,ROWS(ReferenceData_Metal!$A$2:$A$12)),MIN(MATCH(F26,ReferenceData_Metal!$B$1:$I$1,1)+1,COLUMNS(ReferenceData_Metal!$B$1:$I$1)))
  )
)</f>
        <v>0.28242109183319863</v>
      </c>
      <c r="M26" s="13">
        <f>MDC_KDF_Calculator!$D$19</f>
        <v>333.33333333333331</v>
      </c>
      <c r="N26">
        <f t="shared" si="0"/>
        <v>0.38616287503446278</v>
      </c>
      <c r="O26" s="102">
        <f t="shared" si="1"/>
        <v>8.654186016494303E-2</v>
      </c>
    </row>
    <row r="27" spans="1:15">
      <c r="A27">
        <v>1500</v>
      </c>
      <c r="C27" cm="1">
        <f t="array" ref="C27">MAX(
  0.15,
  IF(
    OR(A27 &gt; 10000, D27+0.00001 &gt; 8),
    IF(
      AND(A27 &gt; 10000, D27+0.00001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(A27 -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(D27+0.00001 - 6),
      IF(
        A27 &gt; 10000,
        INDEX(ReferenceData_Metal!$B$2:$I$12,MATCH(10000,ReferenceData_Metal!$A$2:$A$12,1),MATCH(MIN(D27+0.00001,8),ReferenceData_Metal!$B$1:$I$1,1)) +
        ((INDEX(ReferenceData_Metal!$B$2:$I$12,MATCH(10000,ReferenceData_Metal!$A$2:$A$12,1),MATCH(MIN(D27+0.00001,8),ReferenceData_Metal!$B$1:$I$1,1)) - INDEX(ReferenceData_Metal!$B$2:$I$12,MATCH(INDEX(ReferenceData_Metal!$A$2:$A$12,MATCH(10000,ReferenceData_Metal!$A$2:$A$12,1)-1),ReferenceData_Metal!$A$2:$A$12,1),MATCH(MIN(D27+0.00001,8),ReferenceData_Metal!$B$1:$I$1,1))) /
        (10000 - INDEX(ReferenceData_Metal!$A$2:$A$12,MATCH(10000,ReferenceData_Metal!$A$2:$A$12,1)-1))) * (A27 - 10000),
        INDEX(ReferenceData_Metal!$B$2:$I$12,MATCH(MIN(A27,10000),ReferenceData_Metal!$A$2:$A$12,1),MATCH(8,ReferenceData_Metal!$B$1:$I$1,1)) +
        ((INDEX(ReferenceData_Metal!$B$2:$I$12,MATCH(MIN(A27,10000),ReferenceData_Metal!$A$2:$A$12,1),MATCH(8,ReferenceData_Metal!$B$1:$I$1,1)) - INDEX(ReferenceData_Metal!$B$2:$I$12,MATCH(MIN(A27,10000),ReferenceData_Metal!$A$2:$A$12,1),MATCH(6,ReferenceData_Metal!$B$1:$I$1,1)))/(8 - 6)) * (D27+0.00001 - 8)
      )
    ),
    (1 - (A27 - INDEX(ReferenceData_Metal!$A$2:$A$12,MATCH(A27,ReferenceData_Metal!$A$2:$A$12,1))) /
      (INDEX(ReferenceData_Metal!$A$2:$A$12,MIN(MATCH(A27,ReferenceData_Metal!$A$2:$A$12,1)+1,ROWS(ReferenceData_Metal!$A$2:$A$12))) - INDEX(ReferenceData_Metal!$A$2:$A$12,MATCH(A27,ReferenceData_Metal!$A$2:$A$12,1)))) *
    (1 -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INDEX(ReferenceData_Metal!$B$2:$I$12,MATCH(A27,ReferenceData_Metal!$A$2:$A$12,1),MATCH(D27+0.00001,ReferenceData_Metal!$B$1:$I$1,1)) +
    ((A27 - INDEX(ReferenceData_Metal!$A$2:$A$12,MATCH(A27,ReferenceData_Metal!$A$2:$A$12,1))) /
      (INDEX(ReferenceData_Metal!$A$2:$A$12,MIN(MATCH(A27,ReferenceData_Metal!$A$2:$A$12,1)+1,ROWS(ReferenceData_Metal!$A$2:$A$12))) - INDEX(ReferenceData_Metal!$A$2:$A$12,MATCH(A27,ReferenceData_Metal!$A$2:$A$12,1)))) *
    (1 -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INDEX(ReferenceData_Metal!$B$2:$I$12,MIN(MATCH(A27,ReferenceData_Metal!$A$2:$A$12,1)+1,ROWS(ReferenceData_Metal!$A$2:$A$12)),MATCH(D27+0.00001,ReferenceData_Metal!$B$1:$I$1,1)) +
    (1 - (A27 - INDEX(ReferenceData_Metal!$A$2:$A$12,MATCH(A27,ReferenceData_Metal!$A$2:$A$12,1))) /
      (INDEX(ReferenceData_Metal!$A$2:$A$12,MIN(MATCH(A27,ReferenceData_Metal!$A$2:$A$12,1)+1,ROWS(ReferenceData_Metal!$A$2:$A$12))) - INDEX(ReferenceData_Metal!$A$2:$A$12,MATCH(A27,ReferenceData_Metal!$A$2:$A$12,1))))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INDEX(ReferenceData_Metal!$B$2:$I$12,MATCH(A27,ReferenceData_Metal!$A$2:$A$12,1),MIN(MATCH(D27+0.00001,ReferenceData_Metal!$B$1:$I$1,1)+1,COLUMNS(ReferenceData_Metal!$B$1:$I$1))) +
    ((A27 - INDEX(ReferenceData_Metal!$A$2:$A$12,MATCH(A27,ReferenceData_Metal!$A$2:$A$12,1))) /
      (INDEX(ReferenceData_Metal!$A$2:$A$12,MIN(MATCH(A27,ReferenceData_Metal!$A$2:$A$12,1)+1,ROWS(ReferenceData_Metal!$A$2:$A$12))) - INDEX(ReferenceData_Metal!$A$2:$A$12,MATCH(A27,ReferenceData_Metal!$A$2:$A$12,1)))) *
    ((D27+0.00001 - INDEX(ReferenceData_Metal!$B$1:$I$1,MATCH(D27+0.00001,ReferenceData_Metal!$B$1:$I$1,1))) /
      (INDEX(ReferenceData_Metal!$B$1:$I$1,MIN(MATCH(D27+0.00001,ReferenceData_Metal!$B$1:$I$1,1)+1,COLUMNS(ReferenceData_Metal!$B$1:$I$1))) - INDEX(ReferenceData_Metal!$B$1:$I$1,MATCH(D27+0.00001,ReferenceData_Metal!$B$1:$I$1,1)))) *
    INDEX(ReferenceData_Metal!$B$2:$I$12,MIN(MATCH(A27,ReferenceData_Metal!$A$2:$A$12,1)+1,ROWS(ReferenceData_Metal!$A$2:$A$12)),MIN(MATCH(D27+0.00001,ReferenceData_Metal!$B$1:$I$1,1)+1,COLUMNS(ReferenceData_Metal!$B$1:$I$1)))
  )
)</f>
        <v>0.42659991999999997</v>
      </c>
      <c r="D27">
        <f>MDC_KDF_Calculator!$D$15</f>
        <v>0.3</v>
      </c>
      <c r="E27" s="13">
        <f>MDC_KDF_Calculator!$D$21</f>
        <v>457.89081668013392</v>
      </c>
      <c r="F27">
        <v>6</v>
      </c>
      <c r="G27" cm="1">
        <f t="array" ref="G27">MAX(
  0.15,
  IF(
    OR(E27 &gt; 10000, F27 &gt; 8),
    IF(
      AND(E27 &gt; 10000, F27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(E27 -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(F27 - 6),
      IF(
        E27 &gt; 10000,
        INDEX(ReferenceData_Metal!$B$2:$I$12,MATCH(10000,ReferenceData_Metal!$A$2:$A$12,1),MATCH(MIN(F27,8),ReferenceData_Metal!$B$1:$I$1,1)) +
        ((INDEX(ReferenceData_Metal!$B$2:$I$12,MATCH(10000,ReferenceData_Metal!$A$2:$A$12,1),MATCH(MIN(F27,8),ReferenceData_Metal!$B$1:$I$1,1)) - INDEX(ReferenceData_Metal!$B$2:$I$12,MATCH(INDEX(ReferenceData_Metal!$A$2:$A$12,MATCH(10000,ReferenceData_Metal!$A$2:$A$12,1)-1),ReferenceData_Metal!$A$2:$A$12,1),MATCH(MIN(F27,8),ReferenceData_Metal!$B$1:$I$1,1))) /
        (10000 - INDEX(ReferenceData_Metal!$A$2:$A$12,MATCH(10000,ReferenceData_Metal!$A$2:$A$12,1)-1))) * (E27 - 10000),
        INDEX(ReferenceData_Metal!$B$2:$I$12,MATCH(MIN(E27,10000),ReferenceData_Metal!$A$2:$A$12,1),MATCH(8,ReferenceData_Metal!$B$1:$I$1,1)) +
        ((INDEX(ReferenceData_Metal!$B$2:$I$12,MATCH(MIN(E27,10000),ReferenceData_Metal!$A$2:$A$12,1),MATCH(8,ReferenceData_Metal!$B$1:$I$1,1)) - INDEX(ReferenceData_Metal!$B$2:$I$12,MATCH(MIN(E27,10000),ReferenceData_Metal!$A$2:$A$12,1),MATCH(6,ReferenceData_Metal!$B$1:$I$1,1)))/(8 - 6)) * (F27 - 8)
      )
    ),
    (1 - (E27 - INDEX(ReferenceData_Metal!$A$2:$A$12,MATCH(E27,ReferenceData_Metal!$A$2:$A$12,1))) /
      (INDEX(ReferenceData_Metal!$A$2:$A$12,MIN(MATCH(E27,ReferenceData_Metal!$A$2:$A$12,1)+1,ROWS(ReferenceData_Metal!$A$2:$A$12))) - INDEX(ReferenceData_Metal!$A$2:$A$12,MATCH(E27,ReferenceData_Metal!$A$2:$A$12,1)))) *
    (1 - (F27 - INDEX(ReferenceData_Metal!$B$1:$I$1,MATCH(F27,ReferenceData_Metal!$B$1:$I$1,1))) /
      (INDEX(ReferenceData_Metal!$B$1:$I$1,MIN(MATCH(F27,ReferenceData_Metal!$B$1:$I$1,1)+1,COLUMNS(ReferenceData_Metal!$B$1:$I$1))) - INDEX(ReferenceData_Metal!$B$1:$I$1,MATCH(F27,ReferenceData_Metal!$B$1:$I$1,1)))) *
    INDEX(ReferenceData_Metal!$B$2:$I$12,MATCH(E27,ReferenceData_Metal!$A$2:$A$12,1),MATCH(F27,ReferenceData_Metal!$B$1:$I$1,1)) +
    ((E27 - INDEX(ReferenceData_Metal!$A$2:$A$12,MATCH(E27,ReferenceData_Metal!$A$2:$A$12,1))) /
      (INDEX(ReferenceData_Metal!$A$2:$A$12,MIN(MATCH(E27,ReferenceData_Metal!$A$2:$A$12,1)+1,ROWS(ReferenceData_Metal!$A$2:$A$12))) - INDEX(ReferenceData_Metal!$A$2:$A$12,MATCH(E27,ReferenceData_Metal!$A$2:$A$12,1)))) *
    (1 - (F27 - INDEX(ReferenceData_Metal!$B$1:$I$1,MATCH(F27,ReferenceData_Metal!$B$1:$I$1,1))) /
      (INDEX(ReferenceData_Metal!$B$1:$I$1,MIN(MATCH(F27,ReferenceData_Metal!$B$1:$I$1,1)+1,COLUMNS(ReferenceData_Metal!$B$1:$I$1))) - INDEX(ReferenceData_Metal!$B$1:$I$1,MATCH(F27,ReferenceData_Metal!$B$1:$I$1,1)))) *
    INDEX(ReferenceData_Metal!$B$2:$I$12,MIN(MATCH(E27,ReferenceData_Metal!$A$2:$A$12,1)+1,ROWS(ReferenceData_Metal!$A$2:$A$12)),MATCH(F27,ReferenceData_Metal!$B$1:$I$1,1)) +
    (1 - (E27 - INDEX(ReferenceData_Metal!$A$2:$A$12,MATCH(E27,ReferenceData_Metal!$A$2:$A$12,1))) /
      (INDEX(ReferenceData_Metal!$A$2:$A$12,MIN(MATCH(E27,ReferenceData_Metal!$A$2:$A$12,1)+1,ROWS(ReferenceData_Metal!$A$2:$A$12))) - INDEX(ReferenceData_Metal!$A$2:$A$12,MATCH(E27,ReferenceData_Metal!$A$2:$A$12,1)))) *
    ((F27 - INDEX(ReferenceData_Metal!$B$1:$I$1,MATCH(F27,ReferenceData_Metal!$B$1:$I$1,1))) /
      (INDEX(ReferenceData_Metal!$B$1:$I$1,MIN(MATCH(F27,ReferenceData_Metal!$B$1:$I$1,1)+1,COLUMNS(ReferenceData_Metal!$B$1:$I$1))) - INDEX(ReferenceData_Metal!$B$1:$I$1,MATCH(F27,ReferenceData_Metal!$B$1:$I$1,1)))) *
    INDEX(ReferenceData_Metal!$B$2:$I$12,MATCH(E27,ReferenceData_Metal!$A$2:$A$12,1),MIN(MATCH(F27,ReferenceData_Metal!$B$1:$I$1,1)+1,COLUMNS(ReferenceData_Metal!$B$1:$I$1))) +
    ((E27 - INDEX(ReferenceData_Metal!$A$2:$A$12,MATCH(E27,ReferenceData_Metal!$A$2:$A$12,1))) /
      (INDEX(ReferenceData_Metal!$A$2:$A$12,MIN(MATCH(E27,ReferenceData_Metal!$A$2:$A$12,1)+1,ROWS(ReferenceData_Metal!$A$2:$A$12))) - INDEX(ReferenceData_Metal!$A$2:$A$12,MATCH(E27,ReferenceData_Metal!$A$2:$A$12,1)))) *
    ((F27 - INDEX(ReferenceData_Metal!$B$1:$I$1,MATCH(F27,ReferenceData_Metal!$B$1:$I$1,1))) /
      (INDEX(ReferenceData_Metal!$B$1:$I$1,MIN(MATCH(F27,ReferenceData_Metal!$B$1:$I$1,1)+1,COLUMNS(ReferenceData_Metal!$B$1:$I$1))) - INDEX(ReferenceData_Metal!$B$1:$I$1,MATCH(F27,ReferenceData_Metal!$B$1:$I$1,1)))) *
    INDEX(ReferenceData_Metal!$B$2:$I$12,MIN(MATCH(E27,ReferenceData_Metal!$A$2:$A$12,1)+1,ROWS(ReferenceData_Metal!$A$2:$A$12)),MIN(MATCH(F27,ReferenceData_Metal!$B$1:$I$1,1)+1,COLUMNS(ReferenceData_Metal!$B$1:$I$1)))
  )
)</f>
        <v>0.25107030611066217</v>
      </c>
      <c r="M27" s="13">
        <f>MDC_KDF_Calculator!$D$19</f>
        <v>333.33333333333331</v>
      </c>
      <c r="N27">
        <f t="shared" si="0"/>
        <v>0.38616287503446278</v>
      </c>
      <c r="O27" s="102">
        <f t="shared" si="1"/>
        <v>4.8574308059770699E-2</v>
      </c>
    </row>
    <row r="28" spans="1:15">
      <c r="A28">
        <v>2000</v>
      </c>
      <c r="C28" cm="1">
        <f t="array" ref="C28">MAX(
  0.15,
  IF(
    OR(A28 &gt; 10000, D28+0.00001 &gt; 8),
    IF(
      AND(A28 &gt; 10000, D28+0.00001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(A28 -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(D28+0.00001 - 6),
      IF(
        A28 &gt; 10000,
        INDEX(ReferenceData_Metal!$B$2:$I$12,MATCH(10000,ReferenceData_Metal!$A$2:$A$12,1),MATCH(MIN(D28+0.00001,8),ReferenceData_Metal!$B$1:$I$1,1)) +
        ((INDEX(ReferenceData_Metal!$B$2:$I$12,MATCH(10000,ReferenceData_Metal!$A$2:$A$12,1),MATCH(MIN(D28+0.00001,8),ReferenceData_Metal!$B$1:$I$1,1)) - INDEX(ReferenceData_Metal!$B$2:$I$12,MATCH(INDEX(ReferenceData_Metal!$A$2:$A$12,MATCH(10000,ReferenceData_Metal!$A$2:$A$12,1)-1),ReferenceData_Metal!$A$2:$A$12,1),MATCH(MIN(D28+0.00001,8),ReferenceData_Metal!$B$1:$I$1,1))) /
        (10000 - INDEX(ReferenceData_Metal!$A$2:$A$12,MATCH(10000,ReferenceData_Metal!$A$2:$A$12,1)-1))) * (A28 - 10000),
        INDEX(ReferenceData_Metal!$B$2:$I$12,MATCH(MIN(A28,10000),ReferenceData_Metal!$A$2:$A$12,1),MATCH(8,ReferenceData_Metal!$B$1:$I$1,1)) +
        ((INDEX(ReferenceData_Metal!$B$2:$I$12,MATCH(MIN(A28,10000),ReferenceData_Metal!$A$2:$A$12,1),MATCH(8,ReferenceData_Metal!$B$1:$I$1,1)) - INDEX(ReferenceData_Metal!$B$2:$I$12,MATCH(MIN(A28,10000),ReferenceData_Metal!$A$2:$A$12,1),MATCH(6,ReferenceData_Metal!$B$1:$I$1,1)))/(8 - 6)) * (D28+0.00001 - 8)
      )
    ),
    (1 - (A28 - INDEX(ReferenceData_Metal!$A$2:$A$12,MATCH(A28,ReferenceData_Metal!$A$2:$A$12,1))) /
      (INDEX(ReferenceData_Metal!$A$2:$A$12,MIN(MATCH(A28,ReferenceData_Metal!$A$2:$A$12,1)+1,ROWS(ReferenceData_Metal!$A$2:$A$12))) - INDEX(ReferenceData_Metal!$A$2:$A$12,MATCH(A28,ReferenceData_Metal!$A$2:$A$12,1)))) *
    (1 -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INDEX(ReferenceData_Metal!$B$2:$I$12,MATCH(A28,ReferenceData_Metal!$A$2:$A$12,1),MATCH(D28+0.00001,ReferenceData_Metal!$B$1:$I$1,1)) +
    ((A28 - INDEX(ReferenceData_Metal!$A$2:$A$12,MATCH(A28,ReferenceData_Metal!$A$2:$A$12,1))) /
      (INDEX(ReferenceData_Metal!$A$2:$A$12,MIN(MATCH(A28,ReferenceData_Metal!$A$2:$A$12,1)+1,ROWS(ReferenceData_Metal!$A$2:$A$12))) - INDEX(ReferenceData_Metal!$A$2:$A$12,MATCH(A28,ReferenceData_Metal!$A$2:$A$12,1)))) *
    (1 -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INDEX(ReferenceData_Metal!$B$2:$I$12,MIN(MATCH(A28,ReferenceData_Metal!$A$2:$A$12,1)+1,ROWS(ReferenceData_Metal!$A$2:$A$12)),MATCH(D28+0.00001,ReferenceData_Metal!$B$1:$I$1,1)) +
    (1 - (A28 - INDEX(ReferenceData_Metal!$A$2:$A$12,MATCH(A28,ReferenceData_Metal!$A$2:$A$12,1))) /
      (INDEX(ReferenceData_Metal!$A$2:$A$12,MIN(MATCH(A28,ReferenceData_Metal!$A$2:$A$12,1)+1,ROWS(ReferenceData_Metal!$A$2:$A$12))) - INDEX(ReferenceData_Metal!$A$2:$A$12,MATCH(A28,ReferenceData_Metal!$A$2:$A$12,1))))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INDEX(ReferenceData_Metal!$B$2:$I$12,MATCH(A28,ReferenceData_Metal!$A$2:$A$12,1),MIN(MATCH(D28+0.00001,ReferenceData_Metal!$B$1:$I$1,1)+1,COLUMNS(ReferenceData_Metal!$B$1:$I$1))) +
    ((A28 - INDEX(ReferenceData_Metal!$A$2:$A$12,MATCH(A28,ReferenceData_Metal!$A$2:$A$12,1))) /
      (INDEX(ReferenceData_Metal!$A$2:$A$12,MIN(MATCH(A28,ReferenceData_Metal!$A$2:$A$12,1)+1,ROWS(ReferenceData_Metal!$A$2:$A$12))) - INDEX(ReferenceData_Metal!$A$2:$A$12,MATCH(A28,ReferenceData_Metal!$A$2:$A$12,1)))) *
    ((D28+0.00001 - INDEX(ReferenceData_Metal!$B$1:$I$1,MATCH(D28+0.00001,ReferenceData_Metal!$B$1:$I$1,1))) /
      (INDEX(ReferenceData_Metal!$B$1:$I$1,MIN(MATCH(D28+0.00001,ReferenceData_Metal!$B$1:$I$1,1)+1,COLUMNS(ReferenceData_Metal!$B$1:$I$1))) - INDEX(ReferenceData_Metal!$B$1:$I$1,MATCH(D28+0.00001,ReferenceData_Metal!$B$1:$I$1,1)))) *
    INDEX(ReferenceData_Metal!$B$2:$I$12,MIN(MATCH(A28,ReferenceData_Metal!$A$2:$A$12,1)+1,ROWS(ReferenceData_Metal!$A$2:$A$12)),MIN(MATCH(D28+0.00001,ReferenceData_Metal!$B$1:$I$1,1)+1,COLUMNS(ReferenceData_Metal!$B$1:$I$1)))
  )
)</f>
        <v>0.40419994000000004</v>
      </c>
      <c r="D28">
        <f>MDC_KDF_Calculator!$D$15</f>
        <v>0.3</v>
      </c>
      <c r="E28" s="13">
        <f>MDC_KDF_Calculator!$D$21</f>
        <v>457.89081668013392</v>
      </c>
      <c r="F28">
        <v>7.99</v>
      </c>
      <c r="G28" cm="1">
        <f t="array" ref="G28">MAX(
  0.15,
  IF(
    OR(E28 &gt; 10000, F28 &gt; 8),
    IF(
      AND(E28 &gt; 10000, F28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(E28 -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(F28 - 6),
      IF(
        E28 &gt; 10000,
        INDEX(ReferenceData_Metal!$B$2:$I$12,MATCH(10000,ReferenceData_Metal!$A$2:$A$12,1),MATCH(MIN(F28,8),ReferenceData_Metal!$B$1:$I$1,1)) +
        ((INDEX(ReferenceData_Metal!$B$2:$I$12,MATCH(10000,ReferenceData_Metal!$A$2:$A$12,1),MATCH(MIN(F28,8),ReferenceData_Metal!$B$1:$I$1,1)) - INDEX(ReferenceData_Metal!$B$2:$I$12,MATCH(INDEX(ReferenceData_Metal!$A$2:$A$12,MATCH(10000,ReferenceData_Metal!$A$2:$A$12,1)-1),ReferenceData_Metal!$A$2:$A$12,1),MATCH(MIN(F28,8),ReferenceData_Metal!$B$1:$I$1,1))) /
        (10000 - INDEX(ReferenceData_Metal!$A$2:$A$12,MATCH(10000,ReferenceData_Metal!$A$2:$A$12,1)-1))) * (E28 - 10000),
        INDEX(ReferenceData_Metal!$B$2:$I$12,MATCH(MIN(E28,10000),ReferenceData_Metal!$A$2:$A$12,1),MATCH(8,ReferenceData_Metal!$B$1:$I$1,1)) +
        ((INDEX(ReferenceData_Metal!$B$2:$I$12,MATCH(MIN(E28,10000),ReferenceData_Metal!$A$2:$A$12,1),MATCH(8,ReferenceData_Metal!$B$1:$I$1,1)) - INDEX(ReferenceData_Metal!$B$2:$I$12,MATCH(MIN(E28,10000),ReferenceData_Metal!$A$2:$A$12,1),MATCH(6,ReferenceData_Metal!$B$1:$I$1,1)))/(8 - 6)) * (F28 - 8)
      )
    ),
    (1 - (E28 - INDEX(ReferenceData_Metal!$A$2:$A$12,MATCH(E28,ReferenceData_Metal!$A$2:$A$12,1))) /
      (INDEX(ReferenceData_Metal!$A$2:$A$12,MIN(MATCH(E28,ReferenceData_Metal!$A$2:$A$12,1)+1,ROWS(ReferenceData_Metal!$A$2:$A$12))) - INDEX(ReferenceData_Metal!$A$2:$A$12,MATCH(E28,ReferenceData_Metal!$A$2:$A$12,1)))) *
    (1 - (F28 - INDEX(ReferenceData_Metal!$B$1:$I$1,MATCH(F28,ReferenceData_Metal!$B$1:$I$1,1))) /
      (INDEX(ReferenceData_Metal!$B$1:$I$1,MIN(MATCH(F28,ReferenceData_Metal!$B$1:$I$1,1)+1,COLUMNS(ReferenceData_Metal!$B$1:$I$1))) - INDEX(ReferenceData_Metal!$B$1:$I$1,MATCH(F28,ReferenceData_Metal!$B$1:$I$1,1)))) *
    INDEX(ReferenceData_Metal!$B$2:$I$12,MATCH(E28,ReferenceData_Metal!$A$2:$A$12,1),MATCH(F28,ReferenceData_Metal!$B$1:$I$1,1)) +
    ((E28 - INDEX(ReferenceData_Metal!$A$2:$A$12,MATCH(E28,ReferenceData_Metal!$A$2:$A$12,1))) /
      (INDEX(ReferenceData_Metal!$A$2:$A$12,MIN(MATCH(E28,ReferenceData_Metal!$A$2:$A$12,1)+1,ROWS(ReferenceData_Metal!$A$2:$A$12))) - INDEX(ReferenceData_Metal!$A$2:$A$12,MATCH(E28,ReferenceData_Metal!$A$2:$A$12,1)))) *
    (1 - (F28 - INDEX(ReferenceData_Metal!$B$1:$I$1,MATCH(F28,ReferenceData_Metal!$B$1:$I$1,1))) /
      (INDEX(ReferenceData_Metal!$B$1:$I$1,MIN(MATCH(F28,ReferenceData_Metal!$B$1:$I$1,1)+1,COLUMNS(ReferenceData_Metal!$B$1:$I$1))) - INDEX(ReferenceData_Metal!$B$1:$I$1,MATCH(F28,ReferenceData_Metal!$B$1:$I$1,1)))) *
    INDEX(ReferenceData_Metal!$B$2:$I$12,MIN(MATCH(E28,ReferenceData_Metal!$A$2:$A$12,1)+1,ROWS(ReferenceData_Metal!$A$2:$A$12)),MATCH(F28,ReferenceData_Metal!$B$1:$I$1,1)) +
    (1 - (E28 - INDEX(ReferenceData_Metal!$A$2:$A$12,MATCH(E28,ReferenceData_Metal!$A$2:$A$12,1))) /
      (INDEX(ReferenceData_Metal!$A$2:$A$12,MIN(MATCH(E28,ReferenceData_Metal!$A$2:$A$12,1)+1,ROWS(ReferenceData_Metal!$A$2:$A$12))) - INDEX(ReferenceData_Metal!$A$2:$A$12,MATCH(E28,ReferenceData_Metal!$A$2:$A$12,1)))) *
    ((F28 - INDEX(ReferenceData_Metal!$B$1:$I$1,MATCH(F28,ReferenceData_Metal!$B$1:$I$1,1))) /
      (INDEX(ReferenceData_Metal!$B$1:$I$1,MIN(MATCH(F28,ReferenceData_Metal!$B$1:$I$1,1)+1,COLUMNS(ReferenceData_Metal!$B$1:$I$1))) - INDEX(ReferenceData_Metal!$B$1:$I$1,MATCH(F28,ReferenceData_Metal!$B$1:$I$1,1)))) *
    INDEX(ReferenceData_Metal!$B$2:$I$12,MATCH(E28,ReferenceData_Metal!$A$2:$A$12,1),MIN(MATCH(F28,ReferenceData_Metal!$B$1:$I$1,1)+1,COLUMNS(ReferenceData_Metal!$B$1:$I$1))) +
    ((E28 - INDEX(ReferenceData_Metal!$A$2:$A$12,MATCH(E28,ReferenceData_Metal!$A$2:$A$12,1))) /
      (INDEX(ReferenceData_Metal!$A$2:$A$12,MIN(MATCH(E28,ReferenceData_Metal!$A$2:$A$12,1)+1,ROWS(ReferenceData_Metal!$A$2:$A$12))) - INDEX(ReferenceData_Metal!$A$2:$A$12,MATCH(E28,ReferenceData_Metal!$A$2:$A$12,1)))) *
    ((F28 - INDEX(ReferenceData_Metal!$B$1:$I$1,MATCH(F28,ReferenceData_Metal!$B$1:$I$1,1))) /
      (INDEX(ReferenceData_Metal!$B$1:$I$1,MIN(MATCH(F28,ReferenceData_Metal!$B$1:$I$1,1)+1,COLUMNS(ReferenceData_Metal!$B$1:$I$1))) - INDEX(ReferenceData_Metal!$B$1:$I$1,MATCH(F28,ReferenceData_Metal!$B$1:$I$1,1)))) *
    INDEX(ReferenceData_Metal!$B$2:$I$12,MIN(MATCH(E28,ReferenceData_Metal!$A$2:$A$12,1)+1,ROWS(ReferenceData_Metal!$A$2:$A$12)),MIN(MATCH(F28,ReferenceData_Metal!$B$1:$I$1,1)+1,COLUMNS(ReferenceData_Metal!$B$1:$I$1)))
  )
)</f>
        <v>0.2314322652327602</v>
      </c>
      <c r="J28" s="103">
        <f>MDC_KDF_Calculator!$D$42</f>
        <v>0.14960831886606762</v>
      </c>
      <c r="M28" s="13">
        <f>MDC_KDF_Calculator!$D$19</f>
        <v>333.33333333333331</v>
      </c>
      <c r="N28">
        <f t="shared" si="0"/>
        <v>0.38616287503446278</v>
      </c>
      <c r="O28" s="102">
        <f t="shared" si="1"/>
        <v>2.25666855946689E-2</v>
      </c>
    </row>
    <row r="29" spans="1:15">
      <c r="A29">
        <v>3000</v>
      </c>
      <c r="C29" cm="1">
        <f t="array" ref="C29">MAX(
  0.15,
  IF(
    OR(A29 &gt; 10000, D29+0.00001 &gt; 8),
    IF(
      AND(A29 &gt; 10000, D29+0.00001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(A29 -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(D29+0.00001 - 6),
      IF(
        A29 &gt; 10000,
        INDEX(ReferenceData_Metal!$B$2:$I$12,MATCH(10000,ReferenceData_Metal!$A$2:$A$12,1),MATCH(MIN(D29+0.00001,8),ReferenceData_Metal!$B$1:$I$1,1)) +
        ((INDEX(ReferenceData_Metal!$B$2:$I$12,MATCH(10000,ReferenceData_Metal!$A$2:$A$12,1),MATCH(MIN(D29+0.00001,8),ReferenceData_Metal!$B$1:$I$1,1)) - INDEX(ReferenceData_Metal!$B$2:$I$12,MATCH(INDEX(ReferenceData_Metal!$A$2:$A$12,MATCH(10000,ReferenceData_Metal!$A$2:$A$12,1)-1),ReferenceData_Metal!$A$2:$A$12,1),MATCH(MIN(D29+0.00001,8),ReferenceData_Metal!$B$1:$I$1,1))) /
        (10000 - INDEX(ReferenceData_Metal!$A$2:$A$12,MATCH(10000,ReferenceData_Metal!$A$2:$A$12,1)-1))) * (A29 - 10000),
        INDEX(ReferenceData_Metal!$B$2:$I$12,MATCH(MIN(A29,10000),ReferenceData_Metal!$A$2:$A$12,1),MATCH(8,ReferenceData_Metal!$B$1:$I$1,1)) +
        ((INDEX(ReferenceData_Metal!$B$2:$I$12,MATCH(MIN(A29,10000),ReferenceData_Metal!$A$2:$A$12,1),MATCH(8,ReferenceData_Metal!$B$1:$I$1,1)) - INDEX(ReferenceData_Metal!$B$2:$I$12,MATCH(MIN(A29,10000),ReferenceData_Metal!$A$2:$A$12,1),MATCH(6,ReferenceData_Metal!$B$1:$I$1,1)))/(8 - 6)) * (D29+0.00001 - 8)
      )
    ),
    (1 - (A29 - INDEX(ReferenceData_Metal!$A$2:$A$12,MATCH(A29,ReferenceData_Metal!$A$2:$A$12,1))) /
      (INDEX(ReferenceData_Metal!$A$2:$A$12,MIN(MATCH(A29,ReferenceData_Metal!$A$2:$A$12,1)+1,ROWS(ReferenceData_Metal!$A$2:$A$12))) - INDEX(ReferenceData_Metal!$A$2:$A$12,MATCH(A29,ReferenceData_Metal!$A$2:$A$12,1)))) *
    (1 -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INDEX(ReferenceData_Metal!$B$2:$I$12,MATCH(A29,ReferenceData_Metal!$A$2:$A$12,1),MATCH(D29+0.00001,ReferenceData_Metal!$B$1:$I$1,1)) +
    ((A29 - INDEX(ReferenceData_Metal!$A$2:$A$12,MATCH(A29,ReferenceData_Metal!$A$2:$A$12,1))) /
      (INDEX(ReferenceData_Metal!$A$2:$A$12,MIN(MATCH(A29,ReferenceData_Metal!$A$2:$A$12,1)+1,ROWS(ReferenceData_Metal!$A$2:$A$12))) - INDEX(ReferenceData_Metal!$A$2:$A$12,MATCH(A29,ReferenceData_Metal!$A$2:$A$12,1)))) *
    (1 -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INDEX(ReferenceData_Metal!$B$2:$I$12,MIN(MATCH(A29,ReferenceData_Metal!$A$2:$A$12,1)+1,ROWS(ReferenceData_Metal!$A$2:$A$12)),MATCH(D29+0.00001,ReferenceData_Metal!$B$1:$I$1,1)) +
    (1 - (A29 - INDEX(ReferenceData_Metal!$A$2:$A$12,MATCH(A29,ReferenceData_Metal!$A$2:$A$12,1))) /
      (INDEX(ReferenceData_Metal!$A$2:$A$12,MIN(MATCH(A29,ReferenceData_Metal!$A$2:$A$12,1)+1,ROWS(ReferenceData_Metal!$A$2:$A$12))) - INDEX(ReferenceData_Metal!$A$2:$A$12,MATCH(A29,ReferenceData_Metal!$A$2:$A$12,1))))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INDEX(ReferenceData_Metal!$B$2:$I$12,MATCH(A29,ReferenceData_Metal!$A$2:$A$12,1),MIN(MATCH(D29+0.00001,ReferenceData_Metal!$B$1:$I$1,1)+1,COLUMNS(ReferenceData_Metal!$B$1:$I$1))) +
    ((A29 - INDEX(ReferenceData_Metal!$A$2:$A$12,MATCH(A29,ReferenceData_Metal!$A$2:$A$12,1))) /
      (INDEX(ReferenceData_Metal!$A$2:$A$12,MIN(MATCH(A29,ReferenceData_Metal!$A$2:$A$12,1)+1,ROWS(ReferenceData_Metal!$A$2:$A$12))) - INDEX(ReferenceData_Metal!$A$2:$A$12,MATCH(A29,ReferenceData_Metal!$A$2:$A$12,1)))) *
    ((D29+0.00001 - INDEX(ReferenceData_Metal!$B$1:$I$1,MATCH(D29+0.00001,ReferenceData_Metal!$B$1:$I$1,1))) /
      (INDEX(ReferenceData_Metal!$B$1:$I$1,MIN(MATCH(D29+0.00001,ReferenceData_Metal!$B$1:$I$1,1)+1,COLUMNS(ReferenceData_Metal!$B$1:$I$1))) - INDEX(ReferenceData_Metal!$B$1:$I$1,MATCH(D29+0.00001,ReferenceData_Metal!$B$1:$I$1,1)))) *
    INDEX(ReferenceData_Metal!$B$2:$I$12,MIN(MATCH(A29,ReferenceData_Metal!$A$2:$A$12,1)+1,ROWS(ReferenceData_Metal!$A$2:$A$12)),MIN(MATCH(D29+0.00001,ReferenceData_Metal!$B$1:$I$1,1)+1,COLUMNS(ReferenceData_Metal!$B$1:$I$1)))
  )
)</f>
        <v>0.37279996000000004</v>
      </c>
      <c r="D29">
        <f>MDC_KDF_Calculator!$D$15</f>
        <v>0.3</v>
      </c>
      <c r="J29" s="103">
        <f>MDC_KDF_Calculator!$D$42</f>
        <v>0.14960831886606762</v>
      </c>
      <c r="M29" s="13">
        <f>MDC_KDF_Calculator!$D$19</f>
        <v>333.33333333333331</v>
      </c>
      <c r="N29">
        <f t="shared" si="0"/>
        <v>0.38616287503446278</v>
      </c>
      <c r="O29" s="102">
        <f t="shared" si="1"/>
        <v>-1.7764576420155054E-2</v>
      </c>
    </row>
    <row r="30" spans="1:15">
      <c r="A30">
        <v>5000</v>
      </c>
      <c r="C30" cm="1">
        <f t="array" ref="C30">MAX(
  0.15,
  IF(
    OR(A30 &gt; 10000, D30+0.00001 &gt; 8),
    IF(
      AND(A30 &gt; 10000, D30+0.00001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(A30 -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(D30+0.00001 - 6),
      IF(
        A30 &gt; 10000,
        INDEX(ReferenceData_Metal!$B$2:$I$12,MATCH(10000,ReferenceData_Metal!$A$2:$A$12,1),MATCH(MIN(D30+0.00001,8),ReferenceData_Metal!$B$1:$I$1,1)) +
        ((INDEX(ReferenceData_Metal!$B$2:$I$12,MATCH(10000,ReferenceData_Metal!$A$2:$A$12,1),MATCH(MIN(D30+0.00001,8),ReferenceData_Metal!$B$1:$I$1,1)) - INDEX(ReferenceData_Metal!$B$2:$I$12,MATCH(INDEX(ReferenceData_Metal!$A$2:$A$12,MATCH(10000,ReferenceData_Metal!$A$2:$A$12,1)-1),ReferenceData_Metal!$A$2:$A$12,1),MATCH(MIN(D30+0.00001,8),ReferenceData_Metal!$B$1:$I$1,1))) /
        (10000 - INDEX(ReferenceData_Metal!$A$2:$A$12,MATCH(10000,ReferenceData_Metal!$A$2:$A$12,1)-1))) * (A30 - 10000),
        INDEX(ReferenceData_Metal!$B$2:$I$12,MATCH(MIN(A30,10000),ReferenceData_Metal!$A$2:$A$12,1),MATCH(8,ReferenceData_Metal!$B$1:$I$1,1)) +
        ((INDEX(ReferenceData_Metal!$B$2:$I$12,MATCH(MIN(A30,10000),ReferenceData_Metal!$A$2:$A$12,1),MATCH(8,ReferenceData_Metal!$B$1:$I$1,1)) - INDEX(ReferenceData_Metal!$B$2:$I$12,MATCH(MIN(A30,10000),ReferenceData_Metal!$A$2:$A$12,1),MATCH(6,ReferenceData_Metal!$B$1:$I$1,1)))/(8 - 6)) * (D30+0.00001 - 8)
      )
    ),
    (1 - (A30 - INDEX(ReferenceData_Metal!$A$2:$A$12,MATCH(A30,ReferenceData_Metal!$A$2:$A$12,1))) /
      (INDEX(ReferenceData_Metal!$A$2:$A$12,MIN(MATCH(A30,ReferenceData_Metal!$A$2:$A$12,1)+1,ROWS(ReferenceData_Metal!$A$2:$A$12))) - INDEX(ReferenceData_Metal!$A$2:$A$12,MATCH(A30,ReferenceData_Metal!$A$2:$A$12,1)))) *
    (1 -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INDEX(ReferenceData_Metal!$B$2:$I$12,MATCH(A30,ReferenceData_Metal!$A$2:$A$12,1),MATCH(D30+0.00001,ReferenceData_Metal!$B$1:$I$1,1)) +
    ((A30 - INDEX(ReferenceData_Metal!$A$2:$A$12,MATCH(A30,ReferenceData_Metal!$A$2:$A$12,1))) /
      (INDEX(ReferenceData_Metal!$A$2:$A$12,MIN(MATCH(A30,ReferenceData_Metal!$A$2:$A$12,1)+1,ROWS(ReferenceData_Metal!$A$2:$A$12))) - INDEX(ReferenceData_Metal!$A$2:$A$12,MATCH(A30,ReferenceData_Metal!$A$2:$A$12,1)))) *
    (1 -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INDEX(ReferenceData_Metal!$B$2:$I$12,MIN(MATCH(A30,ReferenceData_Metal!$A$2:$A$12,1)+1,ROWS(ReferenceData_Metal!$A$2:$A$12)),MATCH(D30+0.00001,ReferenceData_Metal!$B$1:$I$1,1)) +
    (1 - (A30 - INDEX(ReferenceData_Metal!$A$2:$A$12,MATCH(A30,ReferenceData_Metal!$A$2:$A$12,1))) /
      (INDEX(ReferenceData_Metal!$A$2:$A$12,MIN(MATCH(A30,ReferenceData_Metal!$A$2:$A$12,1)+1,ROWS(ReferenceData_Metal!$A$2:$A$12))) - INDEX(ReferenceData_Metal!$A$2:$A$12,MATCH(A30,ReferenceData_Metal!$A$2:$A$12,1))))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INDEX(ReferenceData_Metal!$B$2:$I$12,MATCH(A30,ReferenceData_Metal!$A$2:$A$12,1),MIN(MATCH(D30+0.00001,ReferenceData_Metal!$B$1:$I$1,1)+1,COLUMNS(ReferenceData_Metal!$B$1:$I$1))) +
    ((A30 - INDEX(ReferenceData_Metal!$A$2:$A$12,MATCH(A30,ReferenceData_Metal!$A$2:$A$12,1))) /
      (INDEX(ReferenceData_Metal!$A$2:$A$12,MIN(MATCH(A30,ReferenceData_Metal!$A$2:$A$12,1)+1,ROWS(ReferenceData_Metal!$A$2:$A$12))) - INDEX(ReferenceData_Metal!$A$2:$A$12,MATCH(A30,ReferenceData_Metal!$A$2:$A$12,1)))) *
    ((D30+0.00001 - INDEX(ReferenceData_Metal!$B$1:$I$1,MATCH(D30+0.00001,ReferenceData_Metal!$B$1:$I$1,1))) /
      (INDEX(ReferenceData_Metal!$B$1:$I$1,MIN(MATCH(D30+0.00001,ReferenceData_Metal!$B$1:$I$1,1)+1,COLUMNS(ReferenceData_Metal!$B$1:$I$1))) - INDEX(ReferenceData_Metal!$B$1:$I$1,MATCH(D30+0.00001,ReferenceData_Metal!$B$1:$I$1,1)))) *
    INDEX(ReferenceData_Metal!$B$2:$I$12,MIN(MATCH(A30,ReferenceData_Metal!$A$2:$A$12,1)+1,ROWS(ReferenceData_Metal!$A$2:$A$12)),MIN(MATCH(D30+0.00001,ReferenceData_Metal!$B$1:$I$1,1)+1,COLUMNS(ReferenceData_Metal!$B$1:$I$1)))
  )
)</f>
        <v>0.34079996000000001</v>
      </c>
      <c r="D30">
        <f>MDC_KDF_Calculator!$D$15</f>
        <v>0.3</v>
      </c>
      <c r="M30" s="13">
        <f>MDC_KDF_Calculator!$D$19</f>
        <v>333.33333333333331</v>
      </c>
      <c r="N30">
        <f t="shared" si="0"/>
        <v>0.38616287503446278</v>
      </c>
      <c r="O30" s="102">
        <f t="shared" si="1"/>
        <v>-6.4475063436002289E-2</v>
      </c>
    </row>
    <row r="31" spans="1:15">
      <c r="A31">
        <v>9999</v>
      </c>
      <c r="C31" cm="1">
        <f t="array" ref="C31">MAX(
  0.15,
  IF(
    OR(A31 &gt; 10000, D31+0.00001 &gt; 8),
    IF(
      AND(A31 &gt; 10000, D31+0.00001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(A31 -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(D31+0.00001 - 6),
      IF(
        A31 &gt; 10000,
        INDEX(ReferenceData_Metal!$B$2:$I$12,MATCH(10000,ReferenceData_Metal!$A$2:$A$12,1),MATCH(MIN(D31+0.00001,8),ReferenceData_Metal!$B$1:$I$1,1)) +
        ((INDEX(ReferenceData_Metal!$B$2:$I$12,MATCH(10000,ReferenceData_Metal!$A$2:$A$12,1),MATCH(MIN(D31+0.00001,8),ReferenceData_Metal!$B$1:$I$1,1)) - INDEX(ReferenceData_Metal!$B$2:$I$12,MATCH(INDEX(ReferenceData_Metal!$A$2:$A$12,MATCH(10000,ReferenceData_Metal!$A$2:$A$12,1)-1),ReferenceData_Metal!$A$2:$A$12,1),MATCH(MIN(D31+0.00001,8),ReferenceData_Metal!$B$1:$I$1,1))) /
        (10000 - INDEX(ReferenceData_Metal!$A$2:$A$12,MATCH(10000,ReferenceData_Metal!$A$2:$A$12,1)-1))) * (A31 - 10000),
        INDEX(ReferenceData_Metal!$B$2:$I$12,MATCH(MIN(A31,10000),ReferenceData_Metal!$A$2:$A$12,1),MATCH(8,ReferenceData_Metal!$B$1:$I$1,1)) +
        ((INDEX(ReferenceData_Metal!$B$2:$I$12,MATCH(MIN(A31,10000),ReferenceData_Metal!$A$2:$A$12,1),MATCH(8,ReferenceData_Metal!$B$1:$I$1,1)) - INDEX(ReferenceData_Metal!$B$2:$I$12,MATCH(MIN(A31,10000),ReferenceData_Metal!$A$2:$A$12,1),MATCH(6,ReferenceData_Metal!$B$1:$I$1,1)))/(8 - 6)) * (D31+0.00001 - 8)
      )
    ),
    (1 - (A31 - INDEX(ReferenceData_Metal!$A$2:$A$12,MATCH(A31,ReferenceData_Metal!$A$2:$A$12,1))) /
      (INDEX(ReferenceData_Metal!$A$2:$A$12,MIN(MATCH(A31,ReferenceData_Metal!$A$2:$A$12,1)+1,ROWS(ReferenceData_Metal!$A$2:$A$12))) - INDEX(ReferenceData_Metal!$A$2:$A$12,MATCH(A31,ReferenceData_Metal!$A$2:$A$12,1)))) *
    (1 -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INDEX(ReferenceData_Metal!$B$2:$I$12,MATCH(A31,ReferenceData_Metal!$A$2:$A$12,1),MATCH(D31+0.00001,ReferenceData_Metal!$B$1:$I$1,1)) +
    ((A31 - INDEX(ReferenceData_Metal!$A$2:$A$12,MATCH(A31,ReferenceData_Metal!$A$2:$A$12,1))) /
      (INDEX(ReferenceData_Metal!$A$2:$A$12,MIN(MATCH(A31,ReferenceData_Metal!$A$2:$A$12,1)+1,ROWS(ReferenceData_Metal!$A$2:$A$12))) - INDEX(ReferenceData_Metal!$A$2:$A$12,MATCH(A31,ReferenceData_Metal!$A$2:$A$12,1)))) *
    (1 -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INDEX(ReferenceData_Metal!$B$2:$I$12,MIN(MATCH(A31,ReferenceData_Metal!$A$2:$A$12,1)+1,ROWS(ReferenceData_Metal!$A$2:$A$12)),MATCH(D31+0.00001,ReferenceData_Metal!$B$1:$I$1,1)) +
    (1 - (A31 - INDEX(ReferenceData_Metal!$A$2:$A$12,MATCH(A31,ReferenceData_Metal!$A$2:$A$12,1))) /
      (INDEX(ReferenceData_Metal!$A$2:$A$12,MIN(MATCH(A31,ReferenceData_Metal!$A$2:$A$12,1)+1,ROWS(ReferenceData_Metal!$A$2:$A$12))) - INDEX(ReferenceData_Metal!$A$2:$A$12,MATCH(A31,ReferenceData_Metal!$A$2:$A$12,1))))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INDEX(ReferenceData_Metal!$B$2:$I$12,MATCH(A31,ReferenceData_Metal!$A$2:$A$12,1),MIN(MATCH(D31+0.00001,ReferenceData_Metal!$B$1:$I$1,1)+1,COLUMNS(ReferenceData_Metal!$B$1:$I$1))) +
    ((A31 - INDEX(ReferenceData_Metal!$A$2:$A$12,MATCH(A31,ReferenceData_Metal!$A$2:$A$12,1))) /
      (INDEX(ReferenceData_Metal!$A$2:$A$12,MIN(MATCH(A31,ReferenceData_Metal!$A$2:$A$12,1)+1,ROWS(ReferenceData_Metal!$A$2:$A$12))) - INDEX(ReferenceData_Metal!$A$2:$A$12,MATCH(A31,ReferenceData_Metal!$A$2:$A$12,1)))) *
    ((D31+0.00001 - INDEX(ReferenceData_Metal!$B$1:$I$1,MATCH(D31+0.00001,ReferenceData_Metal!$B$1:$I$1,1))) /
      (INDEX(ReferenceData_Metal!$B$1:$I$1,MIN(MATCH(D31+0.00001,ReferenceData_Metal!$B$1:$I$1,1)+1,COLUMNS(ReferenceData_Metal!$B$1:$I$1))) - INDEX(ReferenceData_Metal!$B$1:$I$1,MATCH(D31+0.00001,ReferenceData_Metal!$B$1:$I$1,1)))) *
    INDEX(ReferenceData_Metal!$B$2:$I$12,MIN(MATCH(A31,ReferenceData_Metal!$A$2:$A$12,1)+1,ROWS(ReferenceData_Metal!$A$2:$A$12)),MIN(MATCH(D31+0.00001,ReferenceData_Metal!$B$1:$I$1,1)+1,COLUMNS(ReferenceData_Metal!$B$1:$I$1)))
  )
)</f>
        <v>0.30180775999999998</v>
      </c>
      <c r="D31">
        <f>MDC_KDF_Calculator!$D$15</f>
        <v>0.3</v>
      </c>
      <c r="M31" s="13">
        <f>MDC_KDF_Calculator!$D$19</f>
        <v>333.33333333333331</v>
      </c>
      <c r="N31">
        <f t="shared" si="0"/>
        <v>0.38616287503446278</v>
      </c>
      <c r="O31" s="102">
        <f t="shared" si="1"/>
        <v>-0.13114963206495101</v>
      </c>
    </row>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3DD2-8A75-44C3-B721-07DE60A90033}">
  <dimension ref="A1:G79"/>
  <sheetViews>
    <sheetView topLeftCell="A51" workbookViewId="0">
      <selection activeCell="G74" sqref="G74"/>
    </sheetView>
  </sheetViews>
  <sheetFormatPr baseColWidth="10" defaultColWidth="11.5703125" defaultRowHeight="15"/>
  <sheetData>
    <row r="1" spans="1:7">
      <c r="A1" s="62" t="s">
        <v>139</v>
      </c>
      <c r="B1" s="63"/>
      <c r="C1" s="63"/>
      <c r="D1" s="63"/>
      <c r="E1" s="63" t="s">
        <v>141</v>
      </c>
      <c r="F1" s="63"/>
      <c r="G1" s="64"/>
    </row>
    <row r="2" spans="1:7">
      <c r="A2" s="65" t="s">
        <v>140</v>
      </c>
      <c r="B2" s="66"/>
      <c r="C2" s="66"/>
      <c r="D2" s="66"/>
      <c r="E2" s="66" t="s">
        <v>142</v>
      </c>
      <c r="F2" s="66"/>
      <c r="G2" s="67"/>
    </row>
    <row r="3" spans="1:7">
      <c r="A3" s="65" t="s">
        <v>144</v>
      </c>
      <c r="B3" s="66"/>
      <c r="C3" s="66"/>
      <c r="D3" s="66"/>
      <c r="E3" s="66" t="s">
        <v>143</v>
      </c>
      <c r="F3" s="66"/>
      <c r="G3" s="67"/>
    </row>
    <row r="4" spans="1:7" ht="15.75">
      <c r="A4" s="68" t="s">
        <v>145</v>
      </c>
      <c r="B4" s="69"/>
      <c r="C4" s="72" t="s">
        <v>68</v>
      </c>
      <c r="D4" s="71"/>
      <c r="E4" s="71"/>
      <c r="F4" s="69"/>
      <c r="G4" s="70"/>
    </row>
    <row r="7" spans="1:7" ht="15.75">
      <c r="A7" s="54" t="s">
        <v>70</v>
      </c>
    </row>
    <row r="8" spans="1:7">
      <c r="A8" s="53"/>
    </row>
    <row r="9" spans="1:7">
      <c r="A9" s="53" t="s">
        <v>71</v>
      </c>
    </row>
    <row r="10" spans="1:7">
      <c r="A10" s="53"/>
    </row>
    <row r="11" spans="1:7">
      <c r="A11" s="53"/>
    </row>
    <row r="12" spans="1:7">
      <c r="A12" s="58"/>
    </row>
    <row r="13" spans="1:7">
      <c r="A13" s="60" t="s">
        <v>72</v>
      </c>
    </row>
    <row r="14" spans="1:7">
      <c r="A14" s="58"/>
    </row>
    <row r="15" spans="1:7">
      <c r="A15" s="60" t="s">
        <v>73</v>
      </c>
    </row>
    <row r="16" spans="1:7">
      <c r="A16" s="58"/>
    </row>
    <row r="17" spans="1:1">
      <c r="A17" s="60" t="s">
        <v>74</v>
      </c>
    </row>
    <row r="18" spans="1:1">
      <c r="A18" s="58"/>
    </row>
    <row r="19" spans="1:1">
      <c r="A19" s="60" t="s">
        <v>75</v>
      </c>
    </row>
    <row r="20" spans="1:1">
      <c r="A20" s="58"/>
    </row>
    <row r="21" spans="1:1">
      <c r="A21" s="60" t="s">
        <v>76</v>
      </c>
    </row>
    <row r="22" spans="1:1">
      <c r="A22" s="53"/>
    </row>
    <row r="23" spans="1:1">
      <c r="A23" s="53" t="s">
        <v>77</v>
      </c>
    </row>
    <row r="24" spans="1:1">
      <c r="A24" s="53"/>
    </row>
    <row r="25" spans="1:1">
      <c r="A25" s="53" t="s">
        <v>78</v>
      </c>
    </row>
    <row r="29" spans="1:1" ht="15.75">
      <c r="A29" s="54" t="s">
        <v>79</v>
      </c>
    </row>
    <row r="30" spans="1:1">
      <c r="A30" s="53"/>
    </row>
    <row r="31" spans="1:1">
      <c r="A31" s="53" t="s">
        <v>80</v>
      </c>
    </row>
    <row r="32" spans="1:1">
      <c r="A32" s="53"/>
    </row>
    <row r="33" spans="1:1">
      <c r="A33" s="53" t="s">
        <v>81</v>
      </c>
    </row>
    <row r="37" spans="1:1" ht="15.75">
      <c r="A37" s="54" t="s">
        <v>82</v>
      </c>
    </row>
    <row r="38" spans="1:1">
      <c r="A38" s="53"/>
    </row>
    <row r="39" spans="1:1">
      <c r="A39" s="53" t="s">
        <v>83</v>
      </c>
    </row>
    <row r="40" spans="1:1">
      <c r="A40" s="53"/>
    </row>
    <row r="41" spans="1:1">
      <c r="A41" s="53"/>
    </row>
    <row r="42" spans="1:1">
      <c r="A42" s="58"/>
    </row>
    <row r="43" spans="1:1">
      <c r="A43" s="59" t="s">
        <v>84</v>
      </c>
    </row>
    <row r="44" spans="1:1">
      <c r="A44" s="58"/>
    </row>
    <row r="45" spans="1:1">
      <c r="A45" s="59" t="s">
        <v>85</v>
      </c>
    </row>
    <row r="46" spans="1:1">
      <c r="A46" s="53"/>
    </row>
    <row r="47" spans="1:1">
      <c r="A47" s="53" t="s">
        <v>86</v>
      </c>
    </row>
    <row r="48" spans="1:1">
      <c r="A48" s="53"/>
    </row>
    <row r="49" spans="1:1">
      <c r="A49" s="53" t="s">
        <v>87</v>
      </c>
    </row>
    <row r="53" spans="1:1" ht="15.75">
      <c r="A53" s="54" t="s">
        <v>92</v>
      </c>
    </row>
    <row r="54" spans="1:1">
      <c r="A54" s="53"/>
    </row>
    <row r="55" spans="1:1">
      <c r="A55" s="53" t="s">
        <v>88</v>
      </c>
    </row>
    <row r="56" spans="1:1">
      <c r="A56" s="53"/>
    </row>
    <row r="57" spans="1:1">
      <c r="A57" s="53" t="s">
        <v>89</v>
      </c>
    </row>
    <row r="58" spans="1:1">
      <c r="A58" s="53"/>
    </row>
    <row r="59" spans="1:1">
      <c r="A59" s="53" t="s">
        <v>90</v>
      </c>
    </row>
    <row r="63" spans="1:1" ht="15.75">
      <c r="A63" s="54" t="s">
        <v>162</v>
      </c>
    </row>
    <row r="65" spans="1:1">
      <c r="A65" s="53" t="s">
        <v>163</v>
      </c>
    </row>
    <row r="66" spans="1:1">
      <c r="A66" s="53"/>
    </row>
    <row r="67" spans="1:1">
      <c r="A67" s="53" t="s">
        <v>164</v>
      </c>
    </row>
    <row r="68" spans="1:1">
      <c r="A68" s="53"/>
    </row>
    <row r="69" spans="1:1">
      <c r="A69" s="53" t="s">
        <v>165</v>
      </c>
    </row>
    <row r="73" spans="1:1" ht="15.75">
      <c r="A73" s="54" t="s">
        <v>264</v>
      </c>
    </row>
    <row r="75" spans="1:1">
      <c r="A75" s="53" t="s">
        <v>163</v>
      </c>
    </row>
    <row r="76" spans="1:1">
      <c r="A76" s="53"/>
    </row>
    <row r="77" spans="1:1">
      <c r="A77" s="53" t="s">
        <v>266</v>
      </c>
    </row>
    <row r="78" spans="1:1">
      <c r="A78" s="53"/>
    </row>
    <row r="79" spans="1:1">
      <c r="A79" s="53" t="s">
        <v>265</v>
      </c>
    </row>
  </sheetData>
  <hyperlinks>
    <hyperlink ref="C4" r:id="rId1" xr:uid="{2F19045B-2433-4192-8DD4-D9BDBEAB979E}"/>
  </hyperlinks>
  <pageMargins left="0.7" right="0.7" top="0.78740157499999996" bottom="0.78740157499999996"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8DF86-0869-450C-AF25-4B569BE15110}">
  <dimension ref="A1:B23"/>
  <sheetViews>
    <sheetView workbookViewId="0">
      <selection activeCell="B19" sqref="B19"/>
    </sheetView>
  </sheetViews>
  <sheetFormatPr baseColWidth="10" defaultRowHeight="15"/>
  <cols>
    <col min="1" max="1" width="69" customWidth="1"/>
    <col min="2" max="2" width="54.140625" customWidth="1"/>
  </cols>
  <sheetData>
    <row r="1" spans="1:2">
      <c r="A1" t="s">
        <v>204</v>
      </c>
    </row>
    <row r="2" spans="1:2">
      <c r="A2" t="s">
        <v>205</v>
      </c>
    </row>
    <row r="3" spans="1:2">
      <c r="A3" s="109" t="s">
        <v>206</v>
      </c>
      <c r="B3" s="108"/>
    </row>
    <row r="4" spans="1:2" ht="40.5" customHeight="1">
      <c r="A4" s="109"/>
      <c r="B4" s="108"/>
    </row>
    <row r="5" spans="1:2" ht="23.25" customHeight="1">
      <c r="A5" s="109" t="s">
        <v>207</v>
      </c>
      <c r="B5" s="108"/>
    </row>
    <row r="6" spans="1:2" ht="26.25" customHeight="1">
      <c r="A6" s="109" t="s">
        <v>208</v>
      </c>
      <c r="B6" s="108"/>
    </row>
    <row r="7" spans="1:2" ht="27.75" customHeight="1">
      <c r="A7" s="109"/>
      <c r="B7" s="108"/>
    </row>
    <row r="8" spans="1:2" ht="60" customHeight="1">
      <c r="A8" s="109" t="s">
        <v>209</v>
      </c>
      <c r="B8" s="108"/>
    </row>
    <row r="9" spans="1:2" ht="31.5" customHeight="1">
      <c r="A9" s="109" t="s">
        <v>210</v>
      </c>
      <c r="B9" s="108"/>
    </row>
    <row r="10" spans="1:2">
      <c r="A10" s="109"/>
      <c r="B10" s="110"/>
    </row>
    <row r="11" spans="1:2">
      <c r="A11" t="s">
        <v>211</v>
      </c>
    </row>
    <row r="12" spans="1:2">
      <c r="A12" t="s">
        <v>212</v>
      </c>
    </row>
    <row r="14" spans="1:2">
      <c r="A14" s="52" t="s">
        <v>213</v>
      </c>
    </row>
    <row r="15" spans="1:2">
      <c r="A15" t="s">
        <v>214</v>
      </c>
    </row>
    <row r="17" spans="1:1">
      <c r="A17" t="s">
        <v>215</v>
      </c>
    </row>
    <row r="18" spans="1:1">
      <c r="A18" t="s">
        <v>216</v>
      </c>
    </row>
    <row r="20" spans="1:1">
      <c r="A20" t="s">
        <v>217</v>
      </c>
    </row>
    <row r="22" spans="1:1">
      <c r="A22" t="s">
        <v>218</v>
      </c>
    </row>
    <row r="23" spans="1:1">
      <c r="A23" t="s">
        <v>219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10</vt:i4>
      </vt:variant>
    </vt:vector>
  </HeadingPairs>
  <TitlesOfParts>
    <vt:vector size="20" baseType="lpstr">
      <vt:lpstr>Dashboard</vt:lpstr>
      <vt:lpstr>MDC_KDF_Calculator</vt:lpstr>
      <vt:lpstr>Disclaimer</vt:lpstr>
      <vt:lpstr>Development_Roadmap</vt:lpstr>
      <vt:lpstr>License_Terms</vt:lpstr>
      <vt:lpstr>Tool Version ID</vt:lpstr>
      <vt:lpstr>ReferenceData_Metal_CI</vt:lpstr>
      <vt:lpstr>ReferenceData_Metal</vt:lpstr>
      <vt:lpstr>Changelog</vt:lpstr>
      <vt:lpstr>Impressum</vt:lpstr>
      <vt:lpstr>ReferenceData_Metal_CI!KDF_M</vt:lpstr>
      <vt:lpstr>KDF_M</vt:lpstr>
      <vt:lpstr>ReferenceData_Metal_CI!KDF_M1</vt:lpstr>
      <vt:lpstr>KDF_M1</vt:lpstr>
      <vt:lpstr>ReferenceData_Metal!KDFTable</vt:lpstr>
      <vt:lpstr>ReferenceData_Metal_CI!KDFTable</vt:lpstr>
      <vt:lpstr>ReferenceData_Metal_CI!KDFTable_M</vt:lpstr>
      <vt:lpstr>KDFTable_M</vt:lpstr>
      <vt:lpstr>ReferenceData_Metal_CI!ReferenceData_Metal</vt:lpstr>
      <vt:lpstr>ReferenceData_Metal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Wagner</dc:creator>
  <cp:lastModifiedBy>Ronald Wagner</cp:lastModifiedBy>
  <dcterms:created xsi:type="dcterms:W3CDTF">2025-07-10T08:09:49Z</dcterms:created>
  <dcterms:modified xsi:type="dcterms:W3CDTF">2025-07-17T12:31:00Z</dcterms:modified>
</cp:coreProperties>
</file>