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E:\Paper\2024_UBER_MGI_Paper\Repository\"/>
    </mc:Choice>
  </mc:AlternateContent>
  <xr:revisionPtr revIDLastSave="0" documentId="13_ncr:1_{C28DEA9D-C28E-4AF4-9F24-F0269895EDBC}" xr6:coauthVersionLast="47" xr6:coauthVersionMax="47" xr10:uidLastSave="{00000000-0000-0000-0000-000000000000}"/>
  <bookViews>
    <workbookView xWindow="28680" yWindow="-120" windowWidth="25440" windowHeight="15270" tabRatio="827" xr2:uid="{B8E74E24-62B7-47A7-AE6C-4587ADC79098}"/>
  </bookViews>
  <sheets>
    <sheet name="Start" sheetId="1" r:id="rId1"/>
    <sheet name="Shell_KDF_Calculator (Metric)" sheetId="5" r:id="rId2"/>
    <sheet name="Disclaimer" sheetId="7" r:id="rId3"/>
    <sheet name="License" sheetId="8" r:id="rId4"/>
    <sheet name="ReferenceData_Metal_CI" sheetId="6" state="hidden" r:id="rId5"/>
    <sheet name="ReferenceData_Metal" sheetId="4" state="hidden" r:id="rId6"/>
    <sheet name="Changelog" sheetId="10" r:id="rId7"/>
  </sheets>
  <definedNames>
    <definedName name="KDF_M" localSheetId="4">ReferenceData_Metal_CI!$A$1:$I$12</definedName>
    <definedName name="KDF_M">ReferenceData_Metal!$A$1:$I$12</definedName>
    <definedName name="KDF_M1" localSheetId="4">ReferenceData_Metal_CI!$A$1:$I$12</definedName>
    <definedName name="KDF_M1">ReferenceData_Metal!$A$1:$I$12</definedName>
    <definedName name="KDFTable" localSheetId="5">ReferenceData_Metal!$A$1:$Y$12</definedName>
    <definedName name="KDFTable" localSheetId="4">ReferenceData_Metal_CI!$A$1:$Y$12</definedName>
    <definedName name="KDFTable">#REF!</definedName>
    <definedName name="KDFTable_M" localSheetId="4">ReferenceData_Metal_CI!$A$1:$I$12</definedName>
    <definedName name="KDFTable_M">ReferenceData_Metal!$A$1:$I$12</definedName>
    <definedName name="ReferenceData_Metal" localSheetId="4">ReferenceData_Metal_CI!$A$1:$I$12</definedName>
    <definedName name="ReferenceData_Metal">ReferenceData_Metal!$A$1:$I$12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5" l="1" a="1"/>
  <c r="D23" i="5" s="1"/>
  <c r="D22" i="4"/>
  <c r="C22" i="4" s="1" a="1"/>
  <c r="C22" i="4" s="1"/>
  <c r="D23" i="4"/>
  <c r="C23" i="4" s="1" a="1"/>
  <c r="C23" i="4" s="1"/>
  <c r="D24" i="4"/>
  <c r="C24" i="4" s="1" a="1"/>
  <c r="C24" i="4" s="1"/>
  <c r="D25" i="4"/>
  <c r="C25" i="4" s="1" a="1"/>
  <c r="C25" i="4" s="1"/>
  <c r="D26" i="4"/>
  <c r="C26" i="4" s="1" a="1"/>
  <c r="C26" i="4" s="1"/>
  <c r="D27" i="4"/>
  <c r="C27" i="4" s="1" a="1"/>
  <c r="C27" i="4" s="1"/>
  <c r="D28" i="4"/>
  <c r="C28" i="4" s="1" a="1"/>
  <c r="C28" i="4" s="1"/>
  <c r="D29" i="4"/>
  <c r="C29" i="4" s="1" a="1"/>
  <c r="C29" i="4" s="1"/>
  <c r="D30" i="4"/>
  <c r="C30" i="4" s="1" a="1"/>
  <c r="C30" i="4" s="1"/>
  <c r="D31" i="4"/>
  <c r="C31" i="4" s="1" a="1"/>
  <c r="C31" i="4" s="1"/>
  <c r="D21" i="4"/>
  <c r="C21" i="4" s="1" a="1"/>
  <c r="C21" i="4" s="1"/>
  <c r="C19" i="4"/>
  <c r="E10" i="5"/>
  <c r="B23" i="4" a="1"/>
  <c r="B23" i="4" s="1"/>
  <c r="B24" i="4" a="1"/>
  <c r="B24" i="4" s="1"/>
  <c r="B25" i="4" a="1"/>
  <c r="B25" i="4" s="1"/>
  <c r="B26" i="4" a="1"/>
  <c r="B26" i="4" s="1"/>
  <c r="B27" i="4" a="1"/>
  <c r="B27" i="4" s="1"/>
  <c r="B28" i="4" a="1"/>
  <c r="B28" i="4" s="1"/>
  <c r="B29" i="4" a="1"/>
  <c r="B29" i="4" s="1"/>
  <c r="B30" i="4" a="1"/>
  <c r="B30" i="4" s="1"/>
  <c r="B31" i="4" a="1"/>
  <c r="B31" i="4" s="1"/>
  <c r="B22" i="4" a="1"/>
  <c r="B22" i="4" s="1"/>
  <c r="B21" i="4" a="1"/>
  <c r="B21" i="4" s="1"/>
  <c r="D18" i="5"/>
  <c r="D17" i="5"/>
  <c r="I25" i="4" l="1"/>
  <c r="I24" i="4"/>
  <c r="D15" i="5"/>
  <c r="D24" i="5" s="1" a="1"/>
  <c r="D24" i="5" s="1"/>
  <c r="D14" i="5"/>
  <c r="D13" i="5"/>
  <c r="D25" i="5" s="1"/>
  <c r="E15" i="5" l="1"/>
  <c r="E25" i="4"/>
  <c r="G25" i="4" s="1" a="1"/>
  <c r="G25" i="4" s="1"/>
  <c r="E22" i="4"/>
  <c r="G22" i="4" s="1" a="1"/>
  <c r="G22" i="4" s="1"/>
  <c r="E23" i="4"/>
  <c r="G23" i="4" s="1" a="1"/>
  <c r="G23" i="4" s="1"/>
  <c r="E24" i="4"/>
  <c r="G24" i="4" s="1" a="1"/>
  <c r="G24" i="4" s="1"/>
  <c r="E26" i="4"/>
  <c r="G26" i="4" s="1" a="1"/>
  <c r="G26" i="4" s="1"/>
  <c r="E27" i="4"/>
  <c r="G27" i="4" s="1" a="1"/>
  <c r="G27" i="4" s="1"/>
  <c r="E28" i="4"/>
  <c r="G28" i="4" s="1" a="1"/>
  <c r="G28" i="4" s="1"/>
  <c r="E21" i="4"/>
  <c r="G21" i="4" s="1" a="1"/>
  <c r="G21" i="4" s="1"/>
  <c r="D20" i="5"/>
  <c r="E20" i="5" s="1"/>
  <c r="K25" i="4" l="1" a="1"/>
  <c r="K25" i="4" s="1"/>
  <c r="K24" i="4" a="1"/>
  <c r="K24" i="4" s="1"/>
  <c r="I21" i="4"/>
  <c r="D29" i="5"/>
  <c r="D28"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<sst xmlns="http://schemas.openxmlformats.org/spreadsheetml/2006/main" count="156" uniqueCount="134">
  <si>
    <t>It provides a practical alternative to the conservative NASA SP-8007 approach.</t>
  </si>
  <si>
    <t>Welcome!</t>
  </si>
  <si>
    <t>R/t</t>
  </si>
  <si>
    <t>L/R</t>
  </si>
  <si>
    <t>Z</t>
  </si>
  <si>
    <t>N_elastic</t>
  </si>
  <si>
    <t>N_plastic</t>
  </si>
  <si>
    <t>Elasticity Modulus</t>
  </si>
  <si>
    <t>Relative Slenderness</t>
  </si>
  <si>
    <t>Batdorf Parameter</t>
  </si>
  <si>
    <t>Radius-to-Thickness ratio</t>
  </si>
  <si>
    <t xml:space="preserve">Length-to-Radius ratio </t>
  </si>
  <si>
    <t>l</t>
  </si>
  <si>
    <t>Imperfection Amplitude-to-Thickness ratio</t>
  </si>
  <si>
    <t>w/t</t>
  </si>
  <si>
    <t>R</t>
  </si>
  <si>
    <t>L</t>
  </si>
  <si>
    <t>t</t>
  </si>
  <si>
    <t>E</t>
  </si>
  <si>
    <t>Y</t>
  </si>
  <si>
    <t>n</t>
  </si>
  <si>
    <t xml:space="preserve">Cylinder Wall Thickness </t>
  </si>
  <si>
    <t xml:space="preserve">Yield Stress </t>
  </si>
  <si>
    <t xml:space="preserve">Poissons ratio </t>
  </si>
  <si>
    <t>Input</t>
  </si>
  <si>
    <t>Calculated</t>
  </si>
  <si>
    <t>Elastic Buckling Load</t>
  </si>
  <si>
    <t>Plastic Buckling Load</t>
  </si>
  <si>
    <t>99 % Confidence Intervall</t>
  </si>
  <si>
    <t>Weight Saving vs. SP-8007</t>
  </si>
  <si>
    <t>MDC KDF</t>
  </si>
  <si>
    <t>NASA KDF</t>
  </si>
  <si>
    <t>Assessment</t>
  </si>
  <si>
    <t>Mechanistic (1 % Quantil)</t>
  </si>
  <si>
    <t xml:space="preserve">SP-8007 </t>
  </si>
  <si>
    <t>SP-8019</t>
  </si>
  <si>
    <t>Design Load</t>
  </si>
  <si>
    <t>mm</t>
  </si>
  <si>
    <t>MPa</t>
  </si>
  <si>
    <t>kN</t>
  </si>
  <si>
    <t>w/t = 0.5</t>
  </si>
  <si>
    <t>w/t = 1</t>
  </si>
  <si>
    <t>w/t = 2</t>
  </si>
  <si>
    <t>w/t = 3</t>
  </si>
  <si>
    <t>w/t = 4</t>
  </si>
  <si>
    <t>w/t = 6</t>
  </si>
  <si>
    <t>w/t = 8</t>
  </si>
  <si>
    <t>Batdorf Parameter Z</t>
  </si>
  <si>
    <t>Knockdown Factor</t>
  </si>
  <si>
    <t>perfect shell</t>
  </si>
  <si>
    <t>Current w/t ratio</t>
  </si>
  <si>
    <t>Activ KDF</t>
  </si>
  <si>
    <r>
      <t>Developed by:</t>
    </r>
    <r>
      <rPr>
        <sz val="11"/>
        <color theme="1"/>
        <rFont val="Aptos Narrow"/>
        <family val="2"/>
        <scheme val="minor"/>
      </rPr>
      <t xml:space="preserve"> Dr.-Ing. Heinz Wagner</t>
    </r>
  </si>
  <si>
    <r>
      <t>Version:</t>
    </r>
    <r>
      <rPr>
        <sz val="11"/>
        <color theme="1"/>
        <rFont val="Aptos Narrow"/>
        <family val="2"/>
        <scheme val="minor"/>
      </rPr>
      <t xml:space="preserve"> v1.0 — July 2025</t>
    </r>
  </si>
  <si>
    <t>This Excel tool is freely available for non-commercial, personal, or academic use.</t>
  </si>
  <si>
    <t>Commercial use requires a paid license. If you or your organization use this tool to support design decisions in an industrial or commercial setting, please consider purchasing a license to support further development.</t>
  </si>
  <si>
    <t xml:space="preserve">Currently supported:  </t>
  </si>
  <si>
    <t>✅ Cylindrical and conical shells under axial compression</t>
  </si>
  <si>
    <t xml:space="preserve">Planned updates:  </t>
  </si>
  <si>
    <t>…</t>
  </si>
  <si>
    <t xml:space="preserve">🔜 Bending (December 2025)  </t>
  </si>
  <si>
    <t>🔜 External pressure - spherical shells (2026)</t>
  </si>
  <si>
    <t>🔜 Combined loading  (2027)</t>
  </si>
  <si>
    <t>Future updates will include bending, pressure, and composites.</t>
  </si>
  <si>
    <t>Licensing is honor-based. If this tool helps your project or saves significant cost, please be fair and contribute.</t>
  </si>
  <si>
    <t>Licensing</t>
  </si>
  <si>
    <t>🧪 1. Academic / Non-Commercial License</t>
  </si>
  <si>
    <r>
      <t>Price:</t>
    </r>
    <r>
      <rPr>
        <sz val="11"/>
        <color theme="1"/>
        <rFont val="Aptos Narrow"/>
        <family val="2"/>
        <scheme val="minor"/>
      </rPr>
      <t xml:space="preserve"> Free (donations welcome)</t>
    </r>
  </si>
  <si>
    <r>
      <t>Eligibility:</t>
    </r>
    <r>
      <rPr>
        <sz val="11"/>
        <color theme="1"/>
        <rFont val="Aptos Narrow"/>
        <family val="2"/>
        <scheme val="minor"/>
      </rPr>
      <t xml:space="preserve"> Students, universities, hobbyists</t>
    </r>
  </si>
  <si>
    <r>
      <t>Usage:</t>
    </r>
    <r>
      <rPr>
        <sz val="11"/>
        <color theme="1"/>
        <rFont val="Aptos Narrow"/>
        <family val="2"/>
        <scheme val="minor"/>
      </rPr>
      <t xml:space="preserve"> Non-commercial only (research, teaching, personal projects)</t>
    </r>
  </si>
  <si>
    <t>🧑‍💼 2. Commercial Single-User License – Small Entity</t>
  </si>
  <si>
    <r>
      <t>Price:</t>
    </r>
    <r>
      <rPr>
        <sz val="11"/>
        <color theme="1"/>
        <rFont val="Aptos Narrow"/>
        <family val="2"/>
        <scheme val="minor"/>
      </rPr>
      <t xml:space="preserve"> €99 (one-time)</t>
    </r>
  </si>
  <si>
    <r>
      <t>Eligibility:</t>
    </r>
    <r>
      <rPr>
        <sz val="11"/>
        <color theme="1"/>
        <rFont val="Aptos Narrow"/>
        <family val="2"/>
        <scheme val="minor"/>
      </rPr>
      <t xml:space="preserve"> Freelancers, startups, or companies with </t>
    </r>
    <r>
      <rPr>
        <b/>
        <sz val="11"/>
        <color theme="1"/>
        <rFont val="Aptos Narrow"/>
        <family val="2"/>
        <scheme val="minor"/>
      </rPr>
      <t>&lt;10 employees</t>
    </r>
    <r>
      <rPr>
        <sz val="11"/>
        <color theme="1"/>
        <rFont val="Aptos Narrow"/>
        <family val="2"/>
        <scheme val="minor"/>
      </rPr>
      <t xml:space="preserve"> or </t>
    </r>
    <r>
      <rPr>
        <b/>
        <sz val="11"/>
        <color theme="1"/>
        <rFont val="Aptos Narrow"/>
        <family val="2"/>
        <scheme val="minor"/>
      </rPr>
      <t>&lt;€500,000 annual revenue</t>
    </r>
  </si>
  <si>
    <r>
      <t>Usage:</t>
    </r>
    <r>
      <rPr>
        <sz val="11"/>
        <color theme="1"/>
        <rFont val="Aptos Narrow"/>
        <family val="2"/>
        <scheme val="minor"/>
      </rPr>
      <t xml:space="preserve"> Commercial use by a single individual on one device</t>
    </r>
  </si>
  <si>
    <t>👥 3. Commercial Team License – Medium-Size Companies</t>
  </si>
  <si>
    <r>
      <t>Price:</t>
    </r>
    <r>
      <rPr>
        <sz val="11"/>
        <color theme="1"/>
        <rFont val="Aptos Narrow"/>
        <family val="2"/>
        <scheme val="minor"/>
      </rPr>
      <t xml:space="preserve"> €499 (one-time)</t>
    </r>
  </si>
  <si>
    <r>
      <t>Eligibility:</t>
    </r>
    <r>
      <rPr>
        <sz val="11"/>
        <color theme="1"/>
        <rFont val="Aptos Narrow"/>
        <family val="2"/>
        <scheme val="minor"/>
      </rPr>
      <t xml:space="preserve"> Companies with up to 100 employees</t>
    </r>
  </si>
  <si>
    <r>
      <t>Usage:</t>
    </r>
    <r>
      <rPr>
        <sz val="11"/>
        <color theme="1"/>
        <rFont val="Aptos Narrow"/>
        <family val="2"/>
        <scheme val="minor"/>
      </rPr>
      <t xml:space="preserve"> Commercial use on up to </t>
    </r>
    <r>
      <rPr>
        <b/>
        <sz val="11"/>
        <color theme="1"/>
        <rFont val="Aptos Narrow"/>
        <family val="2"/>
        <scheme val="minor"/>
      </rPr>
      <t>5 devices</t>
    </r>
    <r>
      <rPr>
        <sz val="11"/>
        <color theme="1"/>
        <rFont val="Aptos Narrow"/>
        <family val="2"/>
        <scheme val="minor"/>
      </rPr>
      <t xml:space="preserve"> within the same company</t>
    </r>
  </si>
  <si>
    <t>🏢 4. Enterprise License – Large Corporations</t>
  </si>
  <si>
    <r>
      <t>Price:</t>
    </r>
    <r>
      <rPr>
        <sz val="11"/>
        <color theme="1"/>
        <rFont val="Aptos Narrow"/>
        <family val="2"/>
        <scheme val="minor"/>
      </rPr>
      <t xml:space="preserve"> €4999+ (pricing upon request)</t>
    </r>
  </si>
  <si>
    <r>
      <t>Eligibility:</t>
    </r>
    <r>
      <rPr>
        <sz val="11"/>
        <color theme="1"/>
        <rFont val="Aptos Narrow"/>
        <family val="2"/>
        <scheme val="minor"/>
      </rPr>
      <t xml:space="preserve"> Large corporations (e.g. aerospace, defense, automotive)</t>
    </r>
  </si>
  <si>
    <r>
      <t>Usage:</t>
    </r>
    <r>
      <rPr>
        <sz val="11"/>
        <color theme="1"/>
        <rFont val="Aptos Narrow"/>
        <family val="2"/>
        <scheme val="minor"/>
      </rPr>
      <t xml:space="preserve"> Unlimited users and devices within the company; optional support contract</t>
    </r>
  </si>
  <si>
    <t>Note: All licenses purchased before 01.12.2025 include axial compression only. Bending will be added in v2.0 and may increase the price.</t>
  </si>
  <si>
    <t>⚖️ Fair Use Policy</t>
  </si>
  <si>
    <t>“If you're a one-person business, pay like one. If you're a giant aerospace company, support us accordingly — you're benefiting the most.”</t>
  </si>
  <si>
    <t>We rely on an honesty-based system. Please choose the license tier that matches your company size and usage.</t>
  </si>
  <si>
    <t>📩 Contact</t>
  </si>
  <si>
    <t>For licensing questions, volume pricing, or enterprise support, please contact:</t>
  </si>
  <si>
    <r>
      <t xml:space="preserve">This Excel tool computes knockdown factors (KDFs) for axially compressed cylindrical shells based on </t>
    </r>
    <r>
      <rPr>
        <b/>
        <sz val="12"/>
        <color theme="1"/>
        <rFont val="Aptos Narrow"/>
        <family val="2"/>
        <scheme val="minor"/>
      </rPr>
      <t>Structured Chaos: Redefining the Design of Buckling-Critical Cylindrical Shells</t>
    </r>
    <r>
      <rPr>
        <sz val="12"/>
        <color theme="1"/>
        <rFont val="Aptos Narrow"/>
        <family val="2"/>
        <scheme val="minor"/>
      </rPr>
      <t xml:space="preserve"> (Wagner et al., 2025).</t>
    </r>
  </si>
  <si>
    <t>This Excel-based shell buckling tool is provided “as is” without any guarantees or warranties. The authors assume no liability for any damages, losses, or consequences arising from its use, misuse, or interpretation. Use at your own risk.</t>
  </si>
  <si>
    <t>2. Licensing Information</t>
  </si>
  <si>
    <t>See separate sheet “License” for usage rights and pricing model.</t>
  </si>
  <si>
    <t>3. Scope and Assumptions of the Mechanistic Design Curve (MDC)</t>
  </si>
  <si>
    <t>The MDC KDFs presented here are derived from extensive Monte Carlo simulations, following a consistent set of modeling assumptions to ensure robustness and comparability. The primary constraints include:</t>
  </si>
  <si>
    <r>
      <t>Boundary conditions</t>
    </r>
    <r>
      <rPr>
        <sz val="11"/>
        <color theme="1"/>
        <rFont val="Aptos Narrow"/>
        <family val="2"/>
        <scheme val="minor"/>
      </rPr>
      <t>: The shell is clamped at both ends, while one end remains free to move axially, allowing compression to be applied.</t>
    </r>
  </si>
  <si>
    <r>
      <t>Material properties</t>
    </r>
    <r>
      <rPr>
        <sz val="11"/>
        <color theme="1"/>
        <rFont val="Aptos Narrow"/>
        <family val="2"/>
        <scheme val="minor"/>
      </rPr>
      <t>: The analysis assumes an isotropic, homogeneous material.</t>
    </r>
  </si>
  <si>
    <r>
      <t>Linearity assumption</t>
    </r>
    <r>
      <rPr>
        <sz val="11"/>
        <color theme="1"/>
        <rFont val="Aptos Narrow"/>
        <family val="2"/>
        <scheme val="minor"/>
      </rPr>
      <t>: The study considers linear-elastic stability for relative slenderness ratios λ &gt; 1.45 with</t>
    </r>
  </si>
  <si>
    <r>
      <t>Imperfection types</t>
    </r>
    <r>
      <rPr>
        <sz val="11"/>
        <color theme="1"/>
        <rFont val="Aptos Narrow"/>
        <family val="2"/>
        <scheme val="minor"/>
      </rPr>
      <t>: The Monte Carlo dataset accounts for typical metal shells (machining, axial welding, electroplating, and deep drawing) but does not account for strong radial imperfections (e.g., welded joints, circumferential misalignments), meaning the MDC may not be valid for shells with dominant manufacturing defects in this category.</t>
    </r>
  </si>
  <si>
    <t xml:space="preserve">1. Legal Disclaimer </t>
  </si>
  <si>
    <t>Cylinder Length  / Slant Length</t>
  </si>
  <si>
    <t>Cylinder Radius / Mean Radius of Curvature</t>
  </si>
  <si>
    <r>
      <t>Load Case</t>
    </r>
    <r>
      <rPr>
        <sz val="11"/>
        <color theme="1"/>
        <rFont val="Aptos Narrow"/>
        <family val="2"/>
        <scheme val="minor"/>
      </rPr>
      <t>: Axial Compression only</t>
    </r>
  </si>
  <si>
    <t>Author &amp; Contact</t>
  </si>
  <si>
    <t>Results are indicative and must be reviewed by a qualified structural engineer.</t>
  </si>
  <si>
    <r>
      <rPr>
        <b/>
        <sz val="11"/>
        <color theme="1"/>
        <rFont val="Aptos Narrow"/>
        <family val="2"/>
        <scheme val="minor"/>
      </rPr>
      <t>CFRP Composite:</t>
    </r>
    <r>
      <rPr>
        <sz val="11"/>
        <color theme="1"/>
        <rFont val="Aptos Narrow"/>
        <family val="2"/>
        <scheme val="minor"/>
      </rPr>
      <t xml:space="preserve"> This tool is not yet validated for composite shells.</t>
    </r>
  </si>
  <si>
    <t>🔜 Compression + Plasticity (2026)</t>
  </si>
  <si>
    <t xml:space="preserve">🔜 CFRP Composite shells (December 2025)  </t>
  </si>
  <si>
    <t>mdc.buckling@proton.me</t>
  </si>
  <si>
    <r>
      <t>Contact:</t>
    </r>
    <r>
      <rPr>
        <sz val="11"/>
        <color theme="1"/>
        <rFont val="Aptos Narrow"/>
        <family val="2"/>
        <scheme val="minor"/>
      </rPr>
      <t xml:space="preserve"> mdc.buckling@proton.me</t>
    </r>
  </si>
  <si>
    <r>
      <t xml:space="preserve">📧 </t>
    </r>
    <r>
      <rPr>
        <b/>
        <sz val="11"/>
        <color theme="1"/>
        <rFont val="Aptos Narrow"/>
        <family val="2"/>
        <scheme val="minor"/>
      </rPr>
      <t>mdc.buckling@proton.me</t>
    </r>
  </si>
  <si>
    <t>✅ v1.0.0 – Initial Version</t>
  </si>
  <si>
    <t>Created initial sheet structure:</t>
  </si>
  <si>
    <t>Start</t>
  </si>
  <si>
    <t>Shell_KDF_Calculator (Metric)</t>
  </si>
  <si>
    <t>Disclaimer</t>
  </si>
  <si>
    <t>License</t>
  </si>
  <si>
    <t>ReferenceData_Metal</t>
  </si>
  <si>
    <t>Implemented structured input form for shell geometry and loading conditions</t>
  </si>
  <si>
    <t>Added basic logic for KDF lookup based on Mechanistic Design Curve (MDC)</t>
  </si>
  <si>
    <t>🔧 v1.0.5 – Calculation Engine Update</t>
  </si>
  <si>
    <r>
      <t xml:space="preserve">Implemented 2D interpolation using Excel's </t>
    </r>
    <r>
      <rPr>
        <sz val="10"/>
        <color theme="1"/>
        <rFont val="Arial Unicode MS"/>
      </rPr>
      <t>LET()</t>
    </r>
    <r>
      <rPr>
        <sz val="11"/>
        <color theme="1"/>
        <rFont val="Aptos Narrow"/>
        <family val="2"/>
        <scheme val="minor"/>
      </rPr>
      <t xml:space="preserve"> function</t>
    </r>
  </si>
  <si>
    <r>
      <t xml:space="preserve">Added support for backward compatibility with Excel 2019 (using named ranges instead of </t>
    </r>
    <r>
      <rPr>
        <sz val="10"/>
        <color theme="1"/>
        <rFont val="Arial Unicode MS"/>
      </rPr>
      <t>LET</t>
    </r>
    <r>
      <rPr>
        <sz val="11"/>
        <color theme="1"/>
        <rFont val="Aptos Narrow"/>
        <family val="2"/>
        <scheme val="minor"/>
      </rPr>
      <t>)</t>
    </r>
  </si>
  <si>
    <t>📊 v1.0.9 – Visualization &amp; Output</t>
  </si>
  <si>
    <t>Added dynamic XY plots:</t>
  </si>
  <si>
    <t>KDF vs. Z</t>
  </si>
  <si>
    <t>KDF vs. w/t</t>
  </si>
  <si>
    <t>Added conditional formatting and status indicators for validity and extrapolation warnings</t>
  </si>
  <si>
    <t>Output now visible directly on input sheet for user convenience</t>
  </si>
  <si>
    <t>Finalized disclaimer and license terms as separate sheets</t>
  </si>
  <si>
    <t>Added commercial licensing model and contact/payment information</t>
  </si>
  <si>
    <t>Cosmetic adjustments and final cleanup for public release</t>
  </si>
  <si>
    <t>For questions, support or commercial licensing, please contact us.</t>
  </si>
  <si>
    <t xml:space="preserve">🔍 Version 1.0: Axial Compression only </t>
  </si>
  <si>
    <t>📦 v1.0.13 – Refinements and Licensing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</si>
</sst>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font>
      <sz val="11"/>
      <color theme="1"/>
      <name val="Aptos Narrow"/>
      <family val="2"/>
      <scheme val="minor"/>
    </font>
    <font>
      <sz val="11"/>
      <color theme="1"/>
      <name val="Aptos Narrow"/>
      <family val="2"/>
      <scheme val="minor"/>
    </font>
    <font>
      <b/>
      <sz val="11"/>
      <color theme="1"/>
      <name val="Aptos Narrow"/>
      <family val="2"/>
      <scheme val="minor"/>
    </font>
    <font>
      <b/>
      <sz val="14"/>
      <color rgb="FF003366"/>
      <name val="Aptos Narrow"/>
      <family val="2"/>
      <scheme val="minor"/>
    </font>
    <font>
      <sz val="12"/>
      <color theme="1"/>
      <name val="Aptos Narrow"/>
      <family val="2"/>
      <scheme val="minor"/>
    </font>
    <font>
      <sz val="11"/>
      <color theme="1"/>
      <name val="Symbol"/>
      <family val="1"/>
      <charset val="2"/>
    </font>
    <font>
      <b/>
      <sz val="12"/>
      <color theme="1"/>
      <name val="Aptos Narrow"/>
      <family val="2"/>
      <scheme val="minor"/>
    </font>
    <font>
      <b/>
      <sz val="18"/>
      <color theme="1"/>
      <name val="Aptos Narrow"/>
      <family val="2"/>
      <scheme val="minor"/>
    </font>
    <font>
      <b/>
      <sz val="13.5"/>
      <color theme="1"/>
      <name val="Aptos Narrow"/>
      <family val="2"/>
      <scheme val="minor"/>
    </font>
    <font>
      <sz val="9"/>
      <color rgb="FF5C5958"/>
      <name val="Arial"/>
      <family val="2"/>
    </font>
    <font>
      <sz val="10"/>
      <color theme="1"/>
      <name val="Arial Unicode MS"/>
    </font>
    <font>
      <u/>
      <sz val="11"/>
      <color theme="10"/>
      <name val="Aptos Narrow"/>
      <family val="2"/>
      <scheme val="minor"/>
    </font>
  </fonts>
  <fills count="11">
    <fill>
      <patternFill patternType="none"/>
    </fill>
    <fill>
      <patternFill patternType="gray125"/>
    </fill>
    <fill>
      <patternFill patternType="solid">
        <fgColor rgb="FFF0F4F8"/>
        <bgColor indexed="64"/>
      </patternFill>
    </fill>
    <fill>
      <patternFill patternType="solid">
        <fgColor rgb="FFFFFF00"/>
        <bgColor indexed="64"/>
      </patternFill>
    </fill>
    <fill>
      <patternFill patternType="solid">
        <fgColor rgb="FFFFC000"/>
        <bgColor indexed="64"/>
      </patternFill>
    </fill>
    <fill>
      <patternFill patternType="solid">
        <fgColor theme="3" tint="0.499984740745262"/>
        <bgColor indexed="64"/>
      </patternFill>
    </fill>
    <fill>
      <patternFill patternType="solid">
        <fgColor theme="4" tint="0.79998168889431442"/>
        <bgColor indexed="64"/>
      </patternFill>
    </fill>
    <fill>
      <patternFill patternType="solid">
        <fgColor rgb="FF00B05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9"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9" fontId="1" fillId="0" borderId="0" applyFont="0" applyFill="0" applyBorder="0" applyAlignment="0" applyProtection="0"/>
    <xf numFmtId="0" fontId="11" fillId="0" borderId="0" applyNumberFormat="0" applyFill="0" applyBorder="0" applyAlignment="0" applyProtection="0"/>
  </cellStyleXfs>
  <cellXfs count="75">
    <xf numFmtId="0" fontId="0" fillId="0" borderId="0" xfId="0"/>
    <xf numFmtId="0" fontId="0" fillId="2" borderId="3" xfId="0" applyFill="1" applyBorder="1"/>
    <xf numFmtId="0" fontId="0" fillId="2" borderId="4" xfId="0" applyFill="1" applyBorder="1"/>
    <xf numFmtId="0" fontId="0" fillId="2" borderId="0" xfId="0" applyFill="1"/>
    <xf numFmtId="0" fontId="0" fillId="2" borderId="6" xfId="0" applyFill="1" applyBorder="1"/>
    <xf numFmtId="0" fontId="0" fillId="2" borderId="8" xfId="0" applyFill="1" applyBorder="1"/>
    <xf numFmtId="0" fontId="0" fillId="2" borderId="9" xfId="0" applyFill="1" applyBorder="1"/>
    <xf numFmtId="0" fontId="3" fillId="0" borderId="0" xfId="0" applyFont="1"/>
    <xf numFmtId="0" fontId="4" fillId="2" borderId="2" xfId="0" applyFont="1" applyFill="1" applyBorder="1"/>
    <xf numFmtId="0" fontId="4" fillId="2" borderId="3" xfId="0" applyFont="1" applyFill="1" applyBorder="1"/>
    <xf numFmtId="0" fontId="4" fillId="2" borderId="5" xfId="0" applyFont="1" applyFill="1" applyBorder="1"/>
    <xf numFmtId="0" fontId="4" fillId="2" borderId="0" xfId="0" applyFont="1" applyFill="1"/>
    <xf numFmtId="0" fontId="4" fillId="2" borderId="8" xfId="0" applyFont="1" applyFill="1" applyBorder="1"/>
    <xf numFmtId="2" fontId="0" fillId="0" borderId="0" xfId="0" applyNumberFormat="1"/>
    <xf numFmtId="0" fontId="0" fillId="0" borderId="2" xfId="0" applyBorder="1"/>
    <xf numFmtId="0" fontId="0" fillId="0" borderId="5" xfId="0" applyBorder="1"/>
    <xf numFmtId="0" fontId="0" fillId="0" borderId="7" xfId="0" applyBorder="1"/>
    <xf numFmtId="0" fontId="0" fillId="3" borderId="2" xfId="0" applyFill="1" applyBorder="1"/>
    <xf numFmtId="0" fontId="0" fillId="3" borderId="5" xfId="0" applyFill="1" applyBorder="1"/>
    <xf numFmtId="0" fontId="0" fillId="3" borderId="7" xfId="0" applyFill="1" applyBorder="1"/>
    <xf numFmtId="0" fontId="0" fillId="3" borderId="10" xfId="0" applyFill="1" applyBorder="1"/>
    <xf numFmtId="0" fontId="0" fillId="3" borderId="11" xfId="0" applyFill="1" applyBorder="1"/>
    <xf numFmtId="0" fontId="0" fillId="3" borderId="12" xfId="0" applyFill="1" applyBorder="1"/>
    <xf numFmtId="0" fontId="0" fillId="4" borderId="10" xfId="0" applyFill="1" applyBorder="1"/>
    <xf numFmtId="0" fontId="0" fillId="4" borderId="11" xfId="0" applyFill="1" applyBorder="1"/>
    <xf numFmtId="0" fontId="0" fillId="0" borderId="10" xfId="0" applyBorder="1"/>
    <xf numFmtId="0" fontId="0" fillId="0" borderId="11" xfId="0" applyBorder="1"/>
    <xf numFmtId="0" fontId="0" fillId="0" borderId="12" xfId="0" applyBorder="1"/>
    <xf numFmtId="0" fontId="5" fillId="3" borderId="11" xfId="0" applyFont="1" applyFill="1" applyBorder="1"/>
    <xf numFmtId="0" fontId="0" fillId="0" borderId="1" xfId="0" applyBorder="1"/>
    <xf numFmtId="2" fontId="0" fillId="5" borderId="4" xfId="0" applyNumberFormat="1" applyFill="1" applyBorder="1"/>
    <xf numFmtId="2" fontId="0" fillId="5" borderId="6" xfId="0" applyNumberFormat="1" applyFill="1" applyBorder="1"/>
    <xf numFmtId="2" fontId="0" fillId="5" borderId="9" xfId="0" applyNumberFormat="1" applyFill="1" applyBorder="1"/>
    <xf numFmtId="0" fontId="0" fillId="5" borderId="6" xfId="0" applyFill="1" applyBorder="1"/>
    <xf numFmtId="0" fontId="0" fillId="6" borderId="2" xfId="0" applyFill="1" applyBorder="1"/>
    <xf numFmtId="0" fontId="0" fillId="6" borderId="10" xfId="0" applyFill="1" applyBorder="1"/>
    <xf numFmtId="0" fontId="0" fillId="6" borderId="5" xfId="0" applyFill="1" applyBorder="1"/>
    <xf numFmtId="0" fontId="0" fillId="6" borderId="11" xfId="0" applyFill="1" applyBorder="1"/>
    <xf numFmtId="0" fontId="0" fillId="6" borderId="7" xfId="0" applyFill="1" applyBorder="1"/>
    <xf numFmtId="0" fontId="0" fillId="6" borderId="12" xfId="0" applyFill="1" applyBorder="1"/>
    <xf numFmtId="0" fontId="0" fillId="6" borderId="13" xfId="0" applyFill="1" applyBorder="1"/>
    <xf numFmtId="0" fontId="5" fillId="6" borderId="1" xfId="0" applyFont="1" applyFill="1" applyBorder="1"/>
    <xf numFmtId="164" fontId="0" fillId="7" borderId="10" xfId="0" applyNumberFormat="1" applyFill="1" applyBorder="1"/>
    <xf numFmtId="164" fontId="0" fillId="7" borderId="11" xfId="0" applyNumberFormat="1" applyFill="1" applyBorder="1"/>
    <xf numFmtId="0" fontId="0" fillId="7" borderId="11" xfId="0" applyFill="1" applyBorder="1"/>
    <xf numFmtId="0" fontId="0" fillId="8" borderId="2" xfId="0" applyFill="1" applyBorder="1"/>
    <xf numFmtId="0" fontId="0" fillId="8" borderId="4" xfId="0" applyFill="1" applyBorder="1"/>
    <xf numFmtId="0" fontId="0" fillId="8" borderId="5" xfId="0" applyFill="1" applyBorder="1"/>
    <xf numFmtId="0" fontId="0" fillId="8" borderId="6" xfId="0" applyFill="1" applyBorder="1"/>
    <xf numFmtId="0" fontId="0" fillId="8" borderId="7" xfId="0" applyFill="1" applyBorder="1"/>
    <xf numFmtId="0" fontId="0" fillId="8" borderId="9" xfId="0" applyFill="1" applyBorder="1"/>
    <xf numFmtId="10" fontId="0" fillId="7" borderId="12" xfId="1" applyNumberFormat="1" applyFont="1" applyFill="1" applyBorder="1"/>
    <xf numFmtId="0" fontId="0" fillId="0" borderId="13" xfId="0" applyBorder="1"/>
    <xf numFmtId="0" fontId="0" fillId="8" borderId="13" xfId="0" applyFill="1" applyBorder="1"/>
    <xf numFmtId="0" fontId="0" fillId="8" borderId="15" xfId="0" applyFill="1" applyBorder="1"/>
    <xf numFmtId="2" fontId="0" fillId="7" borderId="1" xfId="0" applyNumberFormat="1" applyFill="1" applyBorder="1"/>
    <xf numFmtId="0" fontId="0" fillId="9" borderId="5" xfId="0" applyFill="1" applyBorder="1"/>
    <xf numFmtId="0" fontId="0" fillId="9" borderId="6" xfId="0" applyFill="1" applyBorder="1"/>
    <xf numFmtId="164" fontId="0" fillId="10" borderId="11" xfId="0" applyNumberFormat="1" applyFill="1" applyBorder="1"/>
    <xf numFmtId="0" fontId="0" fillId="4" borderId="7" xfId="0" applyFill="1" applyBorder="1"/>
    <xf numFmtId="0" fontId="0" fillId="0" borderId="16" xfId="0" applyBorder="1"/>
    <xf numFmtId="2" fontId="0" fillId="5" borderId="8" xfId="0" applyNumberFormat="1" applyFill="1" applyBorder="1"/>
    <xf numFmtId="2" fontId="0" fillId="5" borderId="14" xfId="0" applyNumberFormat="1" applyFill="1" applyBorder="1"/>
    <xf numFmtId="0" fontId="0" fillId="0" borderId="0" xfId="0" applyAlignment="1">
      <alignment wrapText="1"/>
    </xf>
    <xf numFmtId="0" fontId="2" fillId="0" borderId="0" xfId="0" applyFont="1"/>
    <xf numFmtId="0" fontId="0" fillId="0" borderId="0" xfId="0" applyAlignment="1">
      <alignment horizontal="left" vertical="center" indent="1"/>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2" fillId="0" borderId="0" xfId="0" applyFont="1" applyAlignment="1">
      <alignment horizontal="left" vertical="center" indent="1"/>
    </xf>
    <xf numFmtId="0" fontId="0" fillId="0" borderId="0" xfId="0" applyAlignment="1">
      <alignment horizontal="left" vertical="center" indent="2"/>
    </xf>
    <xf numFmtId="0" fontId="2" fillId="0" borderId="0" xfId="0" applyFont="1" applyAlignment="1">
      <alignment horizontal="left" vertical="center" indent="2"/>
    </xf>
    <xf numFmtId="0" fontId="9" fillId="0" borderId="0" xfId="0" applyFont="1"/>
    <xf numFmtId="0" fontId="10" fillId="0" borderId="0" xfId="0" applyFont="1" applyAlignment="1">
      <alignment horizontal="left" vertical="center" indent="2"/>
    </xf>
    <xf numFmtId="0" fontId="11" fillId="2" borderId="7" xfId="2" applyFill="1" applyBorder="1"/>
  </cellXfs>
  <cellStyles count="3">
    <cellStyle name="Link" xfId="2" builtinId="8"/>
    <cellStyle name="Prozent" xfId="1" builtinId="5"/>
    <cellStyle name="Standard" xfId="0" builtinId="0"/>
  </cellStyles>
  <dxfs count="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0F4F8"/>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1"/>
          <c:order val="0"/>
          <c:tx>
            <c:strRef>
              <c:f>ReferenceData_Metal!$B$14</c:f>
              <c:strCache>
                <c:ptCount val="1"/>
                <c:pt idx="0">
                  <c:v>perfect shell</c:v>
                </c:pt>
              </c:strCache>
            </c:strRef>
          </c:tx>
          <c:spPr>
            <a:ln w="19050">
              <a:solidFill>
                <a:schemeClr val="tx1"/>
              </a:solidFill>
            </a:ln>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ReferenceData_Metal!$B$2:$B$12</c:f>
              <c:numCache>
                <c:formatCode>General</c:formatCode>
                <c:ptCount val="11"/>
                <c:pt idx="0">
                  <c:v>0.80800000000000005</c:v>
                </c:pt>
                <c:pt idx="1">
                  <c:v>0.72699999999999998</c:v>
                </c:pt>
                <c:pt idx="2">
                  <c:v>0.65400000000000003</c:v>
                </c:pt>
                <c:pt idx="3">
                  <c:v>0.57299999999999995</c:v>
                </c:pt>
                <c:pt idx="4">
                  <c:v>0.50700000000000001</c:v>
                </c:pt>
                <c:pt idx="5">
                  <c:v>0.46700000000000003</c:v>
                </c:pt>
                <c:pt idx="6">
                  <c:v>0.42899999999999999</c:v>
                </c:pt>
                <c:pt idx="7">
                  <c:v>0.40600000000000003</c:v>
                </c:pt>
                <c:pt idx="8">
                  <c:v>0.374</c:v>
                </c:pt>
                <c:pt idx="9">
                  <c:v>0.34200000000000003</c:v>
                </c:pt>
                <c:pt idx="10">
                  <c:v>0.30299999999999999</c:v>
                </c:pt>
              </c:numCache>
            </c:numRef>
          </c:yVal>
          <c:smooth val="1"/>
          <c:extLst>
            <c:ext xmlns:c16="http://schemas.microsoft.com/office/drawing/2014/chart" uri="{C3380CC4-5D6E-409C-BE32-E72D297353CC}">
              <c16:uniqueId val="{00000000-B38D-44EC-88A5-A76C67E4FF82}"/>
            </c:ext>
          </c:extLst>
        </c:ser>
        <c:ser>
          <c:idx val="3"/>
          <c:order val="1"/>
          <c:tx>
            <c:strRef>
              <c:f>ReferenceData_Metal!$C$18</c:f>
              <c:strCache>
                <c:ptCount val="1"/>
                <c:pt idx="0">
                  <c:v>Current w/t ratio</c:v>
                </c:pt>
              </c:strCache>
            </c:strRef>
          </c:tx>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ReferenceData_Metal!$C$21:$C$31</c:f>
              <c:numCache>
                <c:formatCode>General</c:formatCode>
                <c:ptCount val="11"/>
                <c:pt idx="0">
                  <c:v>0.74199999999999999</c:v>
                </c:pt>
                <c:pt idx="1">
                  <c:v>0.63280000000000003</c:v>
                </c:pt>
                <c:pt idx="2">
                  <c:v>0.58979999999999999</c:v>
                </c:pt>
                <c:pt idx="3">
                  <c:v>0.54359999999999997</c:v>
                </c:pt>
                <c:pt idx="4">
                  <c:v>0.49380000000000002</c:v>
                </c:pt>
                <c:pt idx="5">
                  <c:v>0.46280000000000004</c:v>
                </c:pt>
                <c:pt idx="6">
                  <c:v>0.42659999999999998</c:v>
                </c:pt>
                <c:pt idx="7">
                  <c:v>0.4042</c:v>
                </c:pt>
                <c:pt idx="8">
                  <c:v>0.37280000000000002</c:v>
                </c:pt>
                <c:pt idx="9">
                  <c:v>0.34079999999999999</c:v>
                </c:pt>
                <c:pt idx="10">
                  <c:v>0.30180779999999996</c:v>
                </c:pt>
              </c:numCache>
            </c:numRef>
          </c:yVal>
          <c:smooth val="1"/>
          <c:extLst>
            <c:ext xmlns:c16="http://schemas.microsoft.com/office/drawing/2014/chart" uri="{C3380CC4-5D6E-409C-BE32-E72D297353CC}">
              <c16:uniqueId val="{00000001-B38D-44EC-88A5-A76C67E4FF82}"/>
            </c:ext>
          </c:extLst>
        </c:ser>
        <c:ser>
          <c:idx val="0"/>
          <c:order val="2"/>
          <c:spPr>
            <a:ln w="19050">
              <a:solidFill>
                <a:srgbClr val="EE0000"/>
              </a:solidFill>
              <a:prstDash val="sysDash"/>
            </a:ln>
          </c:spPr>
          <c:marker>
            <c:symbol val="none"/>
          </c:marker>
          <c:xVal>
            <c:numRef>
              <c:f>ReferenceData_Metal!$E$21:$E$22</c:f>
              <c:numCache>
                <c:formatCode>0.00</c:formatCode>
                <c:ptCount val="2"/>
                <c:pt idx="0">
                  <c:v>457.89081668013392</c:v>
                </c:pt>
                <c:pt idx="1">
                  <c:v>457.89081668013392</c:v>
                </c:pt>
              </c:numCache>
            </c:numRef>
          </c:xVal>
          <c:yVal>
            <c:numRef>
              <c:f>ReferenceData_Metal!$J$21:$J$22</c:f>
              <c:numCache>
                <c:formatCode>General</c:formatCode>
                <c:ptCount val="2"/>
                <c:pt idx="0">
                  <c:v>0</c:v>
                </c:pt>
                <c:pt idx="1">
                  <c:v>10</c:v>
                </c:pt>
              </c:numCache>
            </c:numRef>
          </c:yVal>
          <c:smooth val="1"/>
          <c:extLst>
            <c:ext xmlns:c16="http://schemas.microsoft.com/office/drawing/2014/chart" uri="{C3380CC4-5D6E-409C-BE32-E72D297353CC}">
              <c16:uniqueId val="{00000002-B38D-44EC-88A5-A76C67E4FF82}"/>
            </c:ext>
          </c:extLst>
        </c:ser>
        <c:ser>
          <c:idx val="2"/>
          <c:order val="3"/>
          <c:spPr>
            <a:ln w="19050">
              <a:solidFill>
                <a:srgbClr val="EE0000"/>
              </a:solidFill>
              <a:prstDash val="sysDash"/>
            </a:ln>
          </c:spPr>
          <c:marker>
            <c:symbol val="none"/>
          </c:marker>
          <c:xVal>
            <c:numRef>
              <c:f>ReferenceData_Metal!$J$24:$J$25</c:f>
              <c:numCache>
                <c:formatCode>General</c:formatCode>
                <c:ptCount val="2"/>
                <c:pt idx="0">
                  <c:v>1</c:v>
                </c:pt>
                <c:pt idx="1">
                  <c:v>10000</c:v>
                </c:pt>
              </c:numCache>
            </c:numRef>
          </c:xVal>
          <c:yVal>
            <c:numRef>
              <c:f>ReferenceData_Metal!$K$24:$K$25</c:f>
              <c:numCache>
                <c:formatCode>General</c:formatCode>
                <c:ptCount val="2"/>
                <c:pt idx="0">
                  <c:v>0.53399012443109772</c:v>
                </c:pt>
                <c:pt idx="1">
                  <c:v>0.53399012443109772</c:v>
                </c:pt>
              </c:numCache>
            </c:numRef>
          </c:yVal>
          <c:smooth val="1"/>
          <c:extLst>
            <c:ext xmlns:c16="http://schemas.microsoft.com/office/drawing/2014/chart" uri="{C3380CC4-5D6E-409C-BE32-E72D297353CC}">
              <c16:uniqueId val="{00000003-B38D-44EC-88A5-A76C67E4FF82}"/>
            </c:ext>
          </c:extLst>
        </c:ser>
        <c:dLbls>
          <c:showLegendKey val="0"/>
          <c:showVal val="0"/>
          <c:showCatName val="0"/>
          <c:showSerName val="0"/>
          <c:showPercent val="0"/>
          <c:showBubbleSize val="0"/>
        </c:dLbls>
        <c:axId val="529797808"/>
        <c:axId val="529814608"/>
      </c:scatterChart>
      <c:valAx>
        <c:axId val="529797808"/>
        <c:scaling>
          <c:logBase val="10"/>
          <c:orientation val="minMax"/>
          <c:min val="10"/>
        </c:scaling>
        <c:delete val="0"/>
        <c:axPos val="b"/>
        <c:majorGridlines>
          <c:spPr>
            <a:ln w="9525" cap="flat" cmpd="sng" algn="ctr">
              <a:solidFill>
                <a:schemeClr val="tx1">
                  <a:lumMod val="15000"/>
                  <a:lumOff val="85000"/>
                </a:schemeClr>
              </a:solidFill>
              <a:round/>
            </a:ln>
            <a:effectLst/>
          </c:spPr>
        </c:majorGridlines>
        <c:title>
          <c:tx>
            <c:strRef>
              <c:f>ReferenceData_Metal!$A$17</c:f>
              <c:strCache>
                <c:ptCount val="1"/>
                <c:pt idx="0">
                  <c:v>Batdorf Parameter Z</c:v>
                </c:pt>
              </c:strCache>
            </c:strRef>
          </c:tx>
          <c:overlay val="0"/>
          <c:txPr>
            <a:bodyPr/>
            <a:lstStyle/>
            <a:p>
              <a:pPr>
                <a:defRPr sz="1400"/>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814608"/>
        <c:crosses val="autoZero"/>
        <c:crossBetween val="midCat"/>
      </c:valAx>
      <c:valAx>
        <c:axId val="529814608"/>
        <c:scaling>
          <c:orientation val="minMax"/>
          <c:max val="1"/>
        </c:scaling>
        <c:delete val="0"/>
        <c:axPos val="l"/>
        <c:majorGridlines>
          <c:spPr>
            <a:ln w="9525" cap="flat" cmpd="sng" algn="ctr">
              <a:solidFill>
                <a:schemeClr val="tx1">
                  <a:lumMod val="15000"/>
                  <a:lumOff val="85000"/>
                </a:schemeClr>
              </a:solidFill>
              <a:round/>
            </a:ln>
            <a:effectLst/>
          </c:spPr>
        </c:majorGridlines>
        <c:title>
          <c:tx>
            <c:strRef>
              <c:f>ReferenceData_Metal!$A$18</c:f>
              <c:strCache>
                <c:ptCount val="1"/>
                <c:pt idx="0">
                  <c:v>Knockdown Factor</c:v>
                </c:pt>
              </c:strCache>
            </c:strRef>
          </c:tx>
          <c:overlay val="0"/>
          <c:txPr>
            <a:bodyPr/>
            <a:lstStyle/>
            <a:p>
              <a:pPr>
                <a:defRPr sz="1400"/>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797808"/>
        <c:crosses val="autoZero"/>
        <c:crossBetween val="midCat"/>
      </c:valAx>
    </c:plotArea>
    <c:legend>
      <c:legendPos val="t"/>
      <c:legendEntry>
        <c:idx val="2"/>
        <c:delete val="1"/>
      </c:legendEntry>
      <c:legendEntry>
        <c:idx val="3"/>
        <c:delete val="1"/>
      </c:legendEntry>
      <c:overlay val="0"/>
    </c:legend>
    <c:plotVisOnly val="1"/>
    <c:dispBlanksAs val="gap"/>
    <c:showDLblsOverMax val="0"/>
    <c:extLst/>
  </c:chart>
  <c:spPr>
    <a:ln>
      <a:solidFill>
        <a:schemeClr val="tx1"/>
      </a:solidFill>
    </a:ln>
  </c:spPr>
  <c:txPr>
    <a:bodyPr/>
    <a:lstStyle/>
    <a:p>
      <a:pPr>
        <a:defRPr/>
      </a:pPr>
      <a:endParaRPr lang="en-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spPr>
            <a:ln w="19050" cap="rnd">
              <a:solidFill>
                <a:schemeClr val="tx1"/>
              </a:solidFill>
              <a:round/>
            </a:ln>
            <a:effectLst/>
          </c:spPr>
          <c:marker>
            <c:symbol val="none"/>
          </c:marker>
          <c:xVal>
            <c:numRef>
              <c:f>ReferenceData_Metal!$F$21:$F$28</c:f>
              <c:numCache>
                <c:formatCode>General</c:formatCode>
                <c:ptCount val="8"/>
                <c:pt idx="0">
                  <c:v>0</c:v>
                </c:pt>
                <c:pt idx="1">
                  <c:v>0.5</c:v>
                </c:pt>
                <c:pt idx="2">
                  <c:v>1</c:v>
                </c:pt>
                <c:pt idx="3">
                  <c:v>2</c:v>
                </c:pt>
                <c:pt idx="4">
                  <c:v>3</c:v>
                </c:pt>
                <c:pt idx="5">
                  <c:v>4</c:v>
                </c:pt>
                <c:pt idx="6">
                  <c:v>6</c:v>
                </c:pt>
                <c:pt idx="7">
                  <c:v>7.99</c:v>
                </c:pt>
              </c:numCache>
            </c:numRef>
          </c:xVal>
          <c:yVal>
            <c:numRef>
              <c:f>ReferenceData_Metal!$G$21:$G$28</c:f>
              <c:numCache>
                <c:formatCode>General</c:formatCode>
                <c:ptCount val="8"/>
                <c:pt idx="0">
                  <c:v>0.56026402033037048</c:v>
                </c:pt>
                <c:pt idx="1">
                  <c:v>0.51647419383158255</c:v>
                </c:pt>
                <c:pt idx="2">
                  <c:v>0.44047344900080804</c:v>
                </c:pt>
                <c:pt idx="3">
                  <c:v>0.3526140612221324</c:v>
                </c:pt>
                <c:pt idx="4">
                  <c:v>0.30849139794386088</c:v>
                </c:pt>
                <c:pt idx="5">
                  <c:v>0.28242109183319863</c:v>
                </c:pt>
                <c:pt idx="6">
                  <c:v>0.25107030611066217</c:v>
                </c:pt>
                <c:pt idx="7">
                  <c:v>0.2314322652327602</c:v>
                </c:pt>
              </c:numCache>
            </c:numRef>
          </c:yVal>
          <c:smooth val="1"/>
          <c:extLst>
            <c:ext xmlns:c16="http://schemas.microsoft.com/office/drawing/2014/chart" uri="{C3380CC4-5D6E-409C-BE32-E72D297353CC}">
              <c16:uniqueId val="{00000000-F7B6-4336-9A39-CB9388741884}"/>
            </c:ext>
          </c:extLst>
        </c:ser>
        <c:ser>
          <c:idx val="1"/>
          <c:order val="1"/>
          <c:spPr>
            <a:ln w="19050" cap="rnd">
              <a:solidFill>
                <a:srgbClr val="EE0000"/>
              </a:solidFill>
              <a:prstDash val="sysDash"/>
              <a:round/>
            </a:ln>
            <a:effectLst/>
          </c:spPr>
          <c:marker>
            <c:symbol val="none"/>
          </c:marker>
          <c:xVal>
            <c:numRef>
              <c:f>ReferenceData_Metal!$I$24:$I$25</c:f>
              <c:numCache>
                <c:formatCode>General</c:formatCode>
                <c:ptCount val="2"/>
                <c:pt idx="0">
                  <c:v>0.3</c:v>
                </c:pt>
                <c:pt idx="1">
                  <c:v>0.3</c:v>
                </c:pt>
              </c:numCache>
            </c:numRef>
          </c:xVal>
          <c:yVal>
            <c:numRef>
              <c:f>ReferenceData_Metal!$J$21:$J$22</c:f>
              <c:numCache>
                <c:formatCode>General</c:formatCode>
                <c:ptCount val="2"/>
                <c:pt idx="0">
                  <c:v>0</c:v>
                </c:pt>
                <c:pt idx="1">
                  <c:v>10</c:v>
                </c:pt>
              </c:numCache>
            </c:numRef>
          </c:yVal>
          <c:smooth val="1"/>
          <c:extLst>
            <c:ext xmlns:c16="http://schemas.microsoft.com/office/drawing/2014/chart" uri="{C3380CC4-5D6E-409C-BE32-E72D297353CC}">
              <c16:uniqueId val="{00000001-F7B6-4336-9A39-CB9388741884}"/>
            </c:ext>
          </c:extLst>
        </c:ser>
        <c:ser>
          <c:idx val="2"/>
          <c:order val="2"/>
          <c:spPr>
            <a:ln w="19050" cap="rnd">
              <a:solidFill>
                <a:srgbClr val="EE0000"/>
              </a:solidFill>
              <a:prstDash val="sysDash"/>
              <a:round/>
            </a:ln>
            <a:effectLst/>
          </c:spPr>
          <c:marker>
            <c:symbol val="none"/>
          </c:marker>
          <c:xVal>
            <c:numRef>
              <c:f>ReferenceData_Metal!$J$21:$J$22</c:f>
              <c:numCache>
                <c:formatCode>General</c:formatCode>
                <c:ptCount val="2"/>
                <c:pt idx="0">
                  <c:v>0</c:v>
                </c:pt>
                <c:pt idx="1">
                  <c:v>10</c:v>
                </c:pt>
              </c:numCache>
            </c:numRef>
          </c:xVal>
          <c:yVal>
            <c:numRef>
              <c:f>ReferenceData_Metal!$K$24:$K$25</c:f>
              <c:numCache>
                <c:formatCode>General</c:formatCode>
                <c:ptCount val="2"/>
                <c:pt idx="0">
                  <c:v>0.53399012443109772</c:v>
                </c:pt>
                <c:pt idx="1">
                  <c:v>0.53399012443109772</c:v>
                </c:pt>
              </c:numCache>
            </c:numRef>
          </c:yVal>
          <c:smooth val="1"/>
          <c:extLst>
            <c:ext xmlns:c16="http://schemas.microsoft.com/office/drawing/2014/chart" uri="{C3380CC4-5D6E-409C-BE32-E72D297353CC}">
              <c16:uniqueId val="{00000002-F7B6-4336-9A39-CB9388741884}"/>
            </c:ext>
          </c:extLst>
        </c:ser>
        <c:dLbls>
          <c:showLegendKey val="0"/>
          <c:showVal val="0"/>
          <c:showCatName val="0"/>
          <c:showSerName val="0"/>
          <c:showPercent val="0"/>
          <c:showBubbleSize val="0"/>
        </c:dLbls>
        <c:axId val="1558677936"/>
        <c:axId val="1558675536"/>
      </c:scatterChart>
      <c:valAx>
        <c:axId val="1558677936"/>
        <c:scaling>
          <c:orientation val="minMax"/>
          <c:max val="8"/>
        </c:scaling>
        <c:delete val="0"/>
        <c:axPos val="b"/>
        <c:majorGridlines>
          <c:spPr>
            <a:ln w="9525" cap="flat" cmpd="sng" algn="ctr">
              <a:solidFill>
                <a:schemeClr val="tx1">
                  <a:lumMod val="15000"/>
                  <a:lumOff val="85000"/>
                </a:schemeClr>
              </a:solidFill>
              <a:round/>
            </a:ln>
            <a:effectLst/>
          </c:spPr>
        </c:majorGridlines>
        <c:title>
          <c:tx>
            <c:strRef>
              <c:f>'Shell_KDF_Calculator (Metric)'!$B$10</c:f>
              <c:strCache>
                <c:ptCount val="1"/>
                <c:pt idx="0">
                  <c:v>Imperfection Amplitude-to-Thickness ratio</c:v>
                </c:pt>
              </c:strCache>
            </c:strRef>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558675536"/>
        <c:crosses val="autoZero"/>
        <c:crossBetween val="midCat"/>
      </c:valAx>
      <c:valAx>
        <c:axId val="1558675536"/>
        <c:scaling>
          <c:orientation val="minMax"/>
          <c:max val="1"/>
        </c:scaling>
        <c:delete val="0"/>
        <c:axPos val="l"/>
        <c:majorGridlines>
          <c:spPr>
            <a:ln w="9525" cap="flat" cmpd="sng" algn="ctr">
              <a:solidFill>
                <a:schemeClr val="tx1">
                  <a:lumMod val="15000"/>
                  <a:lumOff val="85000"/>
                </a:schemeClr>
              </a:solidFill>
              <a:round/>
            </a:ln>
            <a:effectLst/>
          </c:spPr>
        </c:majorGridlines>
        <c:title>
          <c:tx>
            <c:strRef>
              <c:f>ReferenceData_Metal!$A$18</c:f>
              <c:strCache>
                <c:ptCount val="1"/>
                <c:pt idx="0">
                  <c:v>Knockdown Factor</c:v>
                </c:pt>
              </c:strCache>
            </c:strRef>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5586779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1"/>
          <c:order val="0"/>
          <c:tx>
            <c:strRef>
              <c:f>ReferenceData_Metal!$B$14</c:f>
              <c:strCache>
                <c:ptCount val="1"/>
                <c:pt idx="0">
                  <c:v>perfect shell</c:v>
                </c:pt>
              </c:strCache>
            </c:strRef>
          </c:tx>
          <c:spPr>
            <a:ln w="19050">
              <a:solidFill>
                <a:schemeClr val="tx1"/>
              </a:solidFill>
            </a:ln>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ReferenceData_Metal!$B$2:$B$12</c:f>
              <c:numCache>
                <c:formatCode>General</c:formatCode>
                <c:ptCount val="11"/>
                <c:pt idx="0">
                  <c:v>0.80800000000000005</c:v>
                </c:pt>
                <c:pt idx="1">
                  <c:v>0.72699999999999998</c:v>
                </c:pt>
                <c:pt idx="2">
                  <c:v>0.65400000000000003</c:v>
                </c:pt>
                <c:pt idx="3">
                  <c:v>0.57299999999999995</c:v>
                </c:pt>
                <c:pt idx="4">
                  <c:v>0.50700000000000001</c:v>
                </c:pt>
                <c:pt idx="5">
                  <c:v>0.46700000000000003</c:v>
                </c:pt>
                <c:pt idx="6">
                  <c:v>0.42899999999999999</c:v>
                </c:pt>
                <c:pt idx="7">
                  <c:v>0.40600000000000003</c:v>
                </c:pt>
                <c:pt idx="8">
                  <c:v>0.374</c:v>
                </c:pt>
                <c:pt idx="9">
                  <c:v>0.34200000000000003</c:v>
                </c:pt>
                <c:pt idx="10">
                  <c:v>0.30299999999999999</c:v>
                </c:pt>
              </c:numCache>
            </c:numRef>
          </c:yVal>
          <c:smooth val="1"/>
          <c:extLst>
            <c:ext xmlns:c16="http://schemas.microsoft.com/office/drawing/2014/chart" uri="{C3380CC4-5D6E-409C-BE32-E72D297353CC}">
              <c16:uniqueId val="{00000000-739F-4892-B8D4-0F9E8FCF7B27}"/>
            </c:ext>
          </c:extLst>
        </c:ser>
        <c:ser>
          <c:idx val="2"/>
          <c:order val="1"/>
          <c:tx>
            <c:strRef>
              <c:f>ReferenceData_Metal!$C$14</c:f>
              <c:strCache>
                <c:ptCount val="1"/>
                <c:pt idx="0">
                  <c:v>w/t = 0.5</c:v>
                </c:pt>
              </c:strCache>
            </c:strRef>
          </c:tx>
          <c:spPr>
            <a:ln w="19050" cap="rnd">
              <a:solidFill>
                <a:srgbClr val="C00000"/>
              </a:solidFill>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ReferenceData_Metal!$C$2:$C$12</c:f>
              <c:numCache>
                <c:formatCode>General</c:formatCode>
                <c:ptCount val="11"/>
                <c:pt idx="0">
                  <c:v>0.69799999999999995</c:v>
                </c:pt>
                <c:pt idx="1">
                  <c:v>0.56999999999999995</c:v>
                </c:pt>
                <c:pt idx="2">
                  <c:v>0.54700000000000004</c:v>
                </c:pt>
                <c:pt idx="3">
                  <c:v>0.52400000000000002</c:v>
                </c:pt>
                <c:pt idx="4">
                  <c:v>0.48499999999999999</c:v>
                </c:pt>
                <c:pt idx="5">
                  <c:v>0.46</c:v>
                </c:pt>
                <c:pt idx="6">
                  <c:v>0.42499999999999999</c:v>
                </c:pt>
                <c:pt idx="7">
                  <c:v>0.40300000000000002</c:v>
                </c:pt>
                <c:pt idx="8">
                  <c:v>0.372</c:v>
                </c:pt>
                <c:pt idx="9">
                  <c:v>0.34</c:v>
                </c:pt>
                <c:pt idx="10">
                  <c:v>0.30099999999999999</c:v>
                </c:pt>
              </c:numCache>
            </c:numRef>
          </c:yVal>
          <c:smooth val="1"/>
          <c:extLst>
            <c:ext xmlns:c16="http://schemas.microsoft.com/office/drawing/2014/chart" uri="{C3380CC4-5D6E-409C-BE32-E72D297353CC}">
              <c16:uniqueId val="{00000001-739F-4892-B8D4-0F9E8FCF7B27}"/>
            </c:ext>
          </c:extLst>
        </c:ser>
        <c:ser>
          <c:idx val="3"/>
          <c:order val="2"/>
          <c:tx>
            <c:strRef>
              <c:f>ReferenceData_Metal!$D$14</c:f>
              <c:strCache>
                <c:ptCount val="1"/>
                <c:pt idx="0">
                  <c:v>w/t = 1</c:v>
                </c:pt>
              </c:strCache>
            </c:strRef>
          </c:tx>
          <c:spPr>
            <a:ln w="19050" cap="rnd">
              <a:solidFill>
                <a:srgbClr val="00B050"/>
              </a:solidFill>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ReferenceData_Metal!$D$2:$D$12</c:f>
              <c:numCache>
                <c:formatCode>General</c:formatCode>
                <c:ptCount val="11"/>
                <c:pt idx="0">
                  <c:v>0.622</c:v>
                </c:pt>
                <c:pt idx="1">
                  <c:v>0.47799999999999998</c:v>
                </c:pt>
                <c:pt idx="2">
                  <c:v>0.437</c:v>
                </c:pt>
                <c:pt idx="3">
                  <c:v>0.437</c:v>
                </c:pt>
                <c:pt idx="4">
                  <c:v>0.45500000000000002</c:v>
                </c:pt>
                <c:pt idx="5">
                  <c:v>0.42499999999999999</c:v>
                </c:pt>
                <c:pt idx="6">
                  <c:v>0.40400000000000003</c:v>
                </c:pt>
                <c:pt idx="7">
                  <c:v>0.38800000000000001</c:v>
                </c:pt>
                <c:pt idx="8">
                  <c:v>0.36599999999999999</c:v>
                </c:pt>
                <c:pt idx="9">
                  <c:v>0.33100000000000002</c:v>
                </c:pt>
                <c:pt idx="10">
                  <c:v>0.29799999999999999</c:v>
                </c:pt>
              </c:numCache>
            </c:numRef>
          </c:yVal>
          <c:smooth val="1"/>
          <c:extLst>
            <c:ext xmlns:c16="http://schemas.microsoft.com/office/drawing/2014/chart" uri="{C3380CC4-5D6E-409C-BE32-E72D297353CC}">
              <c16:uniqueId val="{00000002-739F-4892-B8D4-0F9E8FCF7B27}"/>
            </c:ext>
          </c:extLst>
        </c:ser>
        <c:ser>
          <c:idx val="4"/>
          <c:order val="3"/>
          <c:tx>
            <c:strRef>
              <c:f>ReferenceData_Metal!$E$14</c:f>
              <c:strCache>
                <c:ptCount val="1"/>
                <c:pt idx="0">
                  <c:v>w/t = 2</c:v>
                </c:pt>
              </c:strCache>
            </c:strRef>
          </c:tx>
          <c:spPr>
            <a:ln w="19050" cap="rnd">
              <a:solidFill>
                <a:srgbClr val="0070C0"/>
              </a:solidFill>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ReferenceData_Metal!$E$2:$E$12</c:f>
              <c:numCache>
                <c:formatCode>General</c:formatCode>
                <c:ptCount val="11"/>
                <c:pt idx="0">
                  <c:v>0.54600000000000004</c:v>
                </c:pt>
                <c:pt idx="1">
                  <c:v>0.42</c:v>
                </c:pt>
                <c:pt idx="2">
                  <c:v>0.36699999999999999</c:v>
                </c:pt>
                <c:pt idx="3">
                  <c:v>0.35299999999999998</c:v>
                </c:pt>
                <c:pt idx="4">
                  <c:v>0.35099999999999998</c:v>
                </c:pt>
                <c:pt idx="5">
                  <c:v>0.35899999999999999</c:v>
                </c:pt>
                <c:pt idx="6">
                  <c:v>0.36499999999999999</c:v>
                </c:pt>
                <c:pt idx="7">
                  <c:v>0.35699999999999998</c:v>
                </c:pt>
                <c:pt idx="8">
                  <c:v>0.33700000000000002</c:v>
                </c:pt>
                <c:pt idx="9">
                  <c:v>0.32</c:v>
                </c:pt>
                <c:pt idx="10">
                  <c:v>0.28599999999999998</c:v>
                </c:pt>
              </c:numCache>
            </c:numRef>
          </c:yVal>
          <c:smooth val="1"/>
          <c:extLst>
            <c:ext xmlns:c16="http://schemas.microsoft.com/office/drawing/2014/chart" uri="{C3380CC4-5D6E-409C-BE32-E72D297353CC}">
              <c16:uniqueId val="{00000003-739F-4892-B8D4-0F9E8FCF7B27}"/>
            </c:ext>
          </c:extLst>
        </c:ser>
        <c:ser>
          <c:idx val="5"/>
          <c:order val="4"/>
          <c:tx>
            <c:strRef>
              <c:f>ReferenceData_Metal!$F$14</c:f>
              <c:strCache>
                <c:ptCount val="1"/>
                <c:pt idx="0">
                  <c:v>w/t = 3</c:v>
                </c:pt>
              </c:strCache>
            </c:strRef>
          </c:tx>
          <c:spPr>
            <a:ln w="19050" cap="rnd">
              <a:solidFill>
                <a:schemeClr val="accent1"/>
              </a:solidFill>
              <a:prstDash val="sysDot"/>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ReferenceData_Metal!$F$2:$F$12</c:f>
              <c:numCache>
                <c:formatCode>General</c:formatCode>
                <c:ptCount val="11"/>
                <c:pt idx="0">
                  <c:v>0.52200000000000002</c:v>
                </c:pt>
                <c:pt idx="1">
                  <c:v>0.38100000000000001</c:v>
                </c:pt>
                <c:pt idx="2">
                  <c:v>0.32500000000000001</c:v>
                </c:pt>
                <c:pt idx="3">
                  <c:v>0.311</c:v>
                </c:pt>
                <c:pt idx="4">
                  <c:v>0.29799999999999999</c:v>
                </c:pt>
                <c:pt idx="5">
                  <c:v>0.30599999999999999</c:v>
                </c:pt>
                <c:pt idx="6">
                  <c:v>0.313</c:v>
                </c:pt>
                <c:pt idx="7">
                  <c:v>0.316</c:v>
                </c:pt>
                <c:pt idx="8">
                  <c:v>0.318</c:v>
                </c:pt>
                <c:pt idx="9">
                  <c:v>0.307</c:v>
                </c:pt>
                <c:pt idx="10">
                  <c:v>0.26700000000000002</c:v>
                </c:pt>
              </c:numCache>
            </c:numRef>
          </c:yVal>
          <c:smooth val="1"/>
          <c:extLst>
            <c:ext xmlns:c16="http://schemas.microsoft.com/office/drawing/2014/chart" uri="{C3380CC4-5D6E-409C-BE32-E72D297353CC}">
              <c16:uniqueId val="{00000004-739F-4892-B8D4-0F9E8FCF7B27}"/>
            </c:ext>
          </c:extLst>
        </c:ser>
        <c:ser>
          <c:idx val="6"/>
          <c:order val="5"/>
          <c:tx>
            <c:strRef>
              <c:f>ReferenceData_Metal!$G$14</c:f>
              <c:strCache>
                <c:ptCount val="1"/>
                <c:pt idx="0">
                  <c:v>w/t = 4</c:v>
                </c:pt>
              </c:strCache>
            </c:strRef>
          </c:tx>
          <c:spPr>
            <a:ln w="19050" cap="rnd">
              <a:solidFill>
                <a:schemeClr val="accent1"/>
              </a:solidFill>
              <a:prstDash val="sysDash"/>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ReferenceData_Metal!$G$2:$G$12</c:f>
              <c:numCache>
                <c:formatCode>General</c:formatCode>
                <c:ptCount val="11"/>
                <c:pt idx="0">
                  <c:v>0.49399999999999999</c:v>
                </c:pt>
                <c:pt idx="1">
                  <c:v>0.35799999999999998</c:v>
                </c:pt>
                <c:pt idx="2">
                  <c:v>0.29699999999999999</c:v>
                </c:pt>
                <c:pt idx="3">
                  <c:v>0.28299999999999997</c:v>
                </c:pt>
                <c:pt idx="4">
                  <c:v>0.28000000000000003</c:v>
                </c:pt>
                <c:pt idx="5">
                  <c:v>0.27300000000000002</c:v>
                </c:pt>
                <c:pt idx="6">
                  <c:v>0.27300000000000002</c:v>
                </c:pt>
                <c:pt idx="7">
                  <c:v>0.28599999999999998</c:v>
                </c:pt>
                <c:pt idx="8">
                  <c:v>0.28699999999999998</c:v>
                </c:pt>
                <c:pt idx="9">
                  <c:v>0.28299999999999997</c:v>
                </c:pt>
                <c:pt idx="10">
                  <c:v>0.254</c:v>
                </c:pt>
              </c:numCache>
            </c:numRef>
          </c:yVal>
          <c:smooth val="1"/>
          <c:extLst>
            <c:ext xmlns:c16="http://schemas.microsoft.com/office/drawing/2014/chart" uri="{C3380CC4-5D6E-409C-BE32-E72D297353CC}">
              <c16:uniqueId val="{00000005-739F-4892-B8D4-0F9E8FCF7B27}"/>
            </c:ext>
          </c:extLst>
        </c:ser>
        <c:ser>
          <c:idx val="7"/>
          <c:order val="6"/>
          <c:tx>
            <c:strRef>
              <c:f>ReferenceData_Metal!$H$14</c:f>
              <c:strCache>
                <c:ptCount val="1"/>
                <c:pt idx="0">
                  <c:v>w/t = 6</c:v>
                </c:pt>
              </c:strCache>
            </c:strRef>
          </c:tx>
          <c:spPr>
            <a:ln w="19050" cap="rnd">
              <a:solidFill>
                <a:schemeClr val="accent1"/>
              </a:solidFill>
              <a:prstDash val="dash"/>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ReferenceData_Metal!$H$2:$H$12</c:f>
              <c:numCache>
                <c:formatCode>General</c:formatCode>
                <c:ptCount val="11"/>
                <c:pt idx="0">
                  <c:v>0.48399999999999999</c:v>
                </c:pt>
                <c:pt idx="1">
                  <c:v>0.34100000000000003</c:v>
                </c:pt>
                <c:pt idx="2">
                  <c:v>0.27600000000000002</c:v>
                </c:pt>
                <c:pt idx="3">
                  <c:v>0.253</c:v>
                </c:pt>
                <c:pt idx="4">
                  <c:v>0.24299999999999999</c:v>
                </c:pt>
                <c:pt idx="5">
                  <c:v>0.24</c:v>
                </c:pt>
                <c:pt idx="6">
                  <c:v>0.24</c:v>
                </c:pt>
                <c:pt idx="7">
                  <c:v>0.23799999999999999</c:v>
                </c:pt>
                <c:pt idx="8">
                  <c:v>0.23899999999999999</c:v>
                </c:pt>
                <c:pt idx="9">
                  <c:v>0.246</c:v>
                </c:pt>
                <c:pt idx="10">
                  <c:v>0.23200000000000001</c:v>
                </c:pt>
              </c:numCache>
            </c:numRef>
          </c:yVal>
          <c:smooth val="1"/>
          <c:extLst>
            <c:ext xmlns:c16="http://schemas.microsoft.com/office/drawing/2014/chart" uri="{C3380CC4-5D6E-409C-BE32-E72D297353CC}">
              <c16:uniqueId val="{00000006-739F-4892-B8D4-0F9E8FCF7B27}"/>
            </c:ext>
          </c:extLst>
        </c:ser>
        <c:ser>
          <c:idx val="0"/>
          <c:order val="7"/>
          <c:tx>
            <c:strRef>
              <c:f>ReferenceData_Metal!$I$14</c:f>
              <c:strCache>
                <c:ptCount val="1"/>
                <c:pt idx="0">
                  <c:v>w/t = 8</c:v>
                </c:pt>
              </c:strCache>
            </c:strRef>
          </c:tx>
          <c:spPr>
            <a:ln w="19050" cap="rnd">
              <a:solidFill>
                <a:schemeClr val="accent1"/>
              </a:solidFill>
              <a:prstDash val="dashDot"/>
              <a:round/>
            </a:ln>
            <a:effectLst/>
          </c:spPr>
          <c:marker>
            <c:symbol val="none"/>
          </c:marker>
          <c:xVal>
            <c:numRef>
              <c:f>ReferenceData_Metal!$A$2:$A$12</c:f>
              <c:numCache>
                <c:formatCode>General</c:formatCode>
                <c:ptCount val="11"/>
                <c:pt idx="0">
                  <c:v>50</c:v>
                </c:pt>
                <c:pt idx="1">
                  <c:v>100</c:v>
                </c:pt>
                <c:pt idx="2">
                  <c:v>200</c:v>
                </c:pt>
                <c:pt idx="3">
                  <c:v>400</c:v>
                </c:pt>
                <c:pt idx="4">
                  <c:v>700</c:v>
                </c:pt>
                <c:pt idx="5">
                  <c:v>1000</c:v>
                </c:pt>
                <c:pt idx="6">
                  <c:v>1500</c:v>
                </c:pt>
                <c:pt idx="7">
                  <c:v>2000</c:v>
                </c:pt>
                <c:pt idx="8">
                  <c:v>3000</c:v>
                </c:pt>
                <c:pt idx="9">
                  <c:v>5000</c:v>
                </c:pt>
                <c:pt idx="10">
                  <c:v>10000</c:v>
                </c:pt>
              </c:numCache>
            </c:numRef>
          </c:xVal>
          <c:yVal>
            <c:numRef>
              <c:f>ReferenceData_Metal!$I$2:$I$12</c:f>
              <c:numCache>
                <c:formatCode>General</c:formatCode>
                <c:ptCount val="11"/>
                <c:pt idx="0">
                  <c:v>0.46800000000000003</c:v>
                </c:pt>
                <c:pt idx="1">
                  <c:v>0.32200000000000001</c:v>
                </c:pt>
                <c:pt idx="2">
                  <c:v>0.25900000000000001</c:v>
                </c:pt>
                <c:pt idx="3">
                  <c:v>0.23499999999999999</c:v>
                </c:pt>
                <c:pt idx="4">
                  <c:v>0.216</c:v>
                </c:pt>
                <c:pt idx="5">
                  <c:v>0.214</c:v>
                </c:pt>
                <c:pt idx="6">
                  <c:v>0.20899999999999999</c:v>
                </c:pt>
                <c:pt idx="7">
                  <c:v>0.21</c:v>
                </c:pt>
                <c:pt idx="8">
                  <c:v>0.217</c:v>
                </c:pt>
                <c:pt idx="9">
                  <c:v>0.221</c:v>
                </c:pt>
                <c:pt idx="10">
                  <c:v>0.218</c:v>
                </c:pt>
              </c:numCache>
            </c:numRef>
          </c:yVal>
          <c:smooth val="1"/>
          <c:extLst>
            <c:ext xmlns:c16="http://schemas.microsoft.com/office/drawing/2014/chart" uri="{C3380CC4-5D6E-409C-BE32-E72D297353CC}">
              <c16:uniqueId val="{00000007-739F-4892-B8D4-0F9E8FCF7B27}"/>
            </c:ext>
          </c:extLst>
        </c:ser>
        <c:dLbls>
          <c:showLegendKey val="0"/>
          <c:showVal val="0"/>
          <c:showCatName val="0"/>
          <c:showSerName val="0"/>
          <c:showPercent val="0"/>
          <c:showBubbleSize val="0"/>
        </c:dLbls>
        <c:axId val="529797808"/>
        <c:axId val="529814608"/>
      </c:scatterChart>
      <c:valAx>
        <c:axId val="529797808"/>
        <c:scaling>
          <c:orientation val="minMax"/>
          <c:max val="10000"/>
        </c:scaling>
        <c:delete val="0"/>
        <c:axPos val="b"/>
        <c:title>
          <c:tx>
            <c:strRef>
              <c:f>ReferenceData_Metal!$A$17</c:f>
              <c:strCache>
                <c:ptCount val="1"/>
                <c:pt idx="0">
                  <c:v>Batdorf Parameter Z</c:v>
                </c:pt>
              </c:strCache>
            </c:strRef>
          </c:tx>
          <c:overlay val="0"/>
          <c:txPr>
            <a:bodyPr/>
            <a:lstStyle/>
            <a:p>
              <a:pPr>
                <a:defRPr sz="1400"/>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814608"/>
        <c:crosses val="autoZero"/>
        <c:crossBetween val="midCat"/>
      </c:valAx>
      <c:valAx>
        <c:axId val="529814608"/>
        <c:scaling>
          <c:orientation val="minMax"/>
          <c:max val="1"/>
        </c:scaling>
        <c:delete val="0"/>
        <c:axPos val="l"/>
        <c:majorGridlines>
          <c:spPr>
            <a:ln w="9525" cap="flat" cmpd="sng" algn="ctr">
              <a:solidFill>
                <a:schemeClr val="tx1">
                  <a:lumMod val="15000"/>
                  <a:lumOff val="85000"/>
                </a:schemeClr>
              </a:solidFill>
              <a:round/>
            </a:ln>
            <a:effectLst/>
          </c:spPr>
        </c:majorGridlines>
        <c:title>
          <c:tx>
            <c:strRef>
              <c:f>ReferenceData_Metal!$A$18</c:f>
              <c:strCache>
                <c:ptCount val="1"/>
                <c:pt idx="0">
                  <c:v>Knockdown Factor</c:v>
                </c:pt>
              </c:strCache>
            </c:strRef>
          </c:tx>
          <c:overlay val="0"/>
          <c:txPr>
            <a:bodyPr/>
            <a:lstStyle/>
            <a:p>
              <a:pPr>
                <a:defRPr sz="1400"/>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9797808"/>
        <c:crosses val="autoZero"/>
        <c:crossBetween val="midCat"/>
      </c:valAx>
    </c:plotArea>
    <c:legend>
      <c:legendPos val="t"/>
      <c:overlay val="0"/>
    </c:legend>
    <c:plotVisOnly val="1"/>
    <c:dispBlanksAs val="gap"/>
    <c:showDLblsOverMax val="0"/>
    <c:extLst/>
  </c:chart>
  <c:txPr>
    <a:bodyPr/>
    <a:lstStyle/>
    <a:p>
      <a:pPr>
        <a:defRPr/>
      </a:pPr>
      <a:endParaRPr lang="en-DE"/>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spPr>
            <a:ln w="19050" cap="rnd">
              <a:solidFill>
                <a:schemeClr val="accent1"/>
              </a:solidFill>
              <a:round/>
            </a:ln>
            <a:effectLst/>
          </c:spPr>
          <c:marker>
            <c:symbol val="none"/>
          </c:marker>
          <c:xVal>
            <c:numRef>
              <c:f>ReferenceData_Metal!$F$21:$F$28</c:f>
              <c:numCache>
                <c:formatCode>General</c:formatCode>
                <c:ptCount val="8"/>
                <c:pt idx="0">
                  <c:v>0</c:v>
                </c:pt>
                <c:pt idx="1">
                  <c:v>0.5</c:v>
                </c:pt>
                <c:pt idx="2">
                  <c:v>1</c:v>
                </c:pt>
                <c:pt idx="3">
                  <c:v>2</c:v>
                </c:pt>
                <c:pt idx="4">
                  <c:v>3</c:v>
                </c:pt>
                <c:pt idx="5">
                  <c:v>4</c:v>
                </c:pt>
                <c:pt idx="6">
                  <c:v>6</c:v>
                </c:pt>
                <c:pt idx="7">
                  <c:v>7.99</c:v>
                </c:pt>
              </c:numCache>
            </c:numRef>
          </c:xVal>
          <c:yVal>
            <c:numRef>
              <c:f>ReferenceData_Metal!$G$21:$G$28</c:f>
              <c:numCache>
                <c:formatCode>General</c:formatCode>
                <c:ptCount val="8"/>
                <c:pt idx="0">
                  <c:v>0.56026402033037048</c:v>
                </c:pt>
                <c:pt idx="1">
                  <c:v>0.51647419383158255</c:v>
                </c:pt>
                <c:pt idx="2">
                  <c:v>0.44047344900080804</c:v>
                </c:pt>
                <c:pt idx="3">
                  <c:v>0.3526140612221324</c:v>
                </c:pt>
                <c:pt idx="4">
                  <c:v>0.30849139794386088</c:v>
                </c:pt>
                <c:pt idx="5">
                  <c:v>0.28242109183319863</c:v>
                </c:pt>
                <c:pt idx="6">
                  <c:v>0.25107030611066217</c:v>
                </c:pt>
                <c:pt idx="7">
                  <c:v>0.2314322652327602</c:v>
                </c:pt>
              </c:numCache>
            </c:numRef>
          </c:yVal>
          <c:smooth val="1"/>
          <c:extLst>
            <c:ext xmlns:c16="http://schemas.microsoft.com/office/drawing/2014/chart" uri="{C3380CC4-5D6E-409C-BE32-E72D297353CC}">
              <c16:uniqueId val="{00000000-1C11-4D64-AE72-E67378F5903A}"/>
            </c:ext>
          </c:extLst>
        </c:ser>
        <c:dLbls>
          <c:showLegendKey val="0"/>
          <c:showVal val="0"/>
          <c:showCatName val="0"/>
          <c:showSerName val="0"/>
          <c:showPercent val="0"/>
          <c:showBubbleSize val="0"/>
        </c:dLbls>
        <c:axId val="1558677936"/>
        <c:axId val="1558675536"/>
      </c:scatterChart>
      <c:valAx>
        <c:axId val="155867793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558675536"/>
        <c:crosses val="autoZero"/>
        <c:crossBetween val="midCat"/>
      </c:valAx>
      <c:valAx>
        <c:axId val="155867553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5586779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0</xdr:rowOff>
    </xdr:from>
    <xdr:to>
      <xdr:col>16</xdr:col>
      <xdr:colOff>9525</xdr:colOff>
      <xdr:row>19</xdr:row>
      <xdr:rowOff>95250</xdr:rowOff>
    </xdr:to>
    <xdr:graphicFrame macro="">
      <xdr:nvGraphicFramePr>
        <xdr:cNvPr id="11" name="Diagramm 10">
          <a:extLst>
            <a:ext uri="{FF2B5EF4-FFF2-40B4-BE49-F238E27FC236}">
              <a16:creationId xmlns:a16="http://schemas.microsoft.com/office/drawing/2014/main" id="{966E40BE-5519-4547-ADEA-8C74391A26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20</xdr:row>
      <xdr:rowOff>0</xdr:rowOff>
    </xdr:from>
    <xdr:to>
      <xdr:col>16</xdr:col>
      <xdr:colOff>19050</xdr:colOff>
      <xdr:row>36</xdr:row>
      <xdr:rowOff>180975</xdr:rowOff>
    </xdr:to>
    <xdr:graphicFrame macro="">
      <xdr:nvGraphicFramePr>
        <xdr:cNvPr id="12" name="Diagramm 11">
          <a:extLst>
            <a:ext uri="{FF2B5EF4-FFF2-40B4-BE49-F238E27FC236}">
              <a16:creationId xmlns:a16="http://schemas.microsoft.com/office/drawing/2014/main" id="{D4755091-27DB-40CE-8D04-EF2F989356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0</xdr:colOff>
      <xdr:row>2</xdr:row>
      <xdr:rowOff>0</xdr:rowOff>
    </xdr:from>
    <xdr:to>
      <xdr:col>25</xdr:col>
      <xdr:colOff>714375</xdr:colOff>
      <xdr:row>25</xdr:row>
      <xdr:rowOff>176213</xdr:rowOff>
    </xdr:to>
    <xdr:graphicFrame macro="">
      <xdr:nvGraphicFramePr>
        <xdr:cNvPr id="4" name="Diagramm 3">
          <a:extLst>
            <a:ext uri="{FF2B5EF4-FFF2-40B4-BE49-F238E27FC236}">
              <a16:creationId xmlns:a16="http://schemas.microsoft.com/office/drawing/2014/main" id="{2E651462-9C3F-471C-817D-D1D360FAB5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723900</xdr:colOff>
      <xdr:row>28</xdr:row>
      <xdr:rowOff>19050</xdr:rowOff>
    </xdr:from>
    <xdr:to>
      <xdr:col>23</xdr:col>
      <xdr:colOff>723900</xdr:colOff>
      <xdr:row>42</xdr:row>
      <xdr:rowOff>95250</xdr:rowOff>
    </xdr:to>
    <xdr:graphicFrame macro="">
      <xdr:nvGraphicFramePr>
        <xdr:cNvPr id="6" name="Diagramm 5">
          <a:extLst>
            <a:ext uri="{FF2B5EF4-FFF2-40B4-BE49-F238E27FC236}">
              <a16:creationId xmlns:a16="http://schemas.microsoft.com/office/drawing/2014/main" id="{AB68B1D7-09DA-4823-A3F7-5DD42C6DE9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dc.buckling@proton.m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96C16-BD23-4B02-B01F-534AA99C8EFC}">
  <dimension ref="A2:Q10"/>
  <sheetViews>
    <sheetView tabSelected="1" workbookViewId="0">
      <selection activeCell="E28" sqref="E28"/>
    </sheetView>
  </sheetViews>
  <sheetFormatPr baseColWidth="10" defaultColWidth="11.5703125" defaultRowHeight="15"/>
  <sheetData>
    <row r="2" spans="1:17" ht="18.75">
      <c r="A2" s="7" t="s">
        <v>1</v>
      </c>
    </row>
    <row r="4" spans="1:17" ht="15.75">
      <c r="A4" s="8" t="s">
        <v>88</v>
      </c>
      <c r="B4" s="9"/>
      <c r="C4" s="9"/>
      <c r="D4" s="9"/>
      <c r="E4" s="9"/>
      <c r="F4" s="9"/>
      <c r="G4" s="9"/>
      <c r="H4" s="9"/>
      <c r="I4" s="9"/>
      <c r="J4" s="9"/>
      <c r="K4" s="9"/>
      <c r="L4" s="9"/>
      <c r="M4" s="9"/>
      <c r="N4" s="1"/>
      <c r="O4" s="1"/>
      <c r="P4" s="1"/>
      <c r="Q4" s="2"/>
    </row>
    <row r="5" spans="1:17" ht="15.75">
      <c r="A5" s="10" t="s">
        <v>0</v>
      </c>
      <c r="B5" s="11"/>
      <c r="C5" s="11"/>
      <c r="D5" s="11"/>
      <c r="E5" s="11"/>
      <c r="F5" s="11"/>
      <c r="G5" s="11"/>
      <c r="H5" s="11"/>
      <c r="I5" s="11"/>
      <c r="J5" s="11"/>
      <c r="K5" s="11"/>
      <c r="L5" s="11"/>
      <c r="M5" s="11"/>
      <c r="N5" s="3"/>
      <c r="O5" s="3"/>
      <c r="P5" s="3"/>
      <c r="Q5" s="4"/>
    </row>
    <row r="6" spans="1:17" ht="15.75">
      <c r="A6" s="10"/>
      <c r="B6" s="11"/>
      <c r="C6" s="11"/>
      <c r="D6" s="11"/>
      <c r="E6" s="11"/>
      <c r="F6" s="11"/>
      <c r="G6" s="11"/>
      <c r="H6" s="11"/>
      <c r="I6" s="11"/>
      <c r="J6" s="11"/>
      <c r="K6" s="11"/>
      <c r="L6" s="11"/>
      <c r="M6" s="11"/>
      <c r="N6" s="3"/>
      <c r="O6" s="3"/>
      <c r="P6" s="3"/>
      <c r="Q6" s="4"/>
    </row>
    <row r="7" spans="1:17" ht="15.75">
      <c r="A7" s="10" t="s">
        <v>131</v>
      </c>
      <c r="B7" s="11"/>
      <c r="C7" s="11"/>
      <c r="D7" s="11"/>
      <c r="E7" s="11"/>
      <c r="F7" s="11"/>
      <c r="G7" s="11"/>
      <c r="H7" s="11"/>
      <c r="I7" s="11"/>
      <c r="J7" s="11"/>
      <c r="K7" s="11"/>
      <c r="L7" s="11"/>
      <c r="M7" s="11"/>
      <c r="N7" s="3"/>
      <c r="O7" s="3"/>
      <c r="P7" s="3"/>
      <c r="Q7" s="4"/>
    </row>
    <row r="8" spans="1:17" ht="15.75">
      <c r="A8" s="74" t="s">
        <v>107</v>
      </c>
      <c r="B8" s="12"/>
      <c r="C8" s="12"/>
      <c r="D8" s="12"/>
      <c r="E8" s="12"/>
      <c r="F8" s="12"/>
      <c r="G8" s="12"/>
      <c r="H8" s="12"/>
      <c r="I8" s="12"/>
      <c r="J8" s="12"/>
      <c r="K8" s="12"/>
      <c r="L8" s="12"/>
      <c r="M8" s="12"/>
      <c r="N8" s="5"/>
      <c r="O8" s="5"/>
      <c r="P8" s="5"/>
      <c r="Q8" s="6"/>
    </row>
    <row r="10" spans="1:17">
      <c r="A10" s="72"/>
    </row>
  </sheetData>
  <hyperlinks>
    <hyperlink ref="A8" r:id="rId1" xr:uid="{FFD519F3-9A05-42D4-89E3-405F72228D12}"/>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26AC-B6C6-491A-95C2-891E5E26EDFC}">
  <dimension ref="A1:Y35"/>
  <sheetViews>
    <sheetView zoomScale="85" zoomScaleNormal="85" workbookViewId="0">
      <selection activeCell="G7" sqref="G7"/>
    </sheetView>
  </sheetViews>
  <sheetFormatPr baseColWidth="10" defaultColWidth="11.5703125" defaultRowHeight="15"/>
  <cols>
    <col min="2" max="2" width="38.85546875" bestFit="1" customWidth="1"/>
    <col min="9" max="9" width="28.28515625" bestFit="1" customWidth="1"/>
    <col min="11" max="11" width="14.5703125" bestFit="1" customWidth="1"/>
    <col min="12" max="12" width="11.7109375" customWidth="1"/>
    <col min="15" max="15" width="25.85546875" bestFit="1" customWidth="1"/>
  </cols>
  <sheetData>
    <row r="1" spans="1:25">
      <c r="A1" t="s">
        <v>132</v>
      </c>
    </row>
    <row r="2" spans="1:25">
      <c r="A2" t="s">
        <v>63</v>
      </c>
      <c r="Y2">
        <v>0.80800000000000005</v>
      </c>
    </row>
    <row r="3" spans="1:25">
      <c r="Y3">
        <v>0.72699999999999998</v>
      </c>
    </row>
    <row r="4" spans="1:25">
      <c r="A4" s="25" t="s">
        <v>24</v>
      </c>
      <c r="B4" s="17" t="s">
        <v>100</v>
      </c>
      <c r="C4" s="20" t="s">
        <v>15</v>
      </c>
      <c r="D4" s="23">
        <v>500</v>
      </c>
      <c r="E4" t="s">
        <v>37</v>
      </c>
      <c r="Y4">
        <v>0.65400000000000003</v>
      </c>
    </row>
    <row r="5" spans="1:25">
      <c r="A5" s="26" t="s">
        <v>24</v>
      </c>
      <c r="B5" s="18" t="s">
        <v>99</v>
      </c>
      <c r="C5" s="21" t="s">
        <v>16</v>
      </c>
      <c r="D5" s="24">
        <v>600</v>
      </c>
      <c r="E5" t="s">
        <v>37</v>
      </c>
      <c r="Y5">
        <v>0.57299999999999995</v>
      </c>
    </row>
    <row r="6" spans="1:25">
      <c r="A6" s="26" t="s">
        <v>24</v>
      </c>
      <c r="B6" s="18" t="s">
        <v>21</v>
      </c>
      <c r="C6" s="21" t="s">
        <v>17</v>
      </c>
      <c r="D6" s="24">
        <v>1.5</v>
      </c>
      <c r="E6" t="s">
        <v>37</v>
      </c>
      <c r="Y6">
        <v>0.50700000000000001</v>
      </c>
    </row>
    <row r="7" spans="1:25">
      <c r="A7" s="26" t="s">
        <v>24</v>
      </c>
      <c r="B7" s="18" t="s">
        <v>7</v>
      </c>
      <c r="C7" s="21" t="s">
        <v>18</v>
      </c>
      <c r="D7" s="24">
        <v>70000</v>
      </c>
      <c r="E7" t="s">
        <v>38</v>
      </c>
      <c r="Y7">
        <v>0.46700000000000003</v>
      </c>
    </row>
    <row r="8" spans="1:25">
      <c r="A8" s="26" t="s">
        <v>24</v>
      </c>
      <c r="B8" s="18" t="s">
        <v>22</v>
      </c>
      <c r="C8" s="21" t="s">
        <v>19</v>
      </c>
      <c r="D8" s="24">
        <v>450</v>
      </c>
      <c r="E8" t="s">
        <v>38</v>
      </c>
      <c r="Y8">
        <v>0.42899999999999999</v>
      </c>
    </row>
    <row r="9" spans="1:25" ht="15.75" thickBot="1">
      <c r="A9" s="26" t="s">
        <v>24</v>
      </c>
      <c r="B9" s="18" t="s">
        <v>23</v>
      </c>
      <c r="C9" s="28" t="s">
        <v>20</v>
      </c>
      <c r="D9" s="24">
        <v>0.3</v>
      </c>
      <c r="Y9">
        <v>0.40600000000000003</v>
      </c>
    </row>
    <row r="10" spans="1:25" ht="15.75" thickBot="1">
      <c r="A10" s="27" t="s">
        <v>24</v>
      </c>
      <c r="B10" s="19" t="s">
        <v>13</v>
      </c>
      <c r="C10" s="22" t="s">
        <v>14</v>
      </c>
      <c r="D10" s="59">
        <v>0.3</v>
      </c>
      <c r="E10" s="60" t="str">
        <f>IF(D10&lt;8.01,"✅ OK","❌ Input w/t ratio is outside the calibrated dataset. Extrapolation applied – results may be less reliable.")</f>
        <v>✅ OK</v>
      </c>
      <c r="Y10">
        <v>0.374</v>
      </c>
    </row>
    <row r="11" spans="1:25">
      <c r="Y11">
        <v>0.34200000000000003</v>
      </c>
    </row>
    <row r="12" spans="1:25">
      <c r="Y12">
        <v>0.30299999999999999</v>
      </c>
    </row>
    <row r="13" spans="1:25">
      <c r="A13" s="25" t="s">
        <v>25</v>
      </c>
      <c r="B13" s="34" t="s">
        <v>10</v>
      </c>
      <c r="C13" s="35" t="s">
        <v>2</v>
      </c>
      <c r="D13" s="30">
        <f>D4/D6</f>
        <v>333.33333333333331</v>
      </c>
    </row>
    <row r="14" spans="1:25" ht="15.75" thickBot="1">
      <c r="A14" s="26" t="s">
        <v>25</v>
      </c>
      <c r="B14" s="36" t="s">
        <v>11</v>
      </c>
      <c r="C14" s="37" t="s">
        <v>3</v>
      </c>
      <c r="D14" s="31">
        <f>D5/D4</f>
        <v>1.2</v>
      </c>
    </row>
    <row r="15" spans="1:25" ht="15.75" thickBot="1">
      <c r="A15" s="27" t="s">
        <v>25</v>
      </c>
      <c r="B15" s="38" t="s">
        <v>9</v>
      </c>
      <c r="C15" s="39" t="s">
        <v>4</v>
      </c>
      <c r="D15" s="61">
        <f>D5^2/(D4*D6)*SQRT(1-D9^2)</f>
        <v>457.89081668013392</v>
      </c>
      <c r="E15" s="60" t="str">
        <f>IF(D15&gt;10000.01,"❌ Z is outside the calibrated dataset. Extrapolation applied – results may be less reliable.",
 IF(D15&lt;50,"❌ Z is below the calibrated dataset – results may be less reliable.",
      "✅ OK"))</f>
        <v>✅ OK</v>
      </c>
    </row>
    <row r="16" spans="1:25">
      <c r="A16" s="26"/>
      <c r="B16" s="36"/>
      <c r="C16" s="37"/>
      <c r="D16" s="31"/>
    </row>
    <row r="17" spans="1:5">
      <c r="A17" s="25" t="s">
        <v>25</v>
      </c>
      <c r="B17" s="34" t="s">
        <v>26</v>
      </c>
      <c r="C17" s="35" t="s">
        <v>5</v>
      </c>
      <c r="D17" s="30">
        <f>2*PI()*D6^2*D7/(SQRT(3*(1-D9^2)))/1000</f>
        <v>598.9341866705148</v>
      </c>
      <c r="E17" t="s">
        <v>39</v>
      </c>
    </row>
    <row r="18" spans="1:5">
      <c r="A18" s="27" t="s">
        <v>25</v>
      </c>
      <c r="B18" s="38" t="s">
        <v>27</v>
      </c>
      <c r="C18" s="39" t="s">
        <v>6</v>
      </c>
      <c r="D18" s="32">
        <f>2*PI()*D4*D6*D8/1000</f>
        <v>2120.5750411731101</v>
      </c>
      <c r="E18" t="s">
        <v>39</v>
      </c>
    </row>
    <row r="19" spans="1:5" ht="15.75" thickBot="1">
      <c r="A19" s="26"/>
      <c r="B19" s="36"/>
      <c r="C19" s="37"/>
      <c r="D19" s="33"/>
    </row>
    <row r="20" spans="1:5" ht="15.75" thickBot="1">
      <c r="A20" s="29" t="s">
        <v>25</v>
      </c>
      <c r="B20" s="40" t="s">
        <v>8</v>
      </c>
      <c r="C20" s="41" t="s">
        <v>12</v>
      </c>
      <c r="D20" s="62">
        <f>SQRT(D18/D17)</f>
        <v>1.8816431824637987</v>
      </c>
      <c r="E20" s="60" t="str">
        <f>IF(AND(D20&lt;1.45, D20&gt;1.01),
 "❌ Relative Slenderness is outside the calibrated dataset - results may be less reliable.",
 IF(D20&lt;1,
      "❌ Relative Slenderness is too far outside the calibrated dataset - results are not reliable.",
      "✅ OK"))</f>
        <v>✅ OK</v>
      </c>
    </row>
    <row r="23" spans="1:5">
      <c r="A23" s="14" t="s">
        <v>30</v>
      </c>
      <c r="B23" s="45" t="s">
        <v>33</v>
      </c>
      <c r="C23" s="46"/>
      <c r="D23" s="42" cm="1">
        <f t="array" ref="D23">MAX(
  0.15,
  IF(
    OR(D15 &gt; 10000, D10 &gt; 8),
    IF(
      AND(D15 &gt; 10000, D10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(D15 -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(D10 - 6),
      IF(
        D15 &gt; 10000,
        INDEX(ReferenceData_Metal!$B$2:$I$12,MATCH(10000,ReferenceData_Metal!$A$2:$A$12,1),MATCH(MIN(D10,8),ReferenceData_Metal!$B$1:$I$1,1)) +
        ((INDEX(ReferenceData_Metal!$B$2:$I$12,MATCH(10000,ReferenceData_Metal!$A$2:$A$12,1),MATCH(MIN(D10,8),ReferenceData_Metal!$B$1:$I$1,1)) - INDEX(ReferenceData_Metal!$B$2:$I$12,MATCH(INDEX(ReferenceData_Metal!$A$2:$A$12,MATCH(10000,ReferenceData_Metal!$A$2:$A$12,1)-1),ReferenceData_Metal!$A$2:$A$12,1),MATCH(MIN(D10,8),ReferenceData_Metal!$B$1:$I$1,1))) /
        (10000 - INDEX(ReferenceData_Metal!$A$2:$A$12,MATCH(10000,ReferenceData_Metal!$A$2:$A$12,1)-1))) * (D15 - 10000),
        INDEX(ReferenceData_Metal!$B$2:$I$12,MATCH(MIN(D15,10000),ReferenceData_Metal!$A$2:$A$12,1),MATCH(8,ReferenceData_Metal!$B$1:$I$1,1)) +
        ((INDEX(ReferenceData_Metal!$B$2:$I$12,MATCH(MIN(D15,10000),ReferenceData_Metal!$A$2:$A$12,1),MATCH(8,ReferenceData_Metal!$B$1:$I$1,1)) - INDEX(ReferenceData_Metal!$B$2:$I$12,MATCH(MIN(D15,10000),ReferenceData_Metal!$A$2:$A$12,1),MATCH(6,ReferenceData_Metal!$B$1:$I$1,1)))/(8 - 6)) * (D10 - 8)
      )
    ),
    (1 - (D15 - INDEX(ReferenceData_Metal!$A$2:$A$12,MATCH(D15,ReferenceData_Metal!$A$2:$A$12,1))) /
      (INDEX(ReferenceData_Metal!$A$2:$A$12,MIN(MATCH(D15,ReferenceData_Metal!$A$2:$A$12,1)+1,ROWS(ReferenceData_Metal!$A$2:$A$12))) - INDEX(ReferenceData_Metal!$A$2:$A$12,MATCH(D15,ReferenceData_Metal!$A$2:$A$12,1)))) *
    (1 - (D10 - INDEX(ReferenceData_Metal!$B$1:$I$1,MATCH(D10,ReferenceData_Metal!$B$1:$I$1,1))) /
      (INDEX(ReferenceData_Metal!$B$1:$I$1,MIN(MATCH(D10,ReferenceData_Metal!$B$1:$I$1,1)+1,COLUMNS(ReferenceData_Metal!$B$1:$I$1))) - INDEX(ReferenceData_Metal!$B$1:$I$1,MATCH(D10,ReferenceData_Metal!$B$1:$I$1,1)))) *
    INDEX(ReferenceData_Metal!$B$2:$I$12,MATCH(D15,ReferenceData_Metal!$A$2:$A$12,1),MATCH(D10,ReferenceData_Metal!$B$1:$I$1,1)) +
    ((D15 - INDEX(ReferenceData_Metal!$A$2:$A$12,MATCH(D15,ReferenceData_Metal!$A$2:$A$12,1))) /
      (INDEX(ReferenceData_Metal!$A$2:$A$12,MIN(MATCH(D15,ReferenceData_Metal!$A$2:$A$12,1)+1,ROWS(ReferenceData_Metal!$A$2:$A$12))) - INDEX(ReferenceData_Metal!$A$2:$A$12,MATCH(D15,ReferenceData_Metal!$A$2:$A$12,1)))) *
    (1 - (D10 - INDEX(ReferenceData_Metal!$B$1:$I$1,MATCH(D10,ReferenceData_Metal!$B$1:$I$1,1))) /
      (INDEX(ReferenceData_Metal!$B$1:$I$1,MIN(MATCH(D10,ReferenceData_Metal!$B$1:$I$1,1)+1,COLUMNS(ReferenceData_Metal!$B$1:$I$1))) - INDEX(ReferenceData_Metal!$B$1:$I$1,MATCH(D10,ReferenceData_Metal!$B$1:$I$1,1)))) *
    INDEX(ReferenceData_Metal!$B$2:$I$12,MIN(MATCH(D15,ReferenceData_Metal!$A$2:$A$12,1)+1,ROWS(ReferenceData_Metal!$A$2:$A$12)),MATCH(D10,ReferenceData_Metal!$B$1:$I$1,1)) +
    (1 - (D15 - INDEX(ReferenceData_Metal!$A$2:$A$12,MATCH(D15,ReferenceData_Metal!$A$2:$A$12,1))) /
      (INDEX(ReferenceData_Metal!$A$2:$A$12,MIN(MATCH(D15,ReferenceData_Metal!$A$2:$A$12,1)+1,ROWS(ReferenceData_Metal!$A$2:$A$12))) - INDEX(ReferenceData_Metal!$A$2:$A$12,MATCH(D15,ReferenceData_Metal!$A$2:$A$12,1)))) *
    ((D10 - INDEX(ReferenceData_Metal!$B$1:$I$1,MATCH(D10,ReferenceData_Metal!$B$1:$I$1,1))) /
      (INDEX(ReferenceData_Metal!$B$1:$I$1,MIN(MATCH(D10,ReferenceData_Metal!$B$1:$I$1,1)+1,COLUMNS(ReferenceData_Metal!$B$1:$I$1))) - INDEX(ReferenceData_Metal!$B$1:$I$1,MATCH(D10,ReferenceData_Metal!$B$1:$I$1,1)))) *
    INDEX(ReferenceData_Metal!$B$2:$I$12,MATCH(D15,ReferenceData_Metal!$A$2:$A$12,1),MIN(MATCH(D10,ReferenceData_Metal!$B$1:$I$1,1)+1,COLUMNS(ReferenceData_Metal!$B$1:$I$1))) +
    ((D15 - INDEX(ReferenceData_Metal!$A$2:$A$12,MATCH(D15,ReferenceData_Metal!$A$2:$A$12,1))) /
      (INDEX(ReferenceData_Metal!$A$2:$A$12,MIN(MATCH(D15,ReferenceData_Metal!$A$2:$A$12,1)+1,ROWS(ReferenceData_Metal!$A$2:$A$12))) - INDEX(ReferenceData_Metal!$A$2:$A$12,MATCH(D15,ReferenceData_Metal!$A$2:$A$12,1)))) *
    ((D10 - INDEX(ReferenceData_Metal!$B$1:$I$1,MATCH(D10,ReferenceData_Metal!$B$1:$I$1,1))) /
      (INDEX(ReferenceData_Metal!$B$1:$I$1,MIN(MATCH(D10,ReferenceData_Metal!$B$1:$I$1,1)+1,COLUMNS(ReferenceData_Metal!$B$1:$I$1))) - INDEX(ReferenceData_Metal!$B$1:$I$1,MATCH(D10,ReferenceData_Metal!$B$1:$I$1,1)))) *
    INDEX(ReferenceData_Metal!$B$2:$I$12,MIN(MATCH(D15,ReferenceData_Metal!$A$2:$A$12,1)+1,ROWS(ReferenceData_Metal!$A$2:$A$12)),MIN(MATCH(D10,ReferenceData_Metal!$B$1:$I$1,1)+1,COLUMNS(ReferenceData_Metal!$B$1:$I$1)))
  )
)</f>
        <v>0.53399012443109772</v>
      </c>
    </row>
    <row r="24" spans="1:5">
      <c r="A24" s="15" t="s">
        <v>30</v>
      </c>
      <c r="B24" s="47" t="s">
        <v>28</v>
      </c>
      <c r="C24" s="48"/>
      <c r="D24" s="43" cm="1">
        <f t="array" ref="D24">MAX(
  0.15,
  IF(
    OR(D15 &gt; 10000, D10 &gt; 8),
    IF(
      AND(D15 &gt; 10000, D10 &gt; 8),
      INDEX(ReferenceData_Metal_CI!$B$2:$I$12,MATCH(INDEX(ReferenceData_Metal_CI!$A$2:$A$12,MATCH(10000,ReferenceData_Metal_CI!$A$2:$A$12,1)-1),ReferenceData_Metal_CI!$A$2:$A$12,1),MATCH(6,ReferenceData_Metal_CI!$B$1:$I$1,1)) +
      ((INDEX(ReferenceData_Metal_CI!$B$2:$I$12,MATCH(10000,ReferenceData_Metal_CI!$A$2:$A$12,1),MATCH(6,ReferenceData_Metal_CI!$B$1:$I$1,1)) - INDEX(ReferenceData_Metal_CI!$B$2:$I$12,MATCH(INDEX(ReferenceData_Metal_CI!$A$2:$A$12,MATCH(10000,ReferenceData_Metal_CI!$A$2:$A$12,1)-1),ReferenceData_Metal_CI!$A$2:$A$12,1),MATCH(6,ReferenceData_Metal_CI!$B$1:$I$1,1)))/
      (10000 - INDEX(ReferenceData_Metal_CI!$A$2:$A$12,MATCH(10000,ReferenceData_Metal_CI!$A$2:$A$12,1)-1))) * (D15 - INDEX(ReferenceData_Metal_CI!$A$2:$A$12,MATCH(10000,ReferenceData_Metal_CI!$A$2:$A$12,1)-1)) +
      ((INDEX(ReferenceData_Metal_CI!$B$2:$I$12,MATCH(INDEX(ReferenceData_Metal_CI!$A$2:$A$12,MATCH(10000,ReferenceData_Metal_CI!$A$2:$A$12,1)-1),ReferenceData_Metal_CI!$A$2:$A$12,1),MATCH(8,ReferenceData_Metal_CI!$B$1:$I$1,1)) - INDEX(ReferenceData_Metal_CI!$B$2:$I$12,MATCH(INDEX(ReferenceData_Metal_CI!$A$2:$A$12,MATCH(10000,ReferenceData_Metal_CI!$A$2:$A$12,1)-1),ReferenceData_Metal_CI!$A$2:$A$12,1),MATCH(6,ReferenceData_Metal_CI!$B$1:$I$1,1)))/(8 - 6)) * (D10 - 6),
      IF(
        D15 &gt; 10000,
        INDEX(ReferenceData_Metal_CI!$B$2:$I$12,MATCH(10000,ReferenceData_Metal_CI!$A$2:$A$12,1),MATCH(MIN(D10,8),ReferenceData_Metal_CI!$B$1:$I$1,1)) +
        ((INDEX(ReferenceData_Metal_CI!$B$2:$I$12,MATCH(10000,ReferenceData_Metal_CI!$A$2:$A$12,1),MATCH(MIN(D10,8),ReferenceData_Metal_CI!$B$1:$I$1,1)) - INDEX(ReferenceData_Metal_CI!$B$2:$I$12,MATCH(INDEX(ReferenceData_Metal_CI!$A$2:$A$12,MATCH(10000,ReferenceData_Metal_CI!$A$2:$A$12,1)-1),ReferenceData_Metal_CI!$A$2:$A$12,1),MATCH(MIN(D10,8),ReferenceData_Metal_CI!$B$1:$I$1,1))) /
        (10000 - INDEX(ReferenceData_Metal_CI!$A$2:$A$12,MATCH(10000,ReferenceData_Metal_CI!$A$2:$A$12,1)-1))) * (D15 - 10000),
        INDEX(ReferenceData_Metal_CI!$B$2:$I$12,MATCH(MIN(D15,10000),ReferenceData_Metal_CI!$A$2:$A$12,1),MATCH(8,ReferenceData_Metal_CI!$B$1:$I$1,1)) +
        ((INDEX(ReferenceData_Metal_CI!$B$2:$I$12,MATCH(MIN(D15,10000),ReferenceData_Metal_CI!$A$2:$A$12,1),MATCH(8,ReferenceData_Metal_CI!$B$1:$I$1,1)) - INDEX(ReferenceData_Metal_CI!$B$2:$I$12,MATCH(MIN(D15,10000),ReferenceData_Metal_CI!$A$2:$A$12,1),MATCH(6,ReferenceData_Metal_CI!$B$1:$I$1,1)))/(8 - 6)) * (D10 - 8)
      )
    ),
    (1 - (D15 - INDEX(ReferenceData_Metal_CI!$A$2:$A$12,MATCH(D15,ReferenceData_Metal_CI!$A$2:$A$12,1))) /
      (INDEX(ReferenceData_Metal_CI!$A$2:$A$12,MIN(MATCH(D15,ReferenceData_Metal_CI!$A$2:$A$12,1)+1,ROWS(ReferenceData_Metal_CI!$A$2:$A$12))) - INDEX(ReferenceData_Metal_CI!$A$2:$A$12,MATCH(D15,ReferenceData_Metal_CI!$A$2:$A$12,1)))) *
    (1 - (D10 - INDEX(ReferenceData_Metal_CI!$B$1:$I$1,MATCH(D10,ReferenceData_Metal_CI!$B$1:$I$1,1))) /
      (INDEX(ReferenceData_Metal_CI!$B$1:$I$1,MIN(MATCH(D10,ReferenceData_Metal_CI!$B$1:$I$1,1)+1,COLUMNS(ReferenceData_Metal_CI!$B$1:$I$1))) - INDEX(ReferenceData_Metal_CI!$B$1:$I$1,MATCH(D10,ReferenceData_Metal_CI!$B$1:$I$1,1)))) *
    INDEX(ReferenceData_Metal_CI!$B$2:$I$12,MATCH(D15,ReferenceData_Metal_CI!$A$2:$A$12,1),MATCH(D10,ReferenceData_Metal_CI!$B$1:$I$1,1)) +
    ((D15 - INDEX(ReferenceData_Metal_CI!$A$2:$A$12,MATCH(D15,ReferenceData_Metal_CI!$A$2:$A$12,1))) /
      (INDEX(ReferenceData_Metal_CI!$A$2:$A$12,MIN(MATCH(D15,ReferenceData_Metal_CI!$A$2:$A$12,1)+1,ROWS(ReferenceData_Metal_CI!$A$2:$A$12))) - INDEX(ReferenceData_Metal_CI!$A$2:$A$12,MATCH(D15,ReferenceData_Metal_CI!$A$2:$A$12,1)))) *
    (1 - (D10 - INDEX(ReferenceData_Metal_CI!$B$1:$I$1,MATCH(D10,ReferenceData_Metal_CI!$B$1:$I$1,1))) /
      (INDEX(ReferenceData_Metal_CI!$B$1:$I$1,MIN(MATCH(D10,ReferenceData_Metal_CI!$B$1:$I$1,1)+1,COLUMNS(ReferenceData_Metal_CI!$B$1:$I$1))) - INDEX(ReferenceData_Metal_CI!$B$1:$I$1,MATCH(D10,ReferenceData_Metal_CI!$B$1:$I$1,1)))) *
    INDEX(ReferenceData_Metal_CI!$B$2:$I$12,MIN(MATCH(D15,ReferenceData_Metal_CI!$A$2:$A$12,1)+1,ROWS(ReferenceData_Metal_CI!$A$2:$A$12)),MATCH(D10,ReferenceData_Metal_CI!$B$1:$I$1,1)) +
    (1 - (D15 - INDEX(ReferenceData_Metal_CI!$A$2:$A$12,MATCH(D15,ReferenceData_Metal_CI!$A$2:$A$12,1))) /
      (INDEX(ReferenceData_Metal_CI!$A$2:$A$12,MIN(MATCH(D15,ReferenceData_Metal_CI!$A$2:$A$12,1)+1,ROWS(ReferenceData_Metal_CI!$A$2:$A$12))) - INDEX(ReferenceData_Metal_CI!$A$2:$A$12,MATCH(D15,ReferenceData_Metal_CI!$A$2:$A$12,1)))) *
    ((D10 - INDEX(ReferenceData_Metal_CI!$B$1:$I$1,MATCH(D10,ReferenceData_Metal_CI!$B$1:$I$1,1))) /
      (INDEX(ReferenceData_Metal_CI!$B$1:$I$1,MIN(MATCH(D10,ReferenceData_Metal_CI!$B$1:$I$1,1)+1,COLUMNS(ReferenceData_Metal_CI!$B$1:$I$1))) - INDEX(ReferenceData_Metal_CI!$B$1:$I$1,MATCH(D10,ReferenceData_Metal_CI!$B$1:$I$1,1)))) *
    INDEX(ReferenceData_Metal_CI!$B$2:$I$12,MATCH(D15,ReferenceData_Metal_CI!$A$2:$A$12,1),MIN(MATCH(D10,ReferenceData_Metal_CI!$B$1:$I$1,1)+1,COLUMNS(ReferenceData_Metal_CI!$B$1:$I$1))) +
    ((D15 - INDEX(ReferenceData_Metal_CI!$A$2:$A$12,MATCH(D15,ReferenceData_Metal_CI!$A$2:$A$12,1))) /
      (INDEX(ReferenceData_Metal_CI!$A$2:$A$12,MIN(MATCH(D15,ReferenceData_Metal_CI!$A$2:$A$12,1)+1,ROWS(ReferenceData_Metal_CI!$A$2:$A$12))) - INDEX(ReferenceData_Metal_CI!$A$2:$A$12,MATCH(D15,ReferenceData_Metal_CI!$A$2:$A$12,1)))) *
    ((D10 - INDEX(ReferenceData_Metal_CI!$B$1:$I$1,MATCH(D10,ReferenceData_Metal_CI!$B$1:$I$1,1))) /
      (INDEX(ReferenceData_Metal_CI!$B$1:$I$1,MIN(MATCH(D10,ReferenceData_Metal_CI!$B$1:$I$1,1)+1,COLUMNS(ReferenceData_Metal_CI!$B$1:$I$1))) - INDEX(ReferenceData_Metal_CI!$B$1:$I$1,MATCH(D10,ReferenceData_Metal_CI!$B$1:$I$1,1)))) *
    INDEX(ReferenceData_Metal_CI!$B$2:$I$12,MIN(MATCH(D15,ReferenceData_Metal_CI!$A$2:$A$12,1)+1,ROWS(ReferenceData_Metal_CI!$A$2:$A$12)),MIN(MATCH(D10,ReferenceData_Metal_CI!$B$1:$I$1,1)+1,COLUMNS(ReferenceData_Metal_CI!$B$1:$I$1)))
  )
)</f>
        <v>0.52200403668707529</v>
      </c>
    </row>
    <row r="25" spans="1:5">
      <c r="A25" s="15" t="s">
        <v>31</v>
      </c>
      <c r="B25" s="56" t="s">
        <v>34</v>
      </c>
      <c r="C25" s="57"/>
      <c r="D25" s="58">
        <f>1-0.902*(1-EXP(-(1/16)*(SQRT(D13))))</f>
        <v>0.38616287503446278</v>
      </c>
    </row>
    <row r="26" spans="1:5">
      <c r="A26" s="15" t="s">
        <v>31</v>
      </c>
      <c r="B26" s="56" t="s">
        <v>35</v>
      </c>
      <c r="C26" s="57"/>
      <c r="D26" s="58">
        <v>0.33</v>
      </c>
    </row>
    <row r="27" spans="1:5">
      <c r="A27" s="15"/>
      <c r="B27" s="47"/>
      <c r="C27" s="48"/>
      <c r="D27" s="44"/>
    </row>
    <row r="28" spans="1:5">
      <c r="A28" s="52" t="s">
        <v>30</v>
      </c>
      <c r="B28" s="53" t="s">
        <v>36</v>
      </c>
      <c r="C28" s="54"/>
      <c r="D28" s="55">
        <f>D23*D17</f>
        <v>319.82494086622648</v>
      </c>
      <c r="E28" t="s">
        <v>39</v>
      </c>
    </row>
    <row r="29" spans="1:5">
      <c r="A29" s="16" t="s">
        <v>32</v>
      </c>
      <c r="B29" s="49" t="s">
        <v>29</v>
      </c>
      <c r="C29" s="50"/>
      <c r="D29" s="51">
        <f>MAX(1 - SQRT(D25 / D23))</f>
        <v>0.14960901622951572</v>
      </c>
    </row>
    <row r="35" spans="2:2">
      <c r="B35" s="63"/>
    </row>
  </sheetData>
  <conditionalFormatting sqref="E10">
    <cfRule type="cellIs" dxfId="5" priority="5" operator="equal">
      <formula>"✅ OK"</formula>
    </cfRule>
    <cfRule type="cellIs" dxfId="4" priority="6" operator="equal">
      <formula>"OK"</formula>
    </cfRule>
  </conditionalFormatting>
  <conditionalFormatting sqref="E15">
    <cfRule type="cellIs" dxfId="3" priority="3" operator="equal">
      <formula>"✅ OK"</formula>
    </cfRule>
    <cfRule type="cellIs" dxfId="2" priority="4" operator="equal">
      <formula>"OK"</formula>
    </cfRule>
  </conditionalFormatting>
  <conditionalFormatting sqref="E20">
    <cfRule type="cellIs" dxfId="1" priority="1" operator="equal">
      <formula>"✅ OK"</formula>
    </cfRule>
    <cfRule type="cellIs" dxfId="0" priority="2" operator="equal">
      <formula>"OK"</formula>
    </cfRule>
  </conditionalFormatting>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322EF-01E9-482E-B806-D837BC914975}">
  <dimension ref="B2:B41"/>
  <sheetViews>
    <sheetView topLeftCell="A3" workbookViewId="0">
      <selection activeCell="B28" sqref="B28"/>
    </sheetView>
  </sheetViews>
  <sheetFormatPr baseColWidth="10" defaultColWidth="11.5703125" defaultRowHeight="15"/>
  <sheetData>
    <row r="2" spans="2:2" ht="15.75">
      <c r="B2" s="66" t="s">
        <v>98</v>
      </c>
    </row>
    <row r="3" spans="2:2">
      <c r="B3" s="65"/>
    </row>
    <row r="4" spans="2:2">
      <c r="B4" s="65" t="s">
        <v>89</v>
      </c>
    </row>
    <row r="6" spans="2:2" ht="15.75">
      <c r="B6" s="66" t="s">
        <v>90</v>
      </c>
    </row>
    <row r="7" spans="2:2">
      <c r="B7" s="65"/>
    </row>
    <row r="8" spans="2:2">
      <c r="B8" s="65" t="s">
        <v>91</v>
      </c>
    </row>
    <row r="10" spans="2:2" ht="15.75">
      <c r="B10" s="66" t="s">
        <v>92</v>
      </c>
    </row>
    <row r="11" spans="2:2">
      <c r="B11" s="65"/>
    </row>
    <row r="12" spans="2:2">
      <c r="B12" s="65" t="s">
        <v>93</v>
      </c>
    </row>
    <row r="13" spans="2:2">
      <c r="B13" s="70"/>
    </row>
    <row r="14" spans="2:2">
      <c r="B14" s="71" t="s">
        <v>94</v>
      </c>
    </row>
    <row r="15" spans="2:2">
      <c r="B15" s="70"/>
    </row>
    <row r="16" spans="2:2">
      <c r="B16" s="71" t="s">
        <v>95</v>
      </c>
    </row>
    <row r="17" spans="2:2">
      <c r="B17" s="70"/>
    </row>
    <row r="18" spans="2:2">
      <c r="B18" s="71" t="s">
        <v>96</v>
      </c>
    </row>
    <row r="19" spans="2:2">
      <c r="B19" s="70"/>
    </row>
    <row r="20" spans="2:2">
      <c r="B20" s="71" t="s">
        <v>97</v>
      </c>
    </row>
    <row r="21" spans="2:2">
      <c r="B21" s="65"/>
    </row>
    <row r="22" spans="2:2">
      <c r="B22" s="71" t="s">
        <v>101</v>
      </c>
    </row>
    <row r="23" spans="2:2">
      <c r="B23" s="65"/>
    </row>
    <row r="24" spans="2:2">
      <c r="B24" s="70" t="s">
        <v>104</v>
      </c>
    </row>
    <row r="26" spans="2:2">
      <c r="B26" s="71" t="s">
        <v>103</v>
      </c>
    </row>
    <row r="31" spans="2:2" ht="15.75">
      <c r="B31" s="66" t="s">
        <v>102</v>
      </c>
    </row>
    <row r="33" spans="2:2">
      <c r="B33" s="64" t="s">
        <v>52</v>
      </c>
    </row>
    <row r="34" spans="2:2">
      <c r="B34" s="64" t="s">
        <v>108</v>
      </c>
    </row>
    <row r="35" spans="2:2">
      <c r="B35" s="64" t="s">
        <v>53</v>
      </c>
    </row>
    <row r="41" spans="2:2">
      <c r="B41" s="64"/>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4D3EC-8073-4565-AFB9-2CEBA83FB1DE}">
  <dimension ref="B3:M47"/>
  <sheetViews>
    <sheetView workbookViewId="0">
      <selection activeCell="M35" sqref="M35"/>
    </sheetView>
  </sheetViews>
  <sheetFormatPr baseColWidth="10" defaultColWidth="11.5703125" defaultRowHeight="15"/>
  <sheetData>
    <row r="3" spans="2:13">
      <c r="B3" t="s">
        <v>54</v>
      </c>
    </row>
    <row r="4" spans="2:13">
      <c r="B4" t="s">
        <v>55</v>
      </c>
    </row>
    <row r="6" spans="2:13">
      <c r="B6" t="s">
        <v>64</v>
      </c>
    </row>
    <row r="8" spans="2:13">
      <c r="B8" s="64"/>
    </row>
    <row r="9" spans="2:13" ht="24">
      <c r="B9" s="67" t="s">
        <v>65</v>
      </c>
      <c r="M9" t="s">
        <v>56</v>
      </c>
    </row>
    <row r="10" spans="2:13">
      <c r="M10" t="s">
        <v>57</v>
      </c>
    </row>
    <row r="11" spans="2:13" ht="18">
      <c r="B11" s="68" t="s">
        <v>66</v>
      </c>
    </row>
    <row r="12" spans="2:13">
      <c r="B12" s="65"/>
      <c r="M12" t="s">
        <v>58</v>
      </c>
    </row>
    <row r="13" spans="2:13">
      <c r="B13" s="69" t="s">
        <v>67</v>
      </c>
      <c r="M13" t="s">
        <v>60</v>
      </c>
    </row>
    <row r="14" spans="2:13">
      <c r="B14" s="65"/>
      <c r="M14" t="s">
        <v>61</v>
      </c>
    </row>
    <row r="15" spans="2:13">
      <c r="B15" s="69" t="s">
        <v>68</v>
      </c>
      <c r="M15" t="s">
        <v>105</v>
      </c>
    </row>
    <row r="16" spans="2:13">
      <c r="B16" s="65"/>
      <c r="M16" t="s">
        <v>62</v>
      </c>
    </row>
    <row r="17" spans="2:13">
      <c r="B17" s="69" t="s">
        <v>69</v>
      </c>
      <c r="M17" t="s">
        <v>106</v>
      </c>
    </row>
    <row r="18" spans="2:13">
      <c r="M18" t="s">
        <v>59</v>
      </c>
    </row>
    <row r="21" spans="2:13" ht="18">
      <c r="B21" s="68" t="s">
        <v>70</v>
      </c>
      <c r="M21" t="s">
        <v>82</v>
      </c>
    </row>
    <row r="22" spans="2:13">
      <c r="B22" s="65"/>
    </row>
    <row r="23" spans="2:13">
      <c r="B23" s="69" t="s">
        <v>71</v>
      </c>
    </row>
    <row r="24" spans="2:13">
      <c r="B24" s="65"/>
    </row>
    <row r="25" spans="2:13">
      <c r="B25" s="69" t="s">
        <v>72</v>
      </c>
    </row>
    <row r="26" spans="2:13">
      <c r="B26" s="65"/>
    </row>
    <row r="27" spans="2:13">
      <c r="B27" s="69" t="s">
        <v>73</v>
      </c>
    </row>
    <row r="31" spans="2:13" ht="18">
      <c r="B31" s="68" t="s">
        <v>74</v>
      </c>
      <c r="M31" s="68" t="s">
        <v>83</v>
      </c>
    </row>
    <row r="32" spans="2:13">
      <c r="B32" s="65"/>
      <c r="M32" s="65"/>
    </row>
    <row r="33" spans="2:13">
      <c r="B33" s="69" t="s">
        <v>75</v>
      </c>
      <c r="M33" s="69" t="s">
        <v>84</v>
      </c>
    </row>
    <row r="34" spans="2:13">
      <c r="B34" s="65"/>
    </row>
    <row r="35" spans="2:13">
      <c r="B35" s="69" t="s">
        <v>76</v>
      </c>
      <c r="M35" t="s">
        <v>85</v>
      </c>
    </row>
    <row r="36" spans="2:13">
      <c r="B36" s="65"/>
    </row>
    <row r="37" spans="2:13">
      <c r="B37" s="69" t="s">
        <v>77</v>
      </c>
    </row>
    <row r="39" spans="2:13" ht="18">
      <c r="M39" s="68" t="s">
        <v>86</v>
      </c>
    </row>
    <row r="41" spans="2:13" ht="18">
      <c r="B41" s="68" t="s">
        <v>78</v>
      </c>
      <c r="M41" t="s">
        <v>87</v>
      </c>
    </row>
    <row r="42" spans="2:13">
      <c r="B42" s="65"/>
      <c r="M42" t="s">
        <v>109</v>
      </c>
    </row>
    <row r="43" spans="2:13">
      <c r="B43" s="69" t="s">
        <v>79</v>
      </c>
    </row>
    <row r="44" spans="2:13">
      <c r="B44" s="65"/>
    </row>
    <row r="45" spans="2:13">
      <c r="B45" s="69" t="s">
        <v>80</v>
      </c>
    </row>
    <row r="46" spans="2:13">
      <c r="B46" s="65"/>
    </row>
    <row r="47" spans="2:13">
      <c r="B47" s="69" t="s">
        <v>81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49985-E159-4975-9098-60D5D9626053}">
  <dimension ref="A1:I12"/>
  <sheetViews>
    <sheetView workbookViewId="0">
      <selection activeCell="K10" sqref="K10"/>
    </sheetView>
  </sheetViews>
  <sheetFormatPr baseColWidth="10" defaultColWidth="11.5703125" defaultRowHeight="15"/>
  <sheetData>
    <row r="1" spans="1:9">
      <c r="A1" t="s">
        <v>4</v>
      </c>
      <c r="B1">
        <v>0</v>
      </c>
      <c r="C1">
        <v>0.5</v>
      </c>
      <c r="D1">
        <v>1</v>
      </c>
      <c r="E1">
        <v>2</v>
      </c>
      <c r="F1">
        <v>3</v>
      </c>
      <c r="G1">
        <v>4</v>
      </c>
      <c r="H1">
        <v>6</v>
      </c>
      <c r="I1">
        <v>8</v>
      </c>
    </row>
    <row r="2" spans="1:9">
      <c r="A2">
        <v>50</v>
      </c>
      <c r="B2">
        <v>0.80300000000000005</v>
      </c>
      <c r="C2">
        <v>0.66500000000000004</v>
      </c>
      <c r="D2">
        <v>0.60499999999999998</v>
      </c>
      <c r="E2">
        <v>0.51700000000000002</v>
      </c>
      <c r="F2">
        <v>0.51500000000000001</v>
      </c>
      <c r="G2">
        <v>0.48499999999999999</v>
      </c>
      <c r="H2">
        <v>0.46800000000000003</v>
      </c>
      <c r="I2">
        <v>0.45700000000000002</v>
      </c>
    </row>
    <row r="3" spans="1:9">
      <c r="A3">
        <v>100</v>
      </c>
      <c r="B3">
        <v>0.71399999999999997</v>
      </c>
      <c r="C3">
        <v>0.56100000000000005</v>
      </c>
      <c r="D3">
        <v>0.46500000000000002</v>
      </c>
      <c r="E3">
        <v>0.40200000000000002</v>
      </c>
      <c r="F3">
        <v>0.374</v>
      </c>
      <c r="G3">
        <v>0.35599999999999998</v>
      </c>
      <c r="H3">
        <v>0.33</v>
      </c>
      <c r="I3">
        <v>0.311</v>
      </c>
    </row>
    <row r="4" spans="1:9">
      <c r="A4">
        <v>200</v>
      </c>
      <c r="B4">
        <v>0.64700000000000002</v>
      </c>
      <c r="C4">
        <v>0.54</v>
      </c>
      <c r="D4">
        <v>0.43099999999999999</v>
      </c>
      <c r="E4">
        <v>0.35799999999999998</v>
      </c>
      <c r="F4">
        <v>0.32300000000000001</v>
      </c>
      <c r="G4">
        <v>0.28100000000000003</v>
      </c>
      <c r="H4">
        <v>0.26900000000000002</v>
      </c>
      <c r="I4">
        <v>0.248</v>
      </c>
    </row>
    <row r="5" spans="1:9">
      <c r="A5">
        <v>400</v>
      </c>
      <c r="B5">
        <v>0.56999999999999995</v>
      </c>
      <c r="C5">
        <v>0.503</v>
      </c>
      <c r="D5">
        <v>0.42299999999999999</v>
      </c>
      <c r="E5">
        <v>0.34799999999999998</v>
      </c>
      <c r="F5">
        <v>0.30599999999999999</v>
      </c>
      <c r="G5">
        <v>0.27700000000000002</v>
      </c>
      <c r="H5">
        <v>0.249</v>
      </c>
      <c r="I5">
        <v>0.23100000000000001</v>
      </c>
    </row>
    <row r="6" spans="1:9">
      <c r="A6">
        <v>700</v>
      </c>
      <c r="B6">
        <v>0.505</v>
      </c>
      <c r="C6">
        <v>0.47899999999999998</v>
      </c>
      <c r="D6">
        <v>0.443</v>
      </c>
      <c r="E6">
        <v>0.34499999999999997</v>
      </c>
      <c r="F6">
        <v>0.29099999999999998</v>
      </c>
      <c r="G6">
        <v>0.27400000000000002</v>
      </c>
      <c r="H6">
        <v>0.23899999999999999</v>
      </c>
      <c r="I6">
        <v>0.21199999999999999</v>
      </c>
    </row>
    <row r="7" spans="1:9">
      <c r="A7">
        <v>1000</v>
      </c>
      <c r="B7">
        <v>0.46300000000000002</v>
      </c>
      <c r="C7">
        <v>0.45300000000000001</v>
      </c>
      <c r="D7">
        <v>0.40799999999999997</v>
      </c>
      <c r="E7">
        <v>0.35199999999999998</v>
      </c>
      <c r="F7">
        <v>0.3</v>
      </c>
      <c r="G7">
        <v>0.26700000000000002</v>
      </c>
      <c r="H7">
        <v>0.23400000000000001</v>
      </c>
      <c r="I7">
        <v>0.20799999999999999</v>
      </c>
    </row>
    <row r="8" spans="1:9">
      <c r="A8">
        <v>1500</v>
      </c>
      <c r="B8">
        <v>0.42699999999999999</v>
      </c>
      <c r="C8">
        <v>0.42199999999999999</v>
      </c>
      <c r="D8">
        <v>0.38700000000000001</v>
      </c>
      <c r="E8">
        <v>0.35699999999999998</v>
      </c>
      <c r="F8">
        <v>0.30399999999999999</v>
      </c>
      <c r="G8">
        <v>0.26400000000000001</v>
      </c>
      <c r="H8">
        <v>0.23699999999999999</v>
      </c>
      <c r="I8">
        <v>0.20599999999999999</v>
      </c>
    </row>
    <row r="9" spans="1:9">
      <c r="A9">
        <v>2000</v>
      </c>
      <c r="B9">
        <v>0.40300000000000002</v>
      </c>
      <c r="C9">
        <v>0.39700000000000002</v>
      </c>
      <c r="D9">
        <v>0.38</v>
      </c>
      <c r="E9">
        <v>0.33600000000000002</v>
      </c>
      <c r="F9">
        <v>0.30299999999999999</v>
      </c>
      <c r="G9">
        <v>0.28000000000000003</v>
      </c>
      <c r="H9">
        <v>0.23100000000000001</v>
      </c>
      <c r="I9">
        <v>0.20200000000000001</v>
      </c>
    </row>
    <row r="10" spans="1:9">
      <c r="A10">
        <v>3000</v>
      </c>
      <c r="B10">
        <v>0.371</v>
      </c>
      <c r="C10">
        <v>0.36699999999999999</v>
      </c>
      <c r="D10">
        <v>0.36</v>
      </c>
      <c r="E10">
        <v>0.32700000000000001</v>
      </c>
      <c r="F10">
        <v>0.307</v>
      </c>
      <c r="G10">
        <v>0.28299999999999997</v>
      </c>
      <c r="H10">
        <v>0.23599999999999999</v>
      </c>
      <c r="I10">
        <v>0.21</v>
      </c>
    </row>
    <row r="11" spans="1:9">
      <c r="A11">
        <v>5000</v>
      </c>
      <c r="B11">
        <v>0.33800000000000002</v>
      </c>
      <c r="C11">
        <v>0.33700000000000002</v>
      </c>
      <c r="D11">
        <v>0.32500000000000001</v>
      </c>
      <c r="E11">
        <v>0.30499999999999999</v>
      </c>
      <c r="F11">
        <v>0.29499999999999998</v>
      </c>
      <c r="G11">
        <v>0.26800000000000002</v>
      </c>
      <c r="H11">
        <v>0.23400000000000001</v>
      </c>
      <c r="I11">
        <v>0.20899999999999999</v>
      </c>
    </row>
    <row r="12" spans="1:9">
      <c r="A12">
        <v>10000</v>
      </c>
      <c r="B12">
        <v>0.30099999999999999</v>
      </c>
      <c r="C12">
        <v>0.29799999999999999</v>
      </c>
      <c r="D12">
        <v>0.29399999999999998</v>
      </c>
      <c r="E12">
        <v>0.27200000000000002</v>
      </c>
      <c r="F12">
        <v>0.25700000000000001</v>
      </c>
      <c r="G12">
        <v>0.23200000000000001</v>
      </c>
      <c r="H12">
        <v>0.215</v>
      </c>
      <c r="I12">
        <v>0.21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84AE6-8A22-42F6-A0F2-BC522DDAA54B}">
  <dimension ref="A1:K31"/>
  <sheetViews>
    <sheetView workbookViewId="0">
      <selection activeCell="E19" sqref="E19"/>
    </sheetView>
  </sheetViews>
  <sheetFormatPr baseColWidth="10" defaultColWidth="11.5703125" defaultRowHeight="15"/>
  <sheetData>
    <row r="1" spans="1:9">
      <c r="A1" t="s">
        <v>4</v>
      </c>
      <c r="B1">
        <v>0</v>
      </c>
      <c r="C1">
        <v>0.5</v>
      </c>
      <c r="D1">
        <v>1</v>
      </c>
      <c r="E1">
        <v>2</v>
      </c>
      <c r="F1">
        <v>3</v>
      </c>
      <c r="G1">
        <v>4</v>
      </c>
      <c r="H1">
        <v>6</v>
      </c>
      <c r="I1">
        <v>8</v>
      </c>
    </row>
    <row r="2" spans="1:9">
      <c r="A2">
        <v>50</v>
      </c>
      <c r="B2">
        <v>0.80800000000000005</v>
      </c>
      <c r="C2">
        <v>0.69799999999999995</v>
      </c>
      <c r="D2">
        <v>0.622</v>
      </c>
      <c r="E2">
        <v>0.54600000000000004</v>
      </c>
      <c r="F2">
        <v>0.52200000000000002</v>
      </c>
      <c r="G2">
        <v>0.49399999999999999</v>
      </c>
      <c r="H2">
        <v>0.48399999999999999</v>
      </c>
      <c r="I2">
        <v>0.46800000000000003</v>
      </c>
    </row>
    <row r="3" spans="1:9">
      <c r="A3">
        <v>100</v>
      </c>
      <c r="B3">
        <v>0.72699999999999998</v>
      </c>
      <c r="C3">
        <v>0.56999999999999995</v>
      </c>
      <c r="D3">
        <v>0.47799999999999998</v>
      </c>
      <c r="E3">
        <v>0.42</v>
      </c>
      <c r="F3">
        <v>0.38100000000000001</v>
      </c>
      <c r="G3">
        <v>0.35799999999999998</v>
      </c>
      <c r="H3">
        <v>0.34100000000000003</v>
      </c>
      <c r="I3">
        <v>0.32200000000000001</v>
      </c>
    </row>
    <row r="4" spans="1:9">
      <c r="A4">
        <v>200</v>
      </c>
      <c r="B4">
        <v>0.65400000000000003</v>
      </c>
      <c r="C4">
        <v>0.54700000000000004</v>
      </c>
      <c r="D4">
        <v>0.437</v>
      </c>
      <c r="E4">
        <v>0.36699999999999999</v>
      </c>
      <c r="F4">
        <v>0.32500000000000001</v>
      </c>
      <c r="G4">
        <v>0.29699999999999999</v>
      </c>
      <c r="H4">
        <v>0.27600000000000002</v>
      </c>
      <c r="I4">
        <v>0.25900000000000001</v>
      </c>
    </row>
    <row r="5" spans="1:9">
      <c r="A5">
        <v>400</v>
      </c>
      <c r="B5">
        <v>0.57299999999999995</v>
      </c>
      <c r="C5">
        <v>0.52400000000000002</v>
      </c>
      <c r="D5">
        <v>0.437</v>
      </c>
      <c r="E5">
        <v>0.35299999999999998</v>
      </c>
      <c r="F5">
        <v>0.311</v>
      </c>
      <c r="G5">
        <v>0.28299999999999997</v>
      </c>
      <c r="H5">
        <v>0.253</v>
      </c>
      <c r="I5">
        <v>0.23499999999999999</v>
      </c>
    </row>
    <row r="6" spans="1:9">
      <c r="A6">
        <v>700</v>
      </c>
      <c r="B6">
        <v>0.50700000000000001</v>
      </c>
      <c r="C6">
        <v>0.48499999999999999</v>
      </c>
      <c r="D6">
        <v>0.45500000000000002</v>
      </c>
      <c r="E6">
        <v>0.35099999999999998</v>
      </c>
      <c r="F6">
        <v>0.29799999999999999</v>
      </c>
      <c r="G6">
        <v>0.28000000000000003</v>
      </c>
      <c r="H6">
        <v>0.24299999999999999</v>
      </c>
      <c r="I6">
        <v>0.216</v>
      </c>
    </row>
    <row r="7" spans="1:9">
      <c r="A7">
        <v>1000</v>
      </c>
      <c r="B7">
        <v>0.46700000000000003</v>
      </c>
      <c r="C7">
        <v>0.46</v>
      </c>
      <c r="D7">
        <v>0.42499999999999999</v>
      </c>
      <c r="E7">
        <v>0.35899999999999999</v>
      </c>
      <c r="F7">
        <v>0.30599999999999999</v>
      </c>
      <c r="G7">
        <v>0.27300000000000002</v>
      </c>
      <c r="H7">
        <v>0.24</v>
      </c>
      <c r="I7">
        <v>0.214</v>
      </c>
    </row>
    <row r="8" spans="1:9">
      <c r="A8">
        <v>1500</v>
      </c>
      <c r="B8">
        <v>0.42899999999999999</v>
      </c>
      <c r="C8">
        <v>0.42499999999999999</v>
      </c>
      <c r="D8">
        <v>0.40400000000000003</v>
      </c>
      <c r="E8">
        <v>0.36499999999999999</v>
      </c>
      <c r="F8">
        <v>0.313</v>
      </c>
      <c r="G8">
        <v>0.27300000000000002</v>
      </c>
      <c r="H8">
        <v>0.24</v>
      </c>
      <c r="I8">
        <v>0.20899999999999999</v>
      </c>
    </row>
    <row r="9" spans="1:9">
      <c r="A9">
        <v>2000</v>
      </c>
      <c r="B9">
        <v>0.40600000000000003</v>
      </c>
      <c r="C9">
        <v>0.40300000000000002</v>
      </c>
      <c r="D9">
        <v>0.38800000000000001</v>
      </c>
      <c r="E9">
        <v>0.35699999999999998</v>
      </c>
      <c r="F9">
        <v>0.316</v>
      </c>
      <c r="G9">
        <v>0.28599999999999998</v>
      </c>
      <c r="H9">
        <v>0.23799999999999999</v>
      </c>
      <c r="I9">
        <v>0.21</v>
      </c>
    </row>
    <row r="10" spans="1:9">
      <c r="A10">
        <v>3000</v>
      </c>
      <c r="B10">
        <v>0.374</v>
      </c>
      <c r="C10">
        <v>0.372</v>
      </c>
      <c r="D10">
        <v>0.36599999999999999</v>
      </c>
      <c r="E10">
        <v>0.33700000000000002</v>
      </c>
      <c r="F10">
        <v>0.318</v>
      </c>
      <c r="G10">
        <v>0.28699999999999998</v>
      </c>
      <c r="H10">
        <v>0.23899999999999999</v>
      </c>
      <c r="I10">
        <v>0.217</v>
      </c>
    </row>
    <row r="11" spans="1:9">
      <c r="A11">
        <v>5000</v>
      </c>
      <c r="B11">
        <v>0.34200000000000003</v>
      </c>
      <c r="C11">
        <v>0.34</v>
      </c>
      <c r="D11">
        <v>0.33100000000000002</v>
      </c>
      <c r="E11">
        <v>0.32</v>
      </c>
      <c r="F11">
        <v>0.307</v>
      </c>
      <c r="G11">
        <v>0.28299999999999997</v>
      </c>
      <c r="H11">
        <v>0.246</v>
      </c>
      <c r="I11">
        <v>0.221</v>
      </c>
    </row>
    <row r="12" spans="1:9">
      <c r="A12">
        <v>10000</v>
      </c>
      <c r="B12">
        <v>0.30299999999999999</v>
      </c>
      <c r="C12">
        <v>0.30099999999999999</v>
      </c>
      <c r="D12">
        <v>0.29799999999999999</v>
      </c>
      <c r="E12">
        <v>0.28599999999999998</v>
      </c>
      <c r="F12">
        <v>0.26700000000000002</v>
      </c>
      <c r="G12">
        <v>0.254</v>
      </c>
      <c r="H12">
        <v>0.23200000000000001</v>
      </c>
      <c r="I12">
        <v>0.218</v>
      </c>
    </row>
    <row r="14" spans="1:9">
      <c r="B14" t="s">
        <v>49</v>
      </c>
      <c r="C14" t="s">
        <v>40</v>
      </c>
      <c r="D14" t="s">
        <v>41</v>
      </c>
      <c r="E14" t="s">
        <v>42</v>
      </c>
      <c r="F14" t="s">
        <v>43</v>
      </c>
      <c r="G14" t="s">
        <v>44</v>
      </c>
      <c r="H14" t="s">
        <v>45</v>
      </c>
      <c r="I14" t="s">
        <v>46</v>
      </c>
    </row>
    <row r="17" spans="1:11">
      <c r="A17" t="s">
        <v>47</v>
      </c>
    </row>
    <row r="18" spans="1:11">
      <c r="A18" t="s">
        <v>48</v>
      </c>
      <c r="C18" t="s">
        <v>50</v>
      </c>
    </row>
    <row r="19" spans="1:11">
      <c r="C19">
        <f>'Shell_KDF_Calculator (Metric)'!$D$10</f>
        <v>0.3</v>
      </c>
    </row>
    <row r="20" spans="1:11">
      <c r="A20" t="s">
        <v>4</v>
      </c>
      <c r="C20" t="s">
        <v>51</v>
      </c>
    </row>
    <row r="21" spans="1:11">
      <c r="A21">
        <v>50</v>
      </c>
      <c r="B21" t="e" cm="1">
        <f t="array" aca="1" ref="B21" ca="1">IF('Shell_KDF_Calculator (Metric)'!$D$10=0,B2,IF('Shell_KDF_Calculator (Metric)'!$D$10=0.5,C2,IF('Shell_KDF_Calculator (Metric)'!$D$10=1,D2,IF('Shell_KDF_Calculator (Metric)'!$D$10=2,E2,_xludf.NA()))))</f>
        <v>#NAME?</v>
      </c>
      <c r="C21" cm="1">
        <f t="array" ref="C21">MAX(
  0.15,
  IF(
    OR(A21 &gt; 10000, D21 &gt; 8),
    IF(
      AND(A21 &gt; 10000, D21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(A21 -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(D21 - 6),
      IF(
        A21 &gt; 10000,
        INDEX(ReferenceData_Metal!$B$2:$I$12,MATCH(10000,ReferenceData_Metal!$A$2:$A$12,1),MATCH(MIN(D21,8),ReferenceData_Metal!$B$1:$I$1,1)) +
        ((INDEX(ReferenceData_Metal!$B$2:$I$12,MATCH(10000,ReferenceData_Metal!$A$2:$A$12,1),MATCH(MIN(D21,8),ReferenceData_Metal!$B$1:$I$1,1)) - INDEX(ReferenceData_Metal!$B$2:$I$12,MATCH(INDEX(ReferenceData_Metal!$A$2:$A$12,MATCH(10000,ReferenceData_Metal!$A$2:$A$12,1)-1),ReferenceData_Metal!$A$2:$A$12,1),MATCH(MIN(D21,8),ReferenceData_Metal!$B$1:$I$1,1))) /
        (10000 - INDEX(ReferenceData_Metal!$A$2:$A$12,MATCH(10000,ReferenceData_Metal!$A$2:$A$12,1)-1))) * (A21 - 10000),
        INDEX(ReferenceData_Metal!$B$2:$I$12,MATCH(MIN(A21,10000),ReferenceData_Metal!$A$2:$A$12,1),MATCH(8,ReferenceData_Metal!$B$1:$I$1,1)) +
        ((INDEX(ReferenceData_Metal!$B$2:$I$12,MATCH(MIN(A21,10000),ReferenceData_Metal!$A$2:$A$12,1),MATCH(8,ReferenceData_Metal!$B$1:$I$1,1)) - INDEX(ReferenceData_Metal!$B$2:$I$12,MATCH(MIN(A21,10000),ReferenceData_Metal!$A$2:$A$12,1),MATCH(6,ReferenceData_Metal!$B$1:$I$1,1)))/(8 - 6)) * (D21 - 8)
      )
    ),
    (1 - (A21 - INDEX(ReferenceData_Metal!$A$2:$A$12,MATCH(A21,ReferenceData_Metal!$A$2:$A$12,1))) /
      (INDEX(ReferenceData_Metal!$A$2:$A$12,MIN(MATCH(A21,ReferenceData_Metal!$A$2:$A$12,1)+1,ROWS(ReferenceData_Metal!$A$2:$A$12))) - INDEX(ReferenceData_Metal!$A$2:$A$12,MATCH(A21,ReferenceData_Metal!$A$2:$A$12,1)))) *
    (1 - (D21 - INDEX(ReferenceData_Metal!$B$1:$I$1,MATCH(D21,ReferenceData_Metal!$B$1:$I$1,1))) /
      (INDEX(ReferenceData_Metal!$B$1:$I$1,MIN(MATCH(D21,ReferenceData_Metal!$B$1:$I$1,1)+1,COLUMNS(ReferenceData_Metal!$B$1:$I$1))) - INDEX(ReferenceData_Metal!$B$1:$I$1,MATCH(D21,ReferenceData_Metal!$B$1:$I$1,1)))) *
    INDEX(ReferenceData_Metal!$B$2:$I$12,MATCH(A21,ReferenceData_Metal!$A$2:$A$12,1),MATCH(D21,ReferenceData_Metal!$B$1:$I$1,1)) +
    ((A21 - INDEX(ReferenceData_Metal!$A$2:$A$12,MATCH(A21,ReferenceData_Metal!$A$2:$A$12,1))) /
      (INDEX(ReferenceData_Metal!$A$2:$A$12,MIN(MATCH(A21,ReferenceData_Metal!$A$2:$A$12,1)+1,ROWS(ReferenceData_Metal!$A$2:$A$12))) - INDEX(ReferenceData_Metal!$A$2:$A$12,MATCH(A21,ReferenceData_Metal!$A$2:$A$12,1)))) *
    (1 - (D21 - INDEX(ReferenceData_Metal!$B$1:$I$1,MATCH(D21,ReferenceData_Metal!$B$1:$I$1,1))) /
      (INDEX(ReferenceData_Metal!$B$1:$I$1,MIN(MATCH(D21,ReferenceData_Metal!$B$1:$I$1,1)+1,COLUMNS(ReferenceData_Metal!$B$1:$I$1))) - INDEX(ReferenceData_Metal!$B$1:$I$1,MATCH(D21,ReferenceData_Metal!$B$1:$I$1,1)))) *
    INDEX(ReferenceData_Metal!$B$2:$I$12,MIN(MATCH(A21,ReferenceData_Metal!$A$2:$A$12,1)+1,ROWS(ReferenceData_Metal!$A$2:$A$12)),MATCH(D21,ReferenceData_Metal!$B$1:$I$1,1)) +
    (1 - (A21 - INDEX(ReferenceData_Metal!$A$2:$A$12,MATCH(A21,ReferenceData_Metal!$A$2:$A$12,1))) /
      (INDEX(ReferenceData_Metal!$A$2:$A$12,MIN(MATCH(A21,ReferenceData_Metal!$A$2:$A$12,1)+1,ROWS(ReferenceData_Metal!$A$2:$A$12))) - INDEX(ReferenceData_Metal!$A$2:$A$12,MATCH(A21,ReferenceData_Metal!$A$2:$A$12,1)))) *
    ((D21 - INDEX(ReferenceData_Metal!$B$1:$I$1,MATCH(D21,ReferenceData_Metal!$B$1:$I$1,1))) /
      (INDEX(ReferenceData_Metal!$B$1:$I$1,MIN(MATCH(D21,ReferenceData_Metal!$B$1:$I$1,1)+1,COLUMNS(ReferenceData_Metal!$B$1:$I$1))) - INDEX(ReferenceData_Metal!$B$1:$I$1,MATCH(D21,ReferenceData_Metal!$B$1:$I$1,1)))) *
    INDEX(ReferenceData_Metal!$B$2:$I$12,MATCH(A21,ReferenceData_Metal!$A$2:$A$12,1),MIN(MATCH(D21,ReferenceData_Metal!$B$1:$I$1,1)+1,COLUMNS(ReferenceData_Metal!$B$1:$I$1))) +
    ((A21 - INDEX(ReferenceData_Metal!$A$2:$A$12,MATCH(A21,ReferenceData_Metal!$A$2:$A$12,1))) /
      (INDEX(ReferenceData_Metal!$A$2:$A$12,MIN(MATCH(A21,ReferenceData_Metal!$A$2:$A$12,1)+1,ROWS(ReferenceData_Metal!$A$2:$A$12))) - INDEX(ReferenceData_Metal!$A$2:$A$12,MATCH(A21,ReferenceData_Metal!$A$2:$A$12,1)))) *
    ((D21 - INDEX(ReferenceData_Metal!$B$1:$I$1,MATCH(D21,ReferenceData_Metal!$B$1:$I$1,1))) /
      (INDEX(ReferenceData_Metal!$B$1:$I$1,MIN(MATCH(D21,ReferenceData_Metal!$B$1:$I$1,1)+1,COLUMNS(ReferenceData_Metal!$B$1:$I$1))) - INDEX(ReferenceData_Metal!$B$1:$I$1,MATCH(D21,ReferenceData_Metal!$B$1:$I$1,1)))) *
    INDEX(ReferenceData_Metal!$B$2:$I$12,MIN(MATCH(A21,ReferenceData_Metal!$A$2:$A$12,1)+1,ROWS(ReferenceData_Metal!$A$2:$A$12)),MIN(MATCH(D21,ReferenceData_Metal!$B$1:$I$1,1)+1,COLUMNS(ReferenceData_Metal!$B$1:$I$1)))
  )
)</f>
        <v>0.74199999999999999</v>
      </c>
      <c r="D21">
        <f>'Shell_KDF_Calculator (Metric)'!$D$10</f>
        <v>0.3</v>
      </c>
      <c r="E21" s="13">
        <f>'Shell_KDF_Calculator (Metric)'!$D$15</f>
        <v>457.89081668013392</v>
      </c>
      <c r="F21">
        <v>0</v>
      </c>
      <c r="G21" cm="1">
        <f t="array" ref="G21">MAX(
  0.15,
  IF(
    OR(E21 &gt; 10000, F21 &gt; 8),
    IF(
      AND(E21 &gt; 10000, F21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(E21 -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(F21 - 6),
      IF(
        E21 &gt; 10000,
        INDEX(ReferenceData_Metal!$B$2:$I$12,MATCH(10000,ReferenceData_Metal!$A$2:$A$12,1),MATCH(MIN(F21,8),ReferenceData_Metal!$B$1:$I$1,1)) +
        ((INDEX(ReferenceData_Metal!$B$2:$I$12,MATCH(10000,ReferenceData_Metal!$A$2:$A$12,1),MATCH(MIN(F21,8),ReferenceData_Metal!$B$1:$I$1,1)) - INDEX(ReferenceData_Metal!$B$2:$I$12,MATCH(INDEX(ReferenceData_Metal!$A$2:$A$12,MATCH(10000,ReferenceData_Metal!$A$2:$A$12,1)-1),ReferenceData_Metal!$A$2:$A$12,1),MATCH(MIN(F21,8),ReferenceData_Metal!$B$1:$I$1,1))) /
        (10000 - INDEX(ReferenceData_Metal!$A$2:$A$12,MATCH(10000,ReferenceData_Metal!$A$2:$A$12,1)-1))) * (E21 - 10000),
        INDEX(ReferenceData_Metal!$B$2:$I$12,MATCH(MIN(E21,10000),ReferenceData_Metal!$A$2:$A$12,1),MATCH(8,ReferenceData_Metal!$B$1:$I$1,1)) +
        ((INDEX(ReferenceData_Metal!$B$2:$I$12,MATCH(MIN(E21,10000),ReferenceData_Metal!$A$2:$A$12,1),MATCH(8,ReferenceData_Metal!$B$1:$I$1,1)) - INDEX(ReferenceData_Metal!$B$2:$I$12,MATCH(MIN(E21,10000),ReferenceData_Metal!$A$2:$A$12,1),MATCH(6,ReferenceData_Metal!$B$1:$I$1,1)))/(8 - 6)) * (F21 - 8)
      )
    ),
    (1 - (E21 - INDEX(ReferenceData_Metal!$A$2:$A$12,MATCH(E21,ReferenceData_Metal!$A$2:$A$12,1))) /
      (INDEX(ReferenceData_Metal!$A$2:$A$12,MIN(MATCH(E21,ReferenceData_Metal!$A$2:$A$12,1)+1,ROWS(ReferenceData_Metal!$A$2:$A$12))) - INDEX(ReferenceData_Metal!$A$2:$A$12,MATCH(E21,ReferenceData_Metal!$A$2:$A$12,1)))) *
    (1 - (F21 - INDEX(ReferenceData_Metal!$B$1:$I$1,MATCH(F21,ReferenceData_Metal!$B$1:$I$1,1))) /
      (INDEX(ReferenceData_Metal!$B$1:$I$1,MIN(MATCH(F21,ReferenceData_Metal!$B$1:$I$1,1)+1,COLUMNS(ReferenceData_Metal!$B$1:$I$1))) - INDEX(ReferenceData_Metal!$B$1:$I$1,MATCH(F21,ReferenceData_Metal!$B$1:$I$1,1)))) *
    INDEX(ReferenceData_Metal!$B$2:$I$12,MATCH(E21,ReferenceData_Metal!$A$2:$A$12,1),MATCH(F21,ReferenceData_Metal!$B$1:$I$1,1)) +
    ((E21 - INDEX(ReferenceData_Metal!$A$2:$A$12,MATCH(E21,ReferenceData_Metal!$A$2:$A$12,1))) /
      (INDEX(ReferenceData_Metal!$A$2:$A$12,MIN(MATCH(E21,ReferenceData_Metal!$A$2:$A$12,1)+1,ROWS(ReferenceData_Metal!$A$2:$A$12))) - INDEX(ReferenceData_Metal!$A$2:$A$12,MATCH(E21,ReferenceData_Metal!$A$2:$A$12,1)))) *
    (1 - (F21 - INDEX(ReferenceData_Metal!$B$1:$I$1,MATCH(F21,ReferenceData_Metal!$B$1:$I$1,1))) /
      (INDEX(ReferenceData_Metal!$B$1:$I$1,MIN(MATCH(F21,ReferenceData_Metal!$B$1:$I$1,1)+1,COLUMNS(ReferenceData_Metal!$B$1:$I$1))) - INDEX(ReferenceData_Metal!$B$1:$I$1,MATCH(F21,ReferenceData_Metal!$B$1:$I$1,1)))) *
    INDEX(ReferenceData_Metal!$B$2:$I$12,MIN(MATCH(E21,ReferenceData_Metal!$A$2:$A$12,1)+1,ROWS(ReferenceData_Metal!$A$2:$A$12)),MATCH(F21,ReferenceData_Metal!$B$1:$I$1,1)) +
    (1 - (E21 - INDEX(ReferenceData_Metal!$A$2:$A$12,MATCH(E21,ReferenceData_Metal!$A$2:$A$12,1))) /
      (INDEX(ReferenceData_Metal!$A$2:$A$12,MIN(MATCH(E21,ReferenceData_Metal!$A$2:$A$12,1)+1,ROWS(ReferenceData_Metal!$A$2:$A$12))) - INDEX(ReferenceData_Metal!$A$2:$A$12,MATCH(E21,ReferenceData_Metal!$A$2:$A$12,1)))) *
    ((F21 - INDEX(ReferenceData_Metal!$B$1:$I$1,MATCH(F21,ReferenceData_Metal!$B$1:$I$1,1))) /
      (INDEX(ReferenceData_Metal!$B$1:$I$1,MIN(MATCH(F21,ReferenceData_Metal!$B$1:$I$1,1)+1,COLUMNS(ReferenceData_Metal!$B$1:$I$1))) - INDEX(ReferenceData_Metal!$B$1:$I$1,MATCH(F21,ReferenceData_Metal!$B$1:$I$1,1)))) *
    INDEX(ReferenceData_Metal!$B$2:$I$12,MATCH(E21,ReferenceData_Metal!$A$2:$A$12,1),MIN(MATCH(F21,ReferenceData_Metal!$B$1:$I$1,1)+1,COLUMNS(ReferenceData_Metal!$B$1:$I$1))) +
    ((E21 - INDEX(ReferenceData_Metal!$A$2:$A$12,MATCH(E21,ReferenceData_Metal!$A$2:$A$12,1))) /
      (INDEX(ReferenceData_Metal!$A$2:$A$12,MIN(MATCH(E21,ReferenceData_Metal!$A$2:$A$12,1)+1,ROWS(ReferenceData_Metal!$A$2:$A$12))) - INDEX(ReferenceData_Metal!$A$2:$A$12,MATCH(E21,ReferenceData_Metal!$A$2:$A$12,1)))) *
    ((F21 - INDEX(ReferenceData_Metal!$B$1:$I$1,MATCH(F21,ReferenceData_Metal!$B$1:$I$1,1))) /
      (INDEX(ReferenceData_Metal!$B$1:$I$1,MIN(MATCH(F21,ReferenceData_Metal!$B$1:$I$1,1)+1,COLUMNS(ReferenceData_Metal!$B$1:$I$1))) - INDEX(ReferenceData_Metal!$B$1:$I$1,MATCH(F21,ReferenceData_Metal!$B$1:$I$1,1)))) *
    INDEX(ReferenceData_Metal!$B$2:$I$12,MIN(MATCH(E21,ReferenceData_Metal!$A$2:$A$12,1)+1,ROWS(ReferenceData_Metal!$A$2:$A$12)),MIN(MATCH(F21,ReferenceData_Metal!$B$1:$I$1,1)+1,COLUMNS(ReferenceData_Metal!$B$1:$I$1)))
  )
)</f>
        <v>0.56026402033037048</v>
      </c>
      <c r="I21">
        <f>IF(E21*3&lt;10000,E21*3,10000)</f>
        <v>1373.6724500404018</v>
      </c>
      <c r="J21">
        <v>0</v>
      </c>
    </row>
    <row r="22" spans="1:11">
      <c r="A22">
        <v>100</v>
      </c>
      <c r="B22" t="e" cm="1">
        <f t="array" aca="1" ref="B22" ca="1">IF('Shell_KDF_Calculator (Metric)'!$D$10=0,B3,IF('Shell_KDF_Calculator (Metric)'!$D$10=0.5,C3,IF('Shell_KDF_Calculator (Metric)'!$D$10=1,D3,IF('Shell_KDF_Calculator (Metric)'!$D$10=2,E3,_xludf.NA()))))</f>
        <v>#NAME?</v>
      </c>
      <c r="C22" cm="1">
        <f t="array" ref="C22">MAX(
  0.15,
  IF(
    OR(A22 &gt; 10000, D22 &gt; 8),
    IF(
      AND(A22 &gt; 10000, D22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(A22 -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(D22 - 6),
      IF(
        A22 &gt; 10000,
        INDEX(ReferenceData_Metal!$B$2:$I$12,MATCH(10000,ReferenceData_Metal!$A$2:$A$12,1),MATCH(MIN(D22,8),ReferenceData_Metal!$B$1:$I$1,1)) +
        ((INDEX(ReferenceData_Metal!$B$2:$I$12,MATCH(10000,ReferenceData_Metal!$A$2:$A$12,1),MATCH(MIN(D22,8),ReferenceData_Metal!$B$1:$I$1,1)) - INDEX(ReferenceData_Metal!$B$2:$I$12,MATCH(INDEX(ReferenceData_Metal!$A$2:$A$12,MATCH(10000,ReferenceData_Metal!$A$2:$A$12,1)-1),ReferenceData_Metal!$A$2:$A$12,1),MATCH(MIN(D22,8),ReferenceData_Metal!$B$1:$I$1,1))) /
        (10000 - INDEX(ReferenceData_Metal!$A$2:$A$12,MATCH(10000,ReferenceData_Metal!$A$2:$A$12,1)-1))) * (A22 - 10000),
        INDEX(ReferenceData_Metal!$B$2:$I$12,MATCH(MIN(A22,10000),ReferenceData_Metal!$A$2:$A$12,1),MATCH(8,ReferenceData_Metal!$B$1:$I$1,1)) +
        ((INDEX(ReferenceData_Metal!$B$2:$I$12,MATCH(MIN(A22,10000),ReferenceData_Metal!$A$2:$A$12,1),MATCH(8,ReferenceData_Metal!$B$1:$I$1,1)) - INDEX(ReferenceData_Metal!$B$2:$I$12,MATCH(MIN(A22,10000),ReferenceData_Metal!$A$2:$A$12,1),MATCH(6,ReferenceData_Metal!$B$1:$I$1,1)))/(8 - 6)) * (D22 - 8)
      )
    ),
    (1 - (A22 - INDEX(ReferenceData_Metal!$A$2:$A$12,MATCH(A22,ReferenceData_Metal!$A$2:$A$12,1))) /
      (INDEX(ReferenceData_Metal!$A$2:$A$12,MIN(MATCH(A22,ReferenceData_Metal!$A$2:$A$12,1)+1,ROWS(ReferenceData_Metal!$A$2:$A$12))) - INDEX(ReferenceData_Metal!$A$2:$A$12,MATCH(A22,ReferenceData_Metal!$A$2:$A$12,1)))) *
    (1 - (D22 - INDEX(ReferenceData_Metal!$B$1:$I$1,MATCH(D22,ReferenceData_Metal!$B$1:$I$1,1))) /
      (INDEX(ReferenceData_Metal!$B$1:$I$1,MIN(MATCH(D22,ReferenceData_Metal!$B$1:$I$1,1)+1,COLUMNS(ReferenceData_Metal!$B$1:$I$1))) - INDEX(ReferenceData_Metal!$B$1:$I$1,MATCH(D22,ReferenceData_Metal!$B$1:$I$1,1)))) *
    INDEX(ReferenceData_Metal!$B$2:$I$12,MATCH(A22,ReferenceData_Metal!$A$2:$A$12,1),MATCH(D22,ReferenceData_Metal!$B$1:$I$1,1)) +
    ((A22 - INDEX(ReferenceData_Metal!$A$2:$A$12,MATCH(A22,ReferenceData_Metal!$A$2:$A$12,1))) /
      (INDEX(ReferenceData_Metal!$A$2:$A$12,MIN(MATCH(A22,ReferenceData_Metal!$A$2:$A$12,1)+1,ROWS(ReferenceData_Metal!$A$2:$A$12))) - INDEX(ReferenceData_Metal!$A$2:$A$12,MATCH(A22,ReferenceData_Metal!$A$2:$A$12,1)))) *
    (1 - (D22 - INDEX(ReferenceData_Metal!$B$1:$I$1,MATCH(D22,ReferenceData_Metal!$B$1:$I$1,1))) /
      (INDEX(ReferenceData_Metal!$B$1:$I$1,MIN(MATCH(D22,ReferenceData_Metal!$B$1:$I$1,1)+1,COLUMNS(ReferenceData_Metal!$B$1:$I$1))) - INDEX(ReferenceData_Metal!$B$1:$I$1,MATCH(D22,ReferenceData_Metal!$B$1:$I$1,1)))) *
    INDEX(ReferenceData_Metal!$B$2:$I$12,MIN(MATCH(A22,ReferenceData_Metal!$A$2:$A$12,1)+1,ROWS(ReferenceData_Metal!$A$2:$A$12)),MATCH(D22,ReferenceData_Metal!$B$1:$I$1,1)) +
    (1 - (A22 - INDEX(ReferenceData_Metal!$A$2:$A$12,MATCH(A22,ReferenceData_Metal!$A$2:$A$12,1))) /
      (INDEX(ReferenceData_Metal!$A$2:$A$12,MIN(MATCH(A22,ReferenceData_Metal!$A$2:$A$12,1)+1,ROWS(ReferenceData_Metal!$A$2:$A$12))) - INDEX(ReferenceData_Metal!$A$2:$A$12,MATCH(A22,ReferenceData_Metal!$A$2:$A$12,1)))) *
    ((D22 - INDEX(ReferenceData_Metal!$B$1:$I$1,MATCH(D22,ReferenceData_Metal!$B$1:$I$1,1))) /
      (INDEX(ReferenceData_Metal!$B$1:$I$1,MIN(MATCH(D22,ReferenceData_Metal!$B$1:$I$1,1)+1,COLUMNS(ReferenceData_Metal!$B$1:$I$1))) - INDEX(ReferenceData_Metal!$B$1:$I$1,MATCH(D22,ReferenceData_Metal!$B$1:$I$1,1)))) *
    INDEX(ReferenceData_Metal!$B$2:$I$12,MATCH(A22,ReferenceData_Metal!$A$2:$A$12,1),MIN(MATCH(D22,ReferenceData_Metal!$B$1:$I$1,1)+1,COLUMNS(ReferenceData_Metal!$B$1:$I$1))) +
    ((A22 - INDEX(ReferenceData_Metal!$A$2:$A$12,MATCH(A22,ReferenceData_Metal!$A$2:$A$12,1))) /
      (INDEX(ReferenceData_Metal!$A$2:$A$12,MIN(MATCH(A22,ReferenceData_Metal!$A$2:$A$12,1)+1,ROWS(ReferenceData_Metal!$A$2:$A$12))) - INDEX(ReferenceData_Metal!$A$2:$A$12,MATCH(A22,ReferenceData_Metal!$A$2:$A$12,1)))) *
    ((D22 - INDEX(ReferenceData_Metal!$B$1:$I$1,MATCH(D22,ReferenceData_Metal!$B$1:$I$1,1))) /
      (INDEX(ReferenceData_Metal!$B$1:$I$1,MIN(MATCH(D22,ReferenceData_Metal!$B$1:$I$1,1)+1,COLUMNS(ReferenceData_Metal!$B$1:$I$1))) - INDEX(ReferenceData_Metal!$B$1:$I$1,MATCH(D22,ReferenceData_Metal!$B$1:$I$1,1)))) *
    INDEX(ReferenceData_Metal!$B$2:$I$12,MIN(MATCH(A22,ReferenceData_Metal!$A$2:$A$12,1)+1,ROWS(ReferenceData_Metal!$A$2:$A$12)),MIN(MATCH(D22,ReferenceData_Metal!$B$1:$I$1,1)+1,COLUMNS(ReferenceData_Metal!$B$1:$I$1)))
  )
)</f>
        <v>0.63280000000000003</v>
      </c>
      <c r="D22">
        <f>'Shell_KDF_Calculator (Metric)'!$D$10</f>
        <v>0.3</v>
      </c>
      <c r="E22" s="13">
        <f>'Shell_KDF_Calculator (Metric)'!$D$15</f>
        <v>457.89081668013392</v>
      </c>
      <c r="F22">
        <v>0.5</v>
      </c>
      <c r="G22" cm="1">
        <f t="array" ref="G22">MAX(
  0.15,
  IF(
    OR(E22 &gt; 10000, F22 &gt; 8),
    IF(
      AND(E22 &gt; 10000, F22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(E22 -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(F22 - 6),
      IF(
        E22 &gt; 10000,
        INDEX(ReferenceData_Metal!$B$2:$I$12,MATCH(10000,ReferenceData_Metal!$A$2:$A$12,1),MATCH(MIN(F22,8),ReferenceData_Metal!$B$1:$I$1,1)) +
        ((INDEX(ReferenceData_Metal!$B$2:$I$12,MATCH(10000,ReferenceData_Metal!$A$2:$A$12,1),MATCH(MIN(F22,8),ReferenceData_Metal!$B$1:$I$1,1)) - INDEX(ReferenceData_Metal!$B$2:$I$12,MATCH(INDEX(ReferenceData_Metal!$A$2:$A$12,MATCH(10000,ReferenceData_Metal!$A$2:$A$12,1)-1),ReferenceData_Metal!$A$2:$A$12,1),MATCH(MIN(F22,8),ReferenceData_Metal!$B$1:$I$1,1))) /
        (10000 - INDEX(ReferenceData_Metal!$A$2:$A$12,MATCH(10000,ReferenceData_Metal!$A$2:$A$12,1)-1))) * (E22 - 10000),
        INDEX(ReferenceData_Metal!$B$2:$I$12,MATCH(MIN(E22,10000),ReferenceData_Metal!$A$2:$A$12,1),MATCH(8,ReferenceData_Metal!$B$1:$I$1,1)) +
        ((INDEX(ReferenceData_Metal!$B$2:$I$12,MATCH(MIN(E22,10000),ReferenceData_Metal!$A$2:$A$12,1),MATCH(8,ReferenceData_Metal!$B$1:$I$1,1)) - INDEX(ReferenceData_Metal!$B$2:$I$12,MATCH(MIN(E22,10000),ReferenceData_Metal!$A$2:$A$12,1),MATCH(6,ReferenceData_Metal!$B$1:$I$1,1)))/(8 - 6)) * (F22 - 8)
      )
    ),
    (1 - (E22 - INDEX(ReferenceData_Metal!$A$2:$A$12,MATCH(E22,ReferenceData_Metal!$A$2:$A$12,1))) /
      (INDEX(ReferenceData_Metal!$A$2:$A$12,MIN(MATCH(E22,ReferenceData_Metal!$A$2:$A$12,1)+1,ROWS(ReferenceData_Metal!$A$2:$A$12))) - INDEX(ReferenceData_Metal!$A$2:$A$12,MATCH(E22,ReferenceData_Metal!$A$2:$A$12,1)))) *
    (1 - (F22 - INDEX(ReferenceData_Metal!$B$1:$I$1,MATCH(F22,ReferenceData_Metal!$B$1:$I$1,1))) /
      (INDEX(ReferenceData_Metal!$B$1:$I$1,MIN(MATCH(F22,ReferenceData_Metal!$B$1:$I$1,1)+1,COLUMNS(ReferenceData_Metal!$B$1:$I$1))) - INDEX(ReferenceData_Metal!$B$1:$I$1,MATCH(F22,ReferenceData_Metal!$B$1:$I$1,1)))) *
    INDEX(ReferenceData_Metal!$B$2:$I$12,MATCH(E22,ReferenceData_Metal!$A$2:$A$12,1),MATCH(F22,ReferenceData_Metal!$B$1:$I$1,1)) +
    ((E22 - INDEX(ReferenceData_Metal!$A$2:$A$12,MATCH(E22,ReferenceData_Metal!$A$2:$A$12,1))) /
      (INDEX(ReferenceData_Metal!$A$2:$A$12,MIN(MATCH(E22,ReferenceData_Metal!$A$2:$A$12,1)+1,ROWS(ReferenceData_Metal!$A$2:$A$12))) - INDEX(ReferenceData_Metal!$A$2:$A$12,MATCH(E22,ReferenceData_Metal!$A$2:$A$12,1)))) *
    (1 - (F22 - INDEX(ReferenceData_Metal!$B$1:$I$1,MATCH(F22,ReferenceData_Metal!$B$1:$I$1,1))) /
      (INDEX(ReferenceData_Metal!$B$1:$I$1,MIN(MATCH(F22,ReferenceData_Metal!$B$1:$I$1,1)+1,COLUMNS(ReferenceData_Metal!$B$1:$I$1))) - INDEX(ReferenceData_Metal!$B$1:$I$1,MATCH(F22,ReferenceData_Metal!$B$1:$I$1,1)))) *
    INDEX(ReferenceData_Metal!$B$2:$I$12,MIN(MATCH(E22,ReferenceData_Metal!$A$2:$A$12,1)+1,ROWS(ReferenceData_Metal!$A$2:$A$12)),MATCH(F22,ReferenceData_Metal!$B$1:$I$1,1)) +
    (1 - (E22 - INDEX(ReferenceData_Metal!$A$2:$A$12,MATCH(E22,ReferenceData_Metal!$A$2:$A$12,1))) /
      (INDEX(ReferenceData_Metal!$A$2:$A$12,MIN(MATCH(E22,ReferenceData_Metal!$A$2:$A$12,1)+1,ROWS(ReferenceData_Metal!$A$2:$A$12))) - INDEX(ReferenceData_Metal!$A$2:$A$12,MATCH(E22,ReferenceData_Metal!$A$2:$A$12,1)))) *
    ((F22 - INDEX(ReferenceData_Metal!$B$1:$I$1,MATCH(F22,ReferenceData_Metal!$B$1:$I$1,1))) /
      (INDEX(ReferenceData_Metal!$B$1:$I$1,MIN(MATCH(F22,ReferenceData_Metal!$B$1:$I$1,1)+1,COLUMNS(ReferenceData_Metal!$B$1:$I$1))) - INDEX(ReferenceData_Metal!$B$1:$I$1,MATCH(F22,ReferenceData_Metal!$B$1:$I$1,1)))) *
    INDEX(ReferenceData_Metal!$B$2:$I$12,MATCH(E22,ReferenceData_Metal!$A$2:$A$12,1),MIN(MATCH(F22,ReferenceData_Metal!$B$1:$I$1,1)+1,COLUMNS(ReferenceData_Metal!$B$1:$I$1))) +
    ((E22 - INDEX(ReferenceData_Metal!$A$2:$A$12,MATCH(E22,ReferenceData_Metal!$A$2:$A$12,1))) /
      (INDEX(ReferenceData_Metal!$A$2:$A$12,MIN(MATCH(E22,ReferenceData_Metal!$A$2:$A$12,1)+1,ROWS(ReferenceData_Metal!$A$2:$A$12))) - INDEX(ReferenceData_Metal!$A$2:$A$12,MATCH(E22,ReferenceData_Metal!$A$2:$A$12,1)))) *
    ((F22 - INDEX(ReferenceData_Metal!$B$1:$I$1,MATCH(F22,ReferenceData_Metal!$B$1:$I$1,1))) /
      (INDEX(ReferenceData_Metal!$B$1:$I$1,MIN(MATCH(F22,ReferenceData_Metal!$B$1:$I$1,1)+1,COLUMNS(ReferenceData_Metal!$B$1:$I$1))) - INDEX(ReferenceData_Metal!$B$1:$I$1,MATCH(F22,ReferenceData_Metal!$B$1:$I$1,1)))) *
    INDEX(ReferenceData_Metal!$B$2:$I$12,MIN(MATCH(E22,ReferenceData_Metal!$A$2:$A$12,1)+1,ROWS(ReferenceData_Metal!$A$2:$A$12)),MIN(MATCH(F22,ReferenceData_Metal!$B$1:$I$1,1)+1,COLUMNS(ReferenceData_Metal!$B$1:$I$1)))
  )
)</f>
        <v>0.51647419383158255</v>
      </c>
      <c r="J22">
        <v>10</v>
      </c>
    </row>
    <row r="23" spans="1:11">
      <c r="A23">
        <v>200</v>
      </c>
      <c r="B23" t="e" cm="1">
        <f t="array" aca="1" ref="B23" ca="1">IF('Shell_KDF_Calculator (Metric)'!$D$10=0,B4,IF('Shell_KDF_Calculator (Metric)'!$D$10=0.5,C4,IF('Shell_KDF_Calculator (Metric)'!$D$10=1,D4,IF('Shell_KDF_Calculator (Metric)'!$D$10=2,E4,_xludf.NA()))))</f>
        <v>#NAME?</v>
      </c>
      <c r="C23" cm="1">
        <f t="array" ref="C23">MAX(
  0.15,
  IF(
    OR(A23 &gt; 10000, D23 &gt; 8),
    IF(
      AND(A23 &gt; 10000, D23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(A23 -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(D23 - 6),
      IF(
        A23 &gt; 10000,
        INDEX(ReferenceData_Metal!$B$2:$I$12,MATCH(10000,ReferenceData_Metal!$A$2:$A$12,1),MATCH(MIN(D23,8),ReferenceData_Metal!$B$1:$I$1,1)) +
        ((INDEX(ReferenceData_Metal!$B$2:$I$12,MATCH(10000,ReferenceData_Metal!$A$2:$A$12,1),MATCH(MIN(D23,8),ReferenceData_Metal!$B$1:$I$1,1)) - INDEX(ReferenceData_Metal!$B$2:$I$12,MATCH(INDEX(ReferenceData_Metal!$A$2:$A$12,MATCH(10000,ReferenceData_Metal!$A$2:$A$12,1)-1),ReferenceData_Metal!$A$2:$A$12,1),MATCH(MIN(D23,8),ReferenceData_Metal!$B$1:$I$1,1))) /
        (10000 - INDEX(ReferenceData_Metal!$A$2:$A$12,MATCH(10000,ReferenceData_Metal!$A$2:$A$12,1)-1))) * (A23 - 10000),
        INDEX(ReferenceData_Metal!$B$2:$I$12,MATCH(MIN(A23,10000),ReferenceData_Metal!$A$2:$A$12,1),MATCH(8,ReferenceData_Metal!$B$1:$I$1,1)) +
        ((INDEX(ReferenceData_Metal!$B$2:$I$12,MATCH(MIN(A23,10000),ReferenceData_Metal!$A$2:$A$12,1),MATCH(8,ReferenceData_Metal!$B$1:$I$1,1)) - INDEX(ReferenceData_Metal!$B$2:$I$12,MATCH(MIN(A23,10000),ReferenceData_Metal!$A$2:$A$12,1),MATCH(6,ReferenceData_Metal!$B$1:$I$1,1)))/(8 - 6)) * (D23 - 8)
      )
    ),
    (1 - (A23 - INDEX(ReferenceData_Metal!$A$2:$A$12,MATCH(A23,ReferenceData_Metal!$A$2:$A$12,1))) /
      (INDEX(ReferenceData_Metal!$A$2:$A$12,MIN(MATCH(A23,ReferenceData_Metal!$A$2:$A$12,1)+1,ROWS(ReferenceData_Metal!$A$2:$A$12))) - INDEX(ReferenceData_Metal!$A$2:$A$12,MATCH(A23,ReferenceData_Metal!$A$2:$A$12,1)))) *
    (1 - (D23 - INDEX(ReferenceData_Metal!$B$1:$I$1,MATCH(D23,ReferenceData_Metal!$B$1:$I$1,1))) /
      (INDEX(ReferenceData_Metal!$B$1:$I$1,MIN(MATCH(D23,ReferenceData_Metal!$B$1:$I$1,1)+1,COLUMNS(ReferenceData_Metal!$B$1:$I$1))) - INDEX(ReferenceData_Metal!$B$1:$I$1,MATCH(D23,ReferenceData_Metal!$B$1:$I$1,1)))) *
    INDEX(ReferenceData_Metal!$B$2:$I$12,MATCH(A23,ReferenceData_Metal!$A$2:$A$12,1),MATCH(D23,ReferenceData_Metal!$B$1:$I$1,1)) +
    ((A23 - INDEX(ReferenceData_Metal!$A$2:$A$12,MATCH(A23,ReferenceData_Metal!$A$2:$A$12,1))) /
      (INDEX(ReferenceData_Metal!$A$2:$A$12,MIN(MATCH(A23,ReferenceData_Metal!$A$2:$A$12,1)+1,ROWS(ReferenceData_Metal!$A$2:$A$12))) - INDEX(ReferenceData_Metal!$A$2:$A$12,MATCH(A23,ReferenceData_Metal!$A$2:$A$12,1)))) *
    (1 - (D23 - INDEX(ReferenceData_Metal!$B$1:$I$1,MATCH(D23,ReferenceData_Metal!$B$1:$I$1,1))) /
      (INDEX(ReferenceData_Metal!$B$1:$I$1,MIN(MATCH(D23,ReferenceData_Metal!$B$1:$I$1,1)+1,COLUMNS(ReferenceData_Metal!$B$1:$I$1))) - INDEX(ReferenceData_Metal!$B$1:$I$1,MATCH(D23,ReferenceData_Metal!$B$1:$I$1,1)))) *
    INDEX(ReferenceData_Metal!$B$2:$I$12,MIN(MATCH(A23,ReferenceData_Metal!$A$2:$A$12,1)+1,ROWS(ReferenceData_Metal!$A$2:$A$12)),MATCH(D23,ReferenceData_Metal!$B$1:$I$1,1)) +
    (1 - (A23 - INDEX(ReferenceData_Metal!$A$2:$A$12,MATCH(A23,ReferenceData_Metal!$A$2:$A$12,1))) /
      (INDEX(ReferenceData_Metal!$A$2:$A$12,MIN(MATCH(A23,ReferenceData_Metal!$A$2:$A$12,1)+1,ROWS(ReferenceData_Metal!$A$2:$A$12))) - INDEX(ReferenceData_Metal!$A$2:$A$12,MATCH(A23,ReferenceData_Metal!$A$2:$A$12,1)))) *
    ((D23 - INDEX(ReferenceData_Metal!$B$1:$I$1,MATCH(D23,ReferenceData_Metal!$B$1:$I$1,1))) /
      (INDEX(ReferenceData_Metal!$B$1:$I$1,MIN(MATCH(D23,ReferenceData_Metal!$B$1:$I$1,1)+1,COLUMNS(ReferenceData_Metal!$B$1:$I$1))) - INDEX(ReferenceData_Metal!$B$1:$I$1,MATCH(D23,ReferenceData_Metal!$B$1:$I$1,1)))) *
    INDEX(ReferenceData_Metal!$B$2:$I$12,MATCH(A23,ReferenceData_Metal!$A$2:$A$12,1),MIN(MATCH(D23,ReferenceData_Metal!$B$1:$I$1,1)+1,COLUMNS(ReferenceData_Metal!$B$1:$I$1))) +
    ((A23 - INDEX(ReferenceData_Metal!$A$2:$A$12,MATCH(A23,ReferenceData_Metal!$A$2:$A$12,1))) /
      (INDEX(ReferenceData_Metal!$A$2:$A$12,MIN(MATCH(A23,ReferenceData_Metal!$A$2:$A$12,1)+1,ROWS(ReferenceData_Metal!$A$2:$A$12))) - INDEX(ReferenceData_Metal!$A$2:$A$12,MATCH(A23,ReferenceData_Metal!$A$2:$A$12,1)))) *
    ((D23 - INDEX(ReferenceData_Metal!$B$1:$I$1,MATCH(D23,ReferenceData_Metal!$B$1:$I$1,1))) /
      (INDEX(ReferenceData_Metal!$B$1:$I$1,MIN(MATCH(D23,ReferenceData_Metal!$B$1:$I$1,1)+1,COLUMNS(ReferenceData_Metal!$B$1:$I$1))) - INDEX(ReferenceData_Metal!$B$1:$I$1,MATCH(D23,ReferenceData_Metal!$B$1:$I$1,1)))) *
    INDEX(ReferenceData_Metal!$B$2:$I$12,MIN(MATCH(A23,ReferenceData_Metal!$A$2:$A$12,1)+1,ROWS(ReferenceData_Metal!$A$2:$A$12)),MIN(MATCH(D23,ReferenceData_Metal!$B$1:$I$1,1)+1,COLUMNS(ReferenceData_Metal!$B$1:$I$1)))
  )
)</f>
        <v>0.58979999999999999</v>
      </c>
      <c r="D23">
        <f>'Shell_KDF_Calculator (Metric)'!$D$10</f>
        <v>0.3</v>
      </c>
      <c r="E23" s="13">
        <f>'Shell_KDF_Calculator (Metric)'!$D$15</f>
        <v>457.89081668013392</v>
      </c>
      <c r="F23">
        <v>1</v>
      </c>
      <c r="G23" cm="1">
        <f t="array" ref="G23">MAX(
  0.15,
  IF(
    OR(E23 &gt; 10000, F23 &gt; 8),
    IF(
      AND(E23 &gt; 10000, F23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(E23 -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(F23 - 6),
      IF(
        E23 &gt; 10000,
        INDEX(ReferenceData_Metal!$B$2:$I$12,MATCH(10000,ReferenceData_Metal!$A$2:$A$12,1),MATCH(MIN(F23,8),ReferenceData_Metal!$B$1:$I$1,1)) +
        ((INDEX(ReferenceData_Metal!$B$2:$I$12,MATCH(10000,ReferenceData_Metal!$A$2:$A$12,1),MATCH(MIN(F23,8),ReferenceData_Metal!$B$1:$I$1,1)) - INDEX(ReferenceData_Metal!$B$2:$I$12,MATCH(INDEX(ReferenceData_Metal!$A$2:$A$12,MATCH(10000,ReferenceData_Metal!$A$2:$A$12,1)-1),ReferenceData_Metal!$A$2:$A$12,1),MATCH(MIN(F23,8),ReferenceData_Metal!$B$1:$I$1,1))) /
        (10000 - INDEX(ReferenceData_Metal!$A$2:$A$12,MATCH(10000,ReferenceData_Metal!$A$2:$A$12,1)-1))) * (E23 - 10000),
        INDEX(ReferenceData_Metal!$B$2:$I$12,MATCH(MIN(E23,10000),ReferenceData_Metal!$A$2:$A$12,1),MATCH(8,ReferenceData_Metal!$B$1:$I$1,1)) +
        ((INDEX(ReferenceData_Metal!$B$2:$I$12,MATCH(MIN(E23,10000),ReferenceData_Metal!$A$2:$A$12,1),MATCH(8,ReferenceData_Metal!$B$1:$I$1,1)) - INDEX(ReferenceData_Metal!$B$2:$I$12,MATCH(MIN(E23,10000),ReferenceData_Metal!$A$2:$A$12,1),MATCH(6,ReferenceData_Metal!$B$1:$I$1,1)))/(8 - 6)) * (F23 - 8)
      )
    ),
    (1 - (E23 - INDEX(ReferenceData_Metal!$A$2:$A$12,MATCH(E23,ReferenceData_Metal!$A$2:$A$12,1))) /
      (INDEX(ReferenceData_Metal!$A$2:$A$12,MIN(MATCH(E23,ReferenceData_Metal!$A$2:$A$12,1)+1,ROWS(ReferenceData_Metal!$A$2:$A$12))) - INDEX(ReferenceData_Metal!$A$2:$A$12,MATCH(E23,ReferenceData_Metal!$A$2:$A$12,1)))) *
    (1 - (F23 - INDEX(ReferenceData_Metal!$B$1:$I$1,MATCH(F23,ReferenceData_Metal!$B$1:$I$1,1))) /
      (INDEX(ReferenceData_Metal!$B$1:$I$1,MIN(MATCH(F23,ReferenceData_Metal!$B$1:$I$1,1)+1,COLUMNS(ReferenceData_Metal!$B$1:$I$1))) - INDEX(ReferenceData_Metal!$B$1:$I$1,MATCH(F23,ReferenceData_Metal!$B$1:$I$1,1)))) *
    INDEX(ReferenceData_Metal!$B$2:$I$12,MATCH(E23,ReferenceData_Metal!$A$2:$A$12,1),MATCH(F23,ReferenceData_Metal!$B$1:$I$1,1)) +
    ((E23 - INDEX(ReferenceData_Metal!$A$2:$A$12,MATCH(E23,ReferenceData_Metal!$A$2:$A$12,1))) /
      (INDEX(ReferenceData_Metal!$A$2:$A$12,MIN(MATCH(E23,ReferenceData_Metal!$A$2:$A$12,1)+1,ROWS(ReferenceData_Metal!$A$2:$A$12))) - INDEX(ReferenceData_Metal!$A$2:$A$12,MATCH(E23,ReferenceData_Metal!$A$2:$A$12,1)))) *
    (1 - (F23 - INDEX(ReferenceData_Metal!$B$1:$I$1,MATCH(F23,ReferenceData_Metal!$B$1:$I$1,1))) /
      (INDEX(ReferenceData_Metal!$B$1:$I$1,MIN(MATCH(F23,ReferenceData_Metal!$B$1:$I$1,1)+1,COLUMNS(ReferenceData_Metal!$B$1:$I$1))) - INDEX(ReferenceData_Metal!$B$1:$I$1,MATCH(F23,ReferenceData_Metal!$B$1:$I$1,1)))) *
    INDEX(ReferenceData_Metal!$B$2:$I$12,MIN(MATCH(E23,ReferenceData_Metal!$A$2:$A$12,1)+1,ROWS(ReferenceData_Metal!$A$2:$A$12)),MATCH(F23,ReferenceData_Metal!$B$1:$I$1,1)) +
    (1 - (E23 - INDEX(ReferenceData_Metal!$A$2:$A$12,MATCH(E23,ReferenceData_Metal!$A$2:$A$12,1))) /
      (INDEX(ReferenceData_Metal!$A$2:$A$12,MIN(MATCH(E23,ReferenceData_Metal!$A$2:$A$12,1)+1,ROWS(ReferenceData_Metal!$A$2:$A$12))) - INDEX(ReferenceData_Metal!$A$2:$A$12,MATCH(E23,ReferenceData_Metal!$A$2:$A$12,1)))) *
    ((F23 - INDEX(ReferenceData_Metal!$B$1:$I$1,MATCH(F23,ReferenceData_Metal!$B$1:$I$1,1))) /
      (INDEX(ReferenceData_Metal!$B$1:$I$1,MIN(MATCH(F23,ReferenceData_Metal!$B$1:$I$1,1)+1,COLUMNS(ReferenceData_Metal!$B$1:$I$1))) - INDEX(ReferenceData_Metal!$B$1:$I$1,MATCH(F23,ReferenceData_Metal!$B$1:$I$1,1)))) *
    INDEX(ReferenceData_Metal!$B$2:$I$12,MATCH(E23,ReferenceData_Metal!$A$2:$A$12,1),MIN(MATCH(F23,ReferenceData_Metal!$B$1:$I$1,1)+1,COLUMNS(ReferenceData_Metal!$B$1:$I$1))) +
    ((E23 - INDEX(ReferenceData_Metal!$A$2:$A$12,MATCH(E23,ReferenceData_Metal!$A$2:$A$12,1))) /
      (INDEX(ReferenceData_Metal!$A$2:$A$12,MIN(MATCH(E23,ReferenceData_Metal!$A$2:$A$12,1)+1,ROWS(ReferenceData_Metal!$A$2:$A$12))) - INDEX(ReferenceData_Metal!$A$2:$A$12,MATCH(E23,ReferenceData_Metal!$A$2:$A$12,1)))) *
    ((F23 - INDEX(ReferenceData_Metal!$B$1:$I$1,MATCH(F23,ReferenceData_Metal!$B$1:$I$1,1))) /
      (INDEX(ReferenceData_Metal!$B$1:$I$1,MIN(MATCH(F23,ReferenceData_Metal!$B$1:$I$1,1)+1,COLUMNS(ReferenceData_Metal!$B$1:$I$1))) - INDEX(ReferenceData_Metal!$B$1:$I$1,MATCH(F23,ReferenceData_Metal!$B$1:$I$1,1)))) *
    INDEX(ReferenceData_Metal!$B$2:$I$12,MIN(MATCH(E23,ReferenceData_Metal!$A$2:$A$12,1)+1,ROWS(ReferenceData_Metal!$A$2:$A$12)),MIN(MATCH(F23,ReferenceData_Metal!$B$1:$I$1,1)+1,COLUMNS(ReferenceData_Metal!$B$1:$I$1)))
  )
)</f>
        <v>0.44047344900080804</v>
      </c>
    </row>
    <row r="24" spans="1:11">
      <c r="A24">
        <v>400</v>
      </c>
      <c r="B24" t="e" cm="1">
        <f t="array" aca="1" ref="B24" ca="1">IF('Shell_KDF_Calculator (Metric)'!$D$10=0,B5,IF('Shell_KDF_Calculator (Metric)'!$D$10=0.5,C5,IF('Shell_KDF_Calculator (Metric)'!$D$10=1,D5,IF('Shell_KDF_Calculator (Metric)'!$D$10=2,E5,_xludf.NA()))))</f>
        <v>#NAME?</v>
      </c>
      <c r="C24" cm="1">
        <f t="array" ref="C24">MAX(
  0.15,
  IF(
    OR(A24 &gt; 10000, D24 &gt; 8),
    IF(
      AND(A24 &gt; 10000, D24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(A24 -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(D24 - 6),
      IF(
        A24 &gt; 10000,
        INDEX(ReferenceData_Metal!$B$2:$I$12,MATCH(10000,ReferenceData_Metal!$A$2:$A$12,1),MATCH(MIN(D24,8),ReferenceData_Metal!$B$1:$I$1,1)) +
        ((INDEX(ReferenceData_Metal!$B$2:$I$12,MATCH(10000,ReferenceData_Metal!$A$2:$A$12,1),MATCH(MIN(D24,8),ReferenceData_Metal!$B$1:$I$1,1)) - INDEX(ReferenceData_Metal!$B$2:$I$12,MATCH(INDEX(ReferenceData_Metal!$A$2:$A$12,MATCH(10000,ReferenceData_Metal!$A$2:$A$12,1)-1),ReferenceData_Metal!$A$2:$A$12,1),MATCH(MIN(D24,8),ReferenceData_Metal!$B$1:$I$1,1))) /
        (10000 - INDEX(ReferenceData_Metal!$A$2:$A$12,MATCH(10000,ReferenceData_Metal!$A$2:$A$12,1)-1))) * (A24 - 10000),
        INDEX(ReferenceData_Metal!$B$2:$I$12,MATCH(MIN(A24,10000),ReferenceData_Metal!$A$2:$A$12,1),MATCH(8,ReferenceData_Metal!$B$1:$I$1,1)) +
        ((INDEX(ReferenceData_Metal!$B$2:$I$12,MATCH(MIN(A24,10000),ReferenceData_Metal!$A$2:$A$12,1),MATCH(8,ReferenceData_Metal!$B$1:$I$1,1)) - INDEX(ReferenceData_Metal!$B$2:$I$12,MATCH(MIN(A24,10000),ReferenceData_Metal!$A$2:$A$12,1),MATCH(6,ReferenceData_Metal!$B$1:$I$1,1)))/(8 - 6)) * (D24 - 8)
      )
    ),
    (1 - (A24 - INDEX(ReferenceData_Metal!$A$2:$A$12,MATCH(A24,ReferenceData_Metal!$A$2:$A$12,1))) /
      (INDEX(ReferenceData_Metal!$A$2:$A$12,MIN(MATCH(A24,ReferenceData_Metal!$A$2:$A$12,1)+1,ROWS(ReferenceData_Metal!$A$2:$A$12))) - INDEX(ReferenceData_Metal!$A$2:$A$12,MATCH(A24,ReferenceData_Metal!$A$2:$A$12,1)))) *
    (1 - (D24 - INDEX(ReferenceData_Metal!$B$1:$I$1,MATCH(D24,ReferenceData_Metal!$B$1:$I$1,1))) /
      (INDEX(ReferenceData_Metal!$B$1:$I$1,MIN(MATCH(D24,ReferenceData_Metal!$B$1:$I$1,1)+1,COLUMNS(ReferenceData_Metal!$B$1:$I$1))) - INDEX(ReferenceData_Metal!$B$1:$I$1,MATCH(D24,ReferenceData_Metal!$B$1:$I$1,1)))) *
    INDEX(ReferenceData_Metal!$B$2:$I$12,MATCH(A24,ReferenceData_Metal!$A$2:$A$12,1),MATCH(D24,ReferenceData_Metal!$B$1:$I$1,1)) +
    ((A24 - INDEX(ReferenceData_Metal!$A$2:$A$12,MATCH(A24,ReferenceData_Metal!$A$2:$A$12,1))) /
      (INDEX(ReferenceData_Metal!$A$2:$A$12,MIN(MATCH(A24,ReferenceData_Metal!$A$2:$A$12,1)+1,ROWS(ReferenceData_Metal!$A$2:$A$12))) - INDEX(ReferenceData_Metal!$A$2:$A$12,MATCH(A24,ReferenceData_Metal!$A$2:$A$12,1)))) *
    (1 - (D24 - INDEX(ReferenceData_Metal!$B$1:$I$1,MATCH(D24,ReferenceData_Metal!$B$1:$I$1,1))) /
      (INDEX(ReferenceData_Metal!$B$1:$I$1,MIN(MATCH(D24,ReferenceData_Metal!$B$1:$I$1,1)+1,COLUMNS(ReferenceData_Metal!$B$1:$I$1))) - INDEX(ReferenceData_Metal!$B$1:$I$1,MATCH(D24,ReferenceData_Metal!$B$1:$I$1,1)))) *
    INDEX(ReferenceData_Metal!$B$2:$I$12,MIN(MATCH(A24,ReferenceData_Metal!$A$2:$A$12,1)+1,ROWS(ReferenceData_Metal!$A$2:$A$12)),MATCH(D24,ReferenceData_Metal!$B$1:$I$1,1)) +
    (1 - (A24 - INDEX(ReferenceData_Metal!$A$2:$A$12,MATCH(A24,ReferenceData_Metal!$A$2:$A$12,1))) /
      (INDEX(ReferenceData_Metal!$A$2:$A$12,MIN(MATCH(A24,ReferenceData_Metal!$A$2:$A$12,1)+1,ROWS(ReferenceData_Metal!$A$2:$A$12))) - INDEX(ReferenceData_Metal!$A$2:$A$12,MATCH(A24,ReferenceData_Metal!$A$2:$A$12,1)))) *
    ((D24 - INDEX(ReferenceData_Metal!$B$1:$I$1,MATCH(D24,ReferenceData_Metal!$B$1:$I$1,1))) /
      (INDEX(ReferenceData_Metal!$B$1:$I$1,MIN(MATCH(D24,ReferenceData_Metal!$B$1:$I$1,1)+1,COLUMNS(ReferenceData_Metal!$B$1:$I$1))) - INDEX(ReferenceData_Metal!$B$1:$I$1,MATCH(D24,ReferenceData_Metal!$B$1:$I$1,1)))) *
    INDEX(ReferenceData_Metal!$B$2:$I$12,MATCH(A24,ReferenceData_Metal!$A$2:$A$12,1),MIN(MATCH(D24,ReferenceData_Metal!$B$1:$I$1,1)+1,COLUMNS(ReferenceData_Metal!$B$1:$I$1))) +
    ((A24 - INDEX(ReferenceData_Metal!$A$2:$A$12,MATCH(A24,ReferenceData_Metal!$A$2:$A$12,1))) /
      (INDEX(ReferenceData_Metal!$A$2:$A$12,MIN(MATCH(A24,ReferenceData_Metal!$A$2:$A$12,1)+1,ROWS(ReferenceData_Metal!$A$2:$A$12))) - INDEX(ReferenceData_Metal!$A$2:$A$12,MATCH(A24,ReferenceData_Metal!$A$2:$A$12,1)))) *
    ((D24 - INDEX(ReferenceData_Metal!$B$1:$I$1,MATCH(D24,ReferenceData_Metal!$B$1:$I$1,1))) /
      (INDEX(ReferenceData_Metal!$B$1:$I$1,MIN(MATCH(D24,ReferenceData_Metal!$B$1:$I$1,1)+1,COLUMNS(ReferenceData_Metal!$B$1:$I$1))) - INDEX(ReferenceData_Metal!$B$1:$I$1,MATCH(D24,ReferenceData_Metal!$B$1:$I$1,1)))) *
    INDEX(ReferenceData_Metal!$B$2:$I$12,MIN(MATCH(A24,ReferenceData_Metal!$A$2:$A$12,1)+1,ROWS(ReferenceData_Metal!$A$2:$A$12)),MIN(MATCH(D24,ReferenceData_Metal!$B$1:$I$1,1)+1,COLUMNS(ReferenceData_Metal!$B$1:$I$1)))
  )
)</f>
        <v>0.54359999999999997</v>
      </c>
      <c r="D24">
        <f>'Shell_KDF_Calculator (Metric)'!$D$10</f>
        <v>0.3</v>
      </c>
      <c r="E24" s="13">
        <f>'Shell_KDF_Calculator (Metric)'!$D$15</f>
        <v>457.89081668013392</v>
      </c>
      <c r="F24">
        <v>2</v>
      </c>
      <c r="G24" cm="1">
        <f t="array" ref="G24">MAX(
  0.15,
  IF(
    OR(E24 &gt; 10000, F24 &gt; 8),
    IF(
      AND(E24 &gt; 10000, F24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(E24 -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(F24 - 6),
      IF(
        E24 &gt; 10000,
        INDEX(ReferenceData_Metal!$B$2:$I$12,MATCH(10000,ReferenceData_Metal!$A$2:$A$12,1),MATCH(MIN(F24,8),ReferenceData_Metal!$B$1:$I$1,1)) +
        ((INDEX(ReferenceData_Metal!$B$2:$I$12,MATCH(10000,ReferenceData_Metal!$A$2:$A$12,1),MATCH(MIN(F24,8),ReferenceData_Metal!$B$1:$I$1,1)) - INDEX(ReferenceData_Metal!$B$2:$I$12,MATCH(INDEX(ReferenceData_Metal!$A$2:$A$12,MATCH(10000,ReferenceData_Metal!$A$2:$A$12,1)-1),ReferenceData_Metal!$A$2:$A$12,1),MATCH(MIN(F24,8),ReferenceData_Metal!$B$1:$I$1,1))) /
        (10000 - INDEX(ReferenceData_Metal!$A$2:$A$12,MATCH(10000,ReferenceData_Metal!$A$2:$A$12,1)-1))) * (E24 - 10000),
        INDEX(ReferenceData_Metal!$B$2:$I$12,MATCH(MIN(E24,10000),ReferenceData_Metal!$A$2:$A$12,1),MATCH(8,ReferenceData_Metal!$B$1:$I$1,1)) +
        ((INDEX(ReferenceData_Metal!$B$2:$I$12,MATCH(MIN(E24,10000),ReferenceData_Metal!$A$2:$A$12,1),MATCH(8,ReferenceData_Metal!$B$1:$I$1,1)) - INDEX(ReferenceData_Metal!$B$2:$I$12,MATCH(MIN(E24,10000),ReferenceData_Metal!$A$2:$A$12,1),MATCH(6,ReferenceData_Metal!$B$1:$I$1,1)))/(8 - 6)) * (F24 - 8)
      )
    ),
    (1 - (E24 - INDEX(ReferenceData_Metal!$A$2:$A$12,MATCH(E24,ReferenceData_Metal!$A$2:$A$12,1))) /
      (INDEX(ReferenceData_Metal!$A$2:$A$12,MIN(MATCH(E24,ReferenceData_Metal!$A$2:$A$12,1)+1,ROWS(ReferenceData_Metal!$A$2:$A$12))) - INDEX(ReferenceData_Metal!$A$2:$A$12,MATCH(E24,ReferenceData_Metal!$A$2:$A$12,1)))) *
    (1 - (F24 - INDEX(ReferenceData_Metal!$B$1:$I$1,MATCH(F24,ReferenceData_Metal!$B$1:$I$1,1))) /
      (INDEX(ReferenceData_Metal!$B$1:$I$1,MIN(MATCH(F24,ReferenceData_Metal!$B$1:$I$1,1)+1,COLUMNS(ReferenceData_Metal!$B$1:$I$1))) - INDEX(ReferenceData_Metal!$B$1:$I$1,MATCH(F24,ReferenceData_Metal!$B$1:$I$1,1)))) *
    INDEX(ReferenceData_Metal!$B$2:$I$12,MATCH(E24,ReferenceData_Metal!$A$2:$A$12,1),MATCH(F24,ReferenceData_Metal!$B$1:$I$1,1)) +
    ((E24 - INDEX(ReferenceData_Metal!$A$2:$A$12,MATCH(E24,ReferenceData_Metal!$A$2:$A$12,1))) /
      (INDEX(ReferenceData_Metal!$A$2:$A$12,MIN(MATCH(E24,ReferenceData_Metal!$A$2:$A$12,1)+1,ROWS(ReferenceData_Metal!$A$2:$A$12))) - INDEX(ReferenceData_Metal!$A$2:$A$12,MATCH(E24,ReferenceData_Metal!$A$2:$A$12,1)))) *
    (1 - (F24 - INDEX(ReferenceData_Metal!$B$1:$I$1,MATCH(F24,ReferenceData_Metal!$B$1:$I$1,1))) /
      (INDEX(ReferenceData_Metal!$B$1:$I$1,MIN(MATCH(F24,ReferenceData_Metal!$B$1:$I$1,1)+1,COLUMNS(ReferenceData_Metal!$B$1:$I$1))) - INDEX(ReferenceData_Metal!$B$1:$I$1,MATCH(F24,ReferenceData_Metal!$B$1:$I$1,1)))) *
    INDEX(ReferenceData_Metal!$B$2:$I$12,MIN(MATCH(E24,ReferenceData_Metal!$A$2:$A$12,1)+1,ROWS(ReferenceData_Metal!$A$2:$A$12)),MATCH(F24,ReferenceData_Metal!$B$1:$I$1,1)) +
    (1 - (E24 - INDEX(ReferenceData_Metal!$A$2:$A$12,MATCH(E24,ReferenceData_Metal!$A$2:$A$12,1))) /
      (INDEX(ReferenceData_Metal!$A$2:$A$12,MIN(MATCH(E24,ReferenceData_Metal!$A$2:$A$12,1)+1,ROWS(ReferenceData_Metal!$A$2:$A$12))) - INDEX(ReferenceData_Metal!$A$2:$A$12,MATCH(E24,ReferenceData_Metal!$A$2:$A$12,1)))) *
    ((F24 - INDEX(ReferenceData_Metal!$B$1:$I$1,MATCH(F24,ReferenceData_Metal!$B$1:$I$1,1))) /
      (INDEX(ReferenceData_Metal!$B$1:$I$1,MIN(MATCH(F24,ReferenceData_Metal!$B$1:$I$1,1)+1,COLUMNS(ReferenceData_Metal!$B$1:$I$1))) - INDEX(ReferenceData_Metal!$B$1:$I$1,MATCH(F24,ReferenceData_Metal!$B$1:$I$1,1)))) *
    INDEX(ReferenceData_Metal!$B$2:$I$12,MATCH(E24,ReferenceData_Metal!$A$2:$A$12,1),MIN(MATCH(F24,ReferenceData_Metal!$B$1:$I$1,1)+1,COLUMNS(ReferenceData_Metal!$B$1:$I$1))) +
    ((E24 - INDEX(ReferenceData_Metal!$A$2:$A$12,MATCH(E24,ReferenceData_Metal!$A$2:$A$12,1))) /
      (INDEX(ReferenceData_Metal!$A$2:$A$12,MIN(MATCH(E24,ReferenceData_Metal!$A$2:$A$12,1)+1,ROWS(ReferenceData_Metal!$A$2:$A$12))) - INDEX(ReferenceData_Metal!$A$2:$A$12,MATCH(E24,ReferenceData_Metal!$A$2:$A$12,1)))) *
    ((F24 - INDEX(ReferenceData_Metal!$B$1:$I$1,MATCH(F24,ReferenceData_Metal!$B$1:$I$1,1))) /
      (INDEX(ReferenceData_Metal!$B$1:$I$1,MIN(MATCH(F24,ReferenceData_Metal!$B$1:$I$1,1)+1,COLUMNS(ReferenceData_Metal!$B$1:$I$1))) - INDEX(ReferenceData_Metal!$B$1:$I$1,MATCH(F24,ReferenceData_Metal!$B$1:$I$1,1)))) *
    INDEX(ReferenceData_Metal!$B$2:$I$12,MIN(MATCH(E24,ReferenceData_Metal!$A$2:$A$12,1)+1,ROWS(ReferenceData_Metal!$A$2:$A$12)),MIN(MATCH(F24,ReferenceData_Metal!$B$1:$I$1,1)+1,COLUMNS(ReferenceData_Metal!$B$1:$I$1)))
  )
)</f>
        <v>0.3526140612221324</v>
      </c>
      <c r="I24">
        <f>C19</f>
        <v>0.3</v>
      </c>
      <c r="J24">
        <v>1</v>
      </c>
      <c r="K24" cm="1">
        <f t="array" ref="K24">MAX(
  0.15,
  IF(
    OR(E21 &gt; 10000, I24 &gt; 8),
    IF(
      AND(E21 &gt; 10000, I24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(E21 -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(I24 - 6),
      IF(
        E21 &gt; 10000,
        INDEX(ReferenceData_Metal!$B$2:$I$12,MATCH(10000,ReferenceData_Metal!$A$2:$A$12,1),MATCH(MIN(I24,8),ReferenceData_Metal!$B$1:$I$1,1)) +
        ((INDEX(ReferenceData_Metal!$B$2:$I$12,MATCH(10000,ReferenceData_Metal!$A$2:$A$12,1),MATCH(MIN(I24,8),ReferenceData_Metal!$B$1:$I$1,1)) - INDEX(ReferenceData_Metal!$B$2:$I$12,MATCH(INDEX(ReferenceData_Metal!$A$2:$A$12,MATCH(10000,ReferenceData_Metal!$A$2:$A$12,1)-1),ReferenceData_Metal!$A$2:$A$12,1),MATCH(MIN(I24,8),ReferenceData_Metal!$B$1:$I$1,1))) /
        (10000 - INDEX(ReferenceData_Metal!$A$2:$A$12,MATCH(10000,ReferenceData_Metal!$A$2:$A$12,1)-1))) * (E21 - 10000),
        INDEX(ReferenceData_Metal!$B$2:$I$12,MATCH(MIN(E21,10000),ReferenceData_Metal!$A$2:$A$12,1),MATCH(8,ReferenceData_Metal!$B$1:$I$1,1)) +
        ((INDEX(ReferenceData_Metal!$B$2:$I$12,MATCH(MIN(E21,10000),ReferenceData_Metal!$A$2:$A$12,1),MATCH(8,ReferenceData_Metal!$B$1:$I$1,1)) - INDEX(ReferenceData_Metal!$B$2:$I$12,MATCH(MIN(E21,10000),ReferenceData_Metal!$A$2:$A$12,1),MATCH(6,ReferenceData_Metal!$B$1:$I$1,1)))/(8 - 6)) * (I24 - 8)
      )
    ),
    (1 - (E21 - INDEX(ReferenceData_Metal!$A$2:$A$12,MATCH(E21,ReferenceData_Metal!$A$2:$A$12,1))) /
      (INDEX(ReferenceData_Metal!$A$2:$A$12,MIN(MATCH(E21,ReferenceData_Metal!$A$2:$A$12,1)+1,ROWS(ReferenceData_Metal!$A$2:$A$12))) - INDEX(ReferenceData_Metal!$A$2:$A$12,MATCH(E21,ReferenceData_Metal!$A$2:$A$12,1)))) *
    (1 - (I24 - INDEX(ReferenceData_Metal!$B$1:$I$1,MATCH(I24,ReferenceData_Metal!$B$1:$I$1,1))) /
      (INDEX(ReferenceData_Metal!$B$1:$I$1,MIN(MATCH(I24,ReferenceData_Metal!$B$1:$I$1,1)+1,COLUMNS(ReferenceData_Metal!$B$1:$I$1))) - INDEX(ReferenceData_Metal!$B$1:$I$1,MATCH(I24,ReferenceData_Metal!$B$1:$I$1,1)))) *
    INDEX(ReferenceData_Metal!$B$2:$I$12,MATCH(E21,ReferenceData_Metal!$A$2:$A$12,1),MATCH(I24,ReferenceData_Metal!$B$1:$I$1,1)) +
    ((E21 - INDEX(ReferenceData_Metal!$A$2:$A$12,MATCH(E21,ReferenceData_Metal!$A$2:$A$12,1))) /
      (INDEX(ReferenceData_Metal!$A$2:$A$12,MIN(MATCH(E21,ReferenceData_Metal!$A$2:$A$12,1)+1,ROWS(ReferenceData_Metal!$A$2:$A$12))) - INDEX(ReferenceData_Metal!$A$2:$A$12,MATCH(E21,ReferenceData_Metal!$A$2:$A$12,1)))) *
    (1 - (I24 - INDEX(ReferenceData_Metal!$B$1:$I$1,MATCH(I24,ReferenceData_Metal!$B$1:$I$1,1))) /
      (INDEX(ReferenceData_Metal!$B$1:$I$1,MIN(MATCH(I24,ReferenceData_Metal!$B$1:$I$1,1)+1,COLUMNS(ReferenceData_Metal!$B$1:$I$1))) - INDEX(ReferenceData_Metal!$B$1:$I$1,MATCH(I24,ReferenceData_Metal!$B$1:$I$1,1)))) *
    INDEX(ReferenceData_Metal!$B$2:$I$12,MIN(MATCH(E21,ReferenceData_Metal!$A$2:$A$12,1)+1,ROWS(ReferenceData_Metal!$A$2:$A$12)),MATCH(I24,ReferenceData_Metal!$B$1:$I$1,1)) +
    (1 - (E21 - INDEX(ReferenceData_Metal!$A$2:$A$12,MATCH(E21,ReferenceData_Metal!$A$2:$A$12,1))) /
      (INDEX(ReferenceData_Metal!$A$2:$A$12,MIN(MATCH(E21,ReferenceData_Metal!$A$2:$A$12,1)+1,ROWS(ReferenceData_Metal!$A$2:$A$12))) - INDEX(ReferenceData_Metal!$A$2:$A$12,MATCH(E21,ReferenceData_Metal!$A$2:$A$12,1)))) *
    ((I24 - INDEX(ReferenceData_Metal!$B$1:$I$1,MATCH(I24,ReferenceData_Metal!$B$1:$I$1,1))) /
      (INDEX(ReferenceData_Metal!$B$1:$I$1,MIN(MATCH(I24,ReferenceData_Metal!$B$1:$I$1,1)+1,COLUMNS(ReferenceData_Metal!$B$1:$I$1))) - INDEX(ReferenceData_Metal!$B$1:$I$1,MATCH(I24,ReferenceData_Metal!$B$1:$I$1,1)))) *
    INDEX(ReferenceData_Metal!$B$2:$I$12,MATCH(E21,ReferenceData_Metal!$A$2:$A$12,1),MIN(MATCH(I24,ReferenceData_Metal!$B$1:$I$1,1)+1,COLUMNS(ReferenceData_Metal!$B$1:$I$1))) +
    ((E21 - INDEX(ReferenceData_Metal!$A$2:$A$12,MATCH(E21,ReferenceData_Metal!$A$2:$A$12,1))) /
      (INDEX(ReferenceData_Metal!$A$2:$A$12,MIN(MATCH(E21,ReferenceData_Metal!$A$2:$A$12,1)+1,ROWS(ReferenceData_Metal!$A$2:$A$12))) - INDEX(ReferenceData_Metal!$A$2:$A$12,MATCH(E21,ReferenceData_Metal!$A$2:$A$12,1)))) *
    ((I24 - INDEX(ReferenceData_Metal!$B$1:$I$1,MATCH(I24,ReferenceData_Metal!$B$1:$I$1,1))) /
      (INDEX(ReferenceData_Metal!$B$1:$I$1,MIN(MATCH(I24,ReferenceData_Metal!$B$1:$I$1,1)+1,COLUMNS(ReferenceData_Metal!$B$1:$I$1))) - INDEX(ReferenceData_Metal!$B$1:$I$1,MATCH(I24,ReferenceData_Metal!$B$1:$I$1,1)))) *
    INDEX(ReferenceData_Metal!$B$2:$I$12,MIN(MATCH(E21,ReferenceData_Metal!$A$2:$A$12,1)+1,ROWS(ReferenceData_Metal!$A$2:$A$12)),MIN(MATCH(I24,ReferenceData_Metal!$B$1:$I$1,1)+1,COLUMNS(ReferenceData_Metal!$B$1:$I$1)))
  )
)</f>
        <v>0.53399012443109772</v>
      </c>
    </row>
    <row r="25" spans="1:11">
      <c r="A25">
        <v>700</v>
      </c>
      <c r="B25" t="e" cm="1">
        <f t="array" aca="1" ref="B25" ca="1">IF('Shell_KDF_Calculator (Metric)'!$D$10=0,B6,IF('Shell_KDF_Calculator (Metric)'!$D$10=0.5,C6,IF('Shell_KDF_Calculator (Metric)'!$D$10=1,D6,IF('Shell_KDF_Calculator (Metric)'!$D$10=2,E6,_xludf.NA()))))</f>
        <v>#NAME?</v>
      </c>
      <c r="C25" cm="1">
        <f t="array" ref="C25">MAX(
  0.15,
  IF(
    OR(A25 &gt; 10000, D25 &gt; 8),
    IF(
      AND(A25 &gt; 10000, D25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(A25 -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(D25 - 6),
      IF(
        A25 &gt; 10000,
        INDEX(ReferenceData_Metal!$B$2:$I$12,MATCH(10000,ReferenceData_Metal!$A$2:$A$12,1),MATCH(MIN(D25,8),ReferenceData_Metal!$B$1:$I$1,1)) +
        ((INDEX(ReferenceData_Metal!$B$2:$I$12,MATCH(10000,ReferenceData_Metal!$A$2:$A$12,1),MATCH(MIN(D25,8),ReferenceData_Metal!$B$1:$I$1,1)) - INDEX(ReferenceData_Metal!$B$2:$I$12,MATCH(INDEX(ReferenceData_Metal!$A$2:$A$12,MATCH(10000,ReferenceData_Metal!$A$2:$A$12,1)-1),ReferenceData_Metal!$A$2:$A$12,1),MATCH(MIN(D25,8),ReferenceData_Metal!$B$1:$I$1,1))) /
        (10000 - INDEX(ReferenceData_Metal!$A$2:$A$12,MATCH(10000,ReferenceData_Metal!$A$2:$A$12,1)-1))) * (A25 - 10000),
        INDEX(ReferenceData_Metal!$B$2:$I$12,MATCH(MIN(A25,10000),ReferenceData_Metal!$A$2:$A$12,1),MATCH(8,ReferenceData_Metal!$B$1:$I$1,1)) +
        ((INDEX(ReferenceData_Metal!$B$2:$I$12,MATCH(MIN(A25,10000),ReferenceData_Metal!$A$2:$A$12,1),MATCH(8,ReferenceData_Metal!$B$1:$I$1,1)) - INDEX(ReferenceData_Metal!$B$2:$I$12,MATCH(MIN(A25,10000),ReferenceData_Metal!$A$2:$A$12,1),MATCH(6,ReferenceData_Metal!$B$1:$I$1,1)))/(8 - 6)) * (D25 - 8)
      )
    ),
    (1 - (A25 - INDEX(ReferenceData_Metal!$A$2:$A$12,MATCH(A25,ReferenceData_Metal!$A$2:$A$12,1))) /
      (INDEX(ReferenceData_Metal!$A$2:$A$12,MIN(MATCH(A25,ReferenceData_Metal!$A$2:$A$12,1)+1,ROWS(ReferenceData_Metal!$A$2:$A$12))) - INDEX(ReferenceData_Metal!$A$2:$A$12,MATCH(A25,ReferenceData_Metal!$A$2:$A$12,1)))) *
    (1 - (D25 - INDEX(ReferenceData_Metal!$B$1:$I$1,MATCH(D25,ReferenceData_Metal!$B$1:$I$1,1))) /
      (INDEX(ReferenceData_Metal!$B$1:$I$1,MIN(MATCH(D25,ReferenceData_Metal!$B$1:$I$1,1)+1,COLUMNS(ReferenceData_Metal!$B$1:$I$1))) - INDEX(ReferenceData_Metal!$B$1:$I$1,MATCH(D25,ReferenceData_Metal!$B$1:$I$1,1)))) *
    INDEX(ReferenceData_Metal!$B$2:$I$12,MATCH(A25,ReferenceData_Metal!$A$2:$A$12,1),MATCH(D25,ReferenceData_Metal!$B$1:$I$1,1)) +
    ((A25 - INDEX(ReferenceData_Metal!$A$2:$A$12,MATCH(A25,ReferenceData_Metal!$A$2:$A$12,1))) /
      (INDEX(ReferenceData_Metal!$A$2:$A$12,MIN(MATCH(A25,ReferenceData_Metal!$A$2:$A$12,1)+1,ROWS(ReferenceData_Metal!$A$2:$A$12))) - INDEX(ReferenceData_Metal!$A$2:$A$12,MATCH(A25,ReferenceData_Metal!$A$2:$A$12,1)))) *
    (1 - (D25 - INDEX(ReferenceData_Metal!$B$1:$I$1,MATCH(D25,ReferenceData_Metal!$B$1:$I$1,1))) /
      (INDEX(ReferenceData_Metal!$B$1:$I$1,MIN(MATCH(D25,ReferenceData_Metal!$B$1:$I$1,1)+1,COLUMNS(ReferenceData_Metal!$B$1:$I$1))) - INDEX(ReferenceData_Metal!$B$1:$I$1,MATCH(D25,ReferenceData_Metal!$B$1:$I$1,1)))) *
    INDEX(ReferenceData_Metal!$B$2:$I$12,MIN(MATCH(A25,ReferenceData_Metal!$A$2:$A$12,1)+1,ROWS(ReferenceData_Metal!$A$2:$A$12)),MATCH(D25,ReferenceData_Metal!$B$1:$I$1,1)) +
    (1 - (A25 - INDEX(ReferenceData_Metal!$A$2:$A$12,MATCH(A25,ReferenceData_Metal!$A$2:$A$12,1))) /
      (INDEX(ReferenceData_Metal!$A$2:$A$12,MIN(MATCH(A25,ReferenceData_Metal!$A$2:$A$12,1)+1,ROWS(ReferenceData_Metal!$A$2:$A$12))) - INDEX(ReferenceData_Metal!$A$2:$A$12,MATCH(A25,ReferenceData_Metal!$A$2:$A$12,1)))) *
    ((D25 - INDEX(ReferenceData_Metal!$B$1:$I$1,MATCH(D25,ReferenceData_Metal!$B$1:$I$1,1))) /
      (INDEX(ReferenceData_Metal!$B$1:$I$1,MIN(MATCH(D25,ReferenceData_Metal!$B$1:$I$1,1)+1,COLUMNS(ReferenceData_Metal!$B$1:$I$1))) - INDEX(ReferenceData_Metal!$B$1:$I$1,MATCH(D25,ReferenceData_Metal!$B$1:$I$1,1)))) *
    INDEX(ReferenceData_Metal!$B$2:$I$12,MATCH(A25,ReferenceData_Metal!$A$2:$A$12,1),MIN(MATCH(D25,ReferenceData_Metal!$B$1:$I$1,1)+1,COLUMNS(ReferenceData_Metal!$B$1:$I$1))) +
    ((A25 - INDEX(ReferenceData_Metal!$A$2:$A$12,MATCH(A25,ReferenceData_Metal!$A$2:$A$12,1))) /
      (INDEX(ReferenceData_Metal!$A$2:$A$12,MIN(MATCH(A25,ReferenceData_Metal!$A$2:$A$12,1)+1,ROWS(ReferenceData_Metal!$A$2:$A$12))) - INDEX(ReferenceData_Metal!$A$2:$A$12,MATCH(A25,ReferenceData_Metal!$A$2:$A$12,1)))) *
    ((D25 - INDEX(ReferenceData_Metal!$B$1:$I$1,MATCH(D25,ReferenceData_Metal!$B$1:$I$1,1))) /
      (INDEX(ReferenceData_Metal!$B$1:$I$1,MIN(MATCH(D25,ReferenceData_Metal!$B$1:$I$1,1)+1,COLUMNS(ReferenceData_Metal!$B$1:$I$1))) - INDEX(ReferenceData_Metal!$B$1:$I$1,MATCH(D25,ReferenceData_Metal!$B$1:$I$1,1)))) *
    INDEX(ReferenceData_Metal!$B$2:$I$12,MIN(MATCH(A25,ReferenceData_Metal!$A$2:$A$12,1)+1,ROWS(ReferenceData_Metal!$A$2:$A$12)),MIN(MATCH(D25,ReferenceData_Metal!$B$1:$I$1,1)+1,COLUMNS(ReferenceData_Metal!$B$1:$I$1)))
  )
)</f>
        <v>0.49380000000000002</v>
      </c>
      <c r="D25">
        <f>'Shell_KDF_Calculator (Metric)'!$D$10</f>
        <v>0.3</v>
      </c>
      <c r="E25" s="13">
        <f>'Shell_KDF_Calculator (Metric)'!$D$15</f>
        <v>457.89081668013392</v>
      </c>
      <c r="F25">
        <v>3</v>
      </c>
      <c r="G25" cm="1">
        <f t="array" ref="G25">MAX(
  0.15,
  IF(
    OR(E25 &gt; 10000, F25 &gt; 8),
    IF(
      AND(E25 &gt; 10000, F25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(E25 -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(F25 - 6),
      IF(
        E25 &gt; 10000,
        INDEX(ReferenceData_Metal!$B$2:$I$12,MATCH(10000,ReferenceData_Metal!$A$2:$A$12,1),MATCH(MIN(F25,8),ReferenceData_Metal!$B$1:$I$1,1)) +
        ((INDEX(ReferenceData_Metal!$B$2:$I$12,MATCH(10000,ReferenceData_Metal!$A$2:$A$12,1),MATCH(MIN(F25,8),ReferenceData_Metal!$B$1:$I$1,1)) - INDEX(ReferenceData_Metal!$B$2:$I$12,MATCH(INDEX(ReferenceData_Metal!$A$2:$A$12,MATCH(10000,ReferenceData_Metal!$A$2:$A$12,1)-1),ReferenceData_Metal!$A$2:$A$12,1),MATCH(MIN(F25,8),ReferenceData_Metal!$B$1:$I$1,1))) /
        (10000 - INDEX(ReferenceData_Metal!$A$2:$A$12,MATCH(10000,ReferenceData_Metal!$A$2:$A$12,1)-1))) * (E25 - 10000),
        INDEX(ReferenceData_Metal!$B$2:$I$12,MATCH(MIN(E25,10000),ReferenceData_Metal!$A$2:$A$12,1),MATCH(8,ReferenceData_Metal!$B$1:$I$1,1)) +
        ((INDEX(ReferenceData_Metal!$B$2:$I$12,MATCH(MIN(E25,10000),ReferenceData_Metal!$A$2:$A$12,1),MATCH(8,ReferenceData_Metal!$B$1:$I$1,1)) - INDEX(ReferenceData_Metal!$B$2:$I$12,MATCH(MIN(E25,10000),ReferenceData_Metal!$A$2:$A$12,1),MATCH(6,ReferenceData_Metal!$B$1:$I$1,1)))/(8 - 6)) * (F25 - 8)
      )
    ),
    (1 - (E25 - INDEX(ReferenceData_Metal!$A$2:$A$12,MATCH(E25,ReferenceData_Metal!$A$2:$A$12,1))) /
      (INDEX(ReferenceData_Metal!$A$2:$A$12,MIN(MATCH(E25,ReferenceData_Metal!$A$2:$A$12,1)+1,ROWS(ReferenceData_Metal!$A$2:$A$12))) - INDEX(ReferenceData_Metal!$A$2:$A$12,MATCH(E25,ReferenceData_Metal!$A$2:$A$12,1)))) *
    (1 - (F25 - INDEX(ReferenceData_Metal!$B$1:$I$1,MATCH(F25,ReferenceData_Metal!$B$1:$I$1,1))) /
      (INDEX(ReferenceData_Metal!$B$1:$I$1,MIN(MATCH(F25,ReferenceData_Metal!$B$1:$I$1,1)+1,COLUMNS(ReferenceData_Metal!$B$1:$I$1))) - INDEX(ReferenceData_Metal!$B$1:$I$1,MATCH(F25,ReferenceData_Metal!$B$1:$I$1,1)))) *
    INDEX(ReferenceData_Metal!$B$2:$I$12,MATCH(E25,ReferenceData_Metal!$A$2:$A$12,1),MATCH(F25,ReferenceData_Metal!$B$1:$I$1,1)) +
    ((E25 - INDEX(ReferenceData_Metal!$A$2:$A$12,MATCH(E25,ReferenceData_Metal!$A$2:$A$12,1))) /
      (INDEX(ReferenceData_Metal!$A$2:$A$12,MIN(MATCH(E25,ReferenceData_Metal!$A$2:$A$12,1)+1,ROWS(ReferenceData_Metal!$A$2:$A$12))) - INDEX(ReferenceData_Metal!$A$2:$A$12,MATCH(E25,ReferenceData_Metal!$A$2:$A$12,1)))) *
    (1 - (F25 - INDEX(ReferenceData_Metal!$B$1:$I$1,MATCH(F25,ReferenceData_Metal!$B$1:$I$1,1))) /
      (INDEX(ReferenceData_Metal!$B$1:$I$1,MIN(MATCH(F25,ReferenceData_Metal!$B$1:$I$1,1)+1,COLUMNS(ReferenceData_Metal!$B$1:$I$1))) - INDEX(ReferenceData_Metal!$B$1:$I$1,MATCH(F25,ReferenceData_Metal!$B$1:$I$1,1)))) *
    INDEX(ReferenceData_Metal!$B$2:$I$12,MIN(MATCH(E25,ReferenceData_Metal!$A$2:$A$12,1)+1,ROWS(ReferenceData_Metal!$A$2:$A$12)),MATCH(F25,ReferenceData_Metal!$B$1:$I$1,1)) +
    (1 - (E25 - INDEX(ReferenceData_Metal!$A$2:$A$12,MATCH(E25,ReferenceData_Metal!$A$2:$A$12,1))) /
      (INDEX(ReferenceData_Metal!$A$2:$A$12,MIN(MATCH(E25,ReferenceData_Metal!$A$2:$A$12,1)+1,ROWS(ReferenceData_Metal!$A$2:$A$12))) - INDEX(ReferenceData_Metal!$A$2:$A$12,MATCH(E25,ReferenceData_Metal!$A$2:$A$12,1)))) *
    ((F25 - INDEX(ReferenceData_Metal!$B$1:$I$1,MATCH(F25,ReferenceData_Metal!$B$1:$I$1,1))) /
      (INDEX(ReferenceData_Metal!$B$1:$I$1,MIN(MATCH(F25,ReferenceData_Metal!$B$1:$I$1,1)+1,COLUMNS(ReferenceData_Metal!$B$1:$I$1))) - INDEX(ReferenceData_Metal!$B$1:$I$1,MATCH(F25,ReferenceData_Metal!$B$1:$I$1,1)))) *
    INDEX(ReferenceData_Metal!$B$2:$I$12,MATCH(E25,ReferenceData_Metal!$A$2:$A$12,1),MIN(MATCH(F25,ReferenceData_Metal!$B$1:$I$1,1)+1,COLUMNS(ReferenceData_Metal!$B$1:$I$1))) +
    ((E25 - INDEX(ReferenceData_Metal!$A$2:$A$12,MATCH(E25,ReferenceData_Metal!$A$2:$A$12,1))) /
      (INDEX(ReferenceData_Metal!$A$2:$A$12,MIN(MATCH(E25,ReferenceData_Metal!$A$2:$A$12,1)+1,ROWS(ReferenceData_Metal!$A$2:$A$12))) - INDEX(ReferenceData_Metal!$A$2:$A$12,MATCH(E25,ReferenceData_Metal!$A$2:$A$12,1)))) *
    ((F25 - INDEX(ReferenceData_Metal!$B$1:$I$1,MATCH(F25,ReferenceData_Metal!$B$1:$I$1,1))) /
      (INDEX(ReferenceData_Metal!$B$1:$I$1,MIN(MATCH(F25,ReferenceData_Metal!$B$1:$I$1,1)+1,COLUMNS(ReferenceData_Metal!$B$1:$I$1))) - INDEX(ReferenceData_Metal!$B$1:$I$1,MATCH(F25,ReferenceData_Metal!$B$1:$I$1,1)))) *
    INDEX(ReferenceData_Metal!$B$2:$I$12,MIN(MATCH(E25,ReferenceData_Metal!$A$2:$A$12,1)+1,ROWS(ReferenceData_Metal!$A$2:$A$12)),MIN(MATCH(F25,ReferenceData_Metal!$B$1:$I$1,1)+1,COLUMNS(ReferenceData_Metal!$B$1:$I$1)))
  )
)</f>
        <v>0.30849139794386088</v>
      </c>
      <c r="I25">
        <f>C19</f>
        <v>0.3</v>
      </c>
      <c r="J25">
        <v>10000</v>
      </c>
      <c r="K25" cm="1">
        <f t="array" ref="K25">MAX(
  0.15,
  IF(
    OR(E22 &gt; 10000, I25 &gt; 8),
    IF(
      AND(E22 &gt; 10000, I25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(E22 -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(I25 - 6),
      IF(
        E22 &gt; 10000,
        INDEX(ReferenceData_Metal!$B$2:$I$12,MATCH(10000,ReferenceData_Metal!$A$2:$A$12,1),MATCH(MIN(I25,8),ReferenceData_Metal!$B$1:$I$1,1)) +
        ((INDEX(ReferenceData_Metal!$B$2:$I$12,MATCH(10000,ReferenceData_Metal!$A$2:$A$12,1),MATCH(MIN(I25,8),ReferenceData_Metal!$B$1:$I$1,1)) - INDEX(ReferenceData_Metal!$B$2:$I$12,MATCH(INDEX(ReferenceData_Metal!$A$2:$A$12,MATCH(10000,ReferenceData_Metal!$A$2:$A$12,1)-1),ReferenceData_Metal!$A$2:$A$12,1),MATCH(MIN(I25,8),ReferenceData_Metal!$B$1:$I$1,1))) /
        (10000 - INDEX(ReferenceData_Metal!$A$2:$A$12,MATCH(10000,ReferenceData_Metal!$A$2:$A$12,1)-1))) * (E22 - 10000),
        INDEX(ReferenceData_Metal!$B$2:$I$12,MATCH(MIN(E22,10000),ReferenceData_Metal!$A$2:$A$12,1),MATCH(8,ReferenceData_Metal!$B$1:$I$1,1)) +
        ((INDEX(ReferenceData_Metal!$B$2:$I$12,MATCH(MIN(E22,10000),ReferenceData_Metal!$A$2:$A$12,1),MATCH(8,ReferenceData_Metal!$B$1:$I$1,1)) - INDEX(ReferenceData_Metal!$B$2:$I$12,MATCH(MIN(E22,10000),ReferenceData_Metal!$A$2:$A$12,1),MATCH(6,ReferenceData_Metal!$B$1:$I$1,1)))/(8 - 6)) * (I25 - 8)
      )
    ),
    (1 - (E22 - INDEX(ReferenceData_Metal!$A$2:$A$12,MATCH(E22,ReferenceData_Metal!$A$2:$A$12,1))) /
      (INDEX(ReferenceData_Metal!$A$2:$A$12,MIN(MATCH(E22,ReferenceData_Metal!$A$2:$A$12,1)+1,ROWS(ReferenceData_Metal!$A$2:$A$12))) - INDEX(ReferenceData_Metal!$A$2:$A$12,MATCH(E22,ReferenceData_Metal!$A$2:$A$12,1)))) *
    (1 - (I25 - INDEX(ReferenceData_Metal!$B$1:$I$1,MATCH(I25,ReferenceData_Metal!$B$1:$I$1,1))) /
      (INDEX(ReferenceData_Metal!$B$1:$I$1,MIN(MATCH(I25,ReferenceData_Metal!$B$1:$I$1,1)+1,COLUMNS(ReferenceData_Metal!$B$1:$I$1))) - INDEX(ReferenceData_Metal!$B$1:$I$1,MATCH(I25,ReferenceData_Metal!$B$1:$I$1,1)))) *
    INDEX(ReferenceData_Metal!$B$2:$I$12,MATCH(E22,ReferenceData_Metal!$A$2:$A$12,1),MATCH(I25,ReferenceData_Metal!$B$1:$I$1,1)) +
    ((E22 - INDEX(ReferenceData_Metal!$A$2:$A$12,MATCH(E22,ReferenceData_Metal!$A$2:$A$12,1))) /
      (INDEX(ReferenceData_Metal!$A$2:$A$12,MIN(MATCH(E22,ReferenceData_Metal!$A$2:$A$12,1)+1,ROWS(ReferenceData_Metal!$A$2:$A$12))) - INDEX(ReferenceData_Metal!$A$2:$A$12,MATCH(E22,ReferenceData_Metal!$A$2:$A$12,1)))) *
    (1 - (I25 - INDEX(ReferenceData_Metal!$B$1:$I$1,MATCH(I25,ReferenceData_Metal!$B$1:$I$1,1))) /
      (INDEX(ReferenceData_Metal!$B$1:$I$1,MIN(MATCH(I25,ReferenceData_Metal!$B$1:$I$1,1)+1,COLUMNS(ReferenceData_Metal!$B$1:$I$1))) - INDEX(ReferenceData_Metal!$B$1:$I$1,MATCH(I25,ReferenceData_Metal!$B$1:$I$1,1)))) *
    INDEX(ReferenceData_Metal!$B$2:$I$12,MIN(MATCH(E22,ReferenceData_Metal!$A$2:$A$12,1)+1,ROWS(ReferenceData_Metal!$A$2:$A$12)),MATCH(I25,ReferenceData_Metal!$B$1:$I$1,1)) +
    (1 - (E22 - INDEX(ReferenceData_Metal!$A$2:$A$12,MATCH(E22,ReferenceData_Metal!$A$2:$A$12,1))) /
      (INDEX(ReferenceData_Metal!$A$2:$A$12,MIN(MATCH(E22,ReferenceData_Metal!$A$2:$A$12,1)+1,ROWS(ReferenceData_Metal!$A$2:$A$12))) - INDEX(ReferenceData_Metal!$A$2:$A$12,MATCH(E22,ReferenceData_Metal!$A$2:$A$12,1)))) *
    ((I25 - INDEX(ReferenceData_Metal!$B$1:$I$1,MATCH(I25,ReferenceData_Metal!$B$1:$I$1,1))) /
      (INDEX(ReferenceData_Metal!$B$1:$I$1,MIN(MATCH(I25,ReferenceData_Metal!$B$1:$I$1,1)+1,COLUMNS(ReferenceData_Metal!$B$1:$I$1))) - INDEX(ReferenceData_Metal!$B$1:$I$1,MATCH(I25,ReferenceData_Metal!$B$1:$I$1,1)))) *
    INDEX(ReferenceData_Metal!$B$2:$I$12,MATCH(E22,ReferenceData_Metal!$A$2:$A$12,1),MIN(MATCH(I25,ReferenceData_Metal!$B$1:$I$1,1)+1,COLUMNS(ReferenceData_Metal!$B$1:$I$1))) +
    ((E22 - INDEX(ReferenceData_Metal!$A$2:$A$12,MATCH(E22,ReferenceData_Metal!$A$2:$A$12,1))) /
      (INDEX(ReferenceData_Metal!$A$2:$A$12,MIN(MATCH(E22,ReferenceData_Metal!$A$2:$A$12,1)+1,ROWS(ReferenceData_Metal!$A$2:$A$12))) - INDEX(ReferenceData_Metal!$A$2:$A$12,MATCH(E22,ReferenceData_Metal!$A$2:$A$12,1)))) *
    ((I25 - INDEX(ReferenceData_Metal!$B$1:$I$1,MATCH(I25,ReferenceData_Metal!$B$1:$I$1,1))) /
      (INDEX(ReferenceData_Metal!$B$1:$I$1,MIN(MATCH(I25,ReferenceData_Metal!$B$1:$I$1,1)+1,COLUMNS(ReferenceData_Metal!$B$1:$I$1))) - INDEX(ReferenceData_Metal!$B$1:$I$1,MATCH(I25,ReferenceData_Metal!$B$1:$I$1,1)))) *
    INDEX(ReferenceData_Metal!$B$2:$I$12,MIN(MATCH(E22,ReferenceData_Metal!$A$2:$A$12,1)+1,ROWS(ReferenceData_Metal!$A$2:$A$12)),MIN(MATCH(I25,ReferenceData_Metal!$B$1:$I$1,1)+1,COLUMNS(ReferenceData_Metal!$B$1:$I$1)))
  )
)</f>
        <v>0.53399012443109772</v>
      </c>
    </row>
    <row r="26" spans="1:11">
      <c r="A26">
        <v>1000</v>
      </c>
      <c r="B26" t="e" cm="1">
        <f t="array" aca="1" ref="B26" ca="1">IF('Shell_KDF_Calculator (Metric)'!$D$10=0,B7,IF('Shell_KDF_Calculator (Metric)'!$D$10=0.5,C7,IF('Shell_KDF_Calculator (Metric)'!$D$10=1,D7,IF('Shell_KDF_Calculator (Metric)'!$D$10=2,E7,_xludf.NA()))))</f>
        <v>#NAME?</v>
      </c>
      <c r="C26" cm="1">
        <f t="array" ref="C26">MAX(
  0.15,
  IF(
    OR(A26 &gt; 10000, D26 &gt; 8),
    IF(
      AND(A26 &gt; 10000, D26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(A26 -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(D26 - 6),
      IF(
        A26 &gt; 10000,
        INDEX(ReferenceData_Metal!$B$2:$I$12,MATCH(10000,ReferenceData_Metal!$A$2:$A$12,1),MATCH(MIN(D26,8),ReferenceData_Metal!$B$1:$I$1,1)) +
        ((INDEX(ReferenceData_Metal!$B$2:$I$12,MATCH(10000,ReferenceData_Metal!$A$2:$A$12,1),MATCH(MIN(D26,8),ReferenceData_Metal!$B$1:$I$1,1)) - INDEX(ReferenceData_Metal!$B$2:$I$12,MATCH(INDEX(ReferenceData_Metal!$A$2:$A$12,MATCH(10000,ReferenceData_Metal!$A$2:$A$12,1)-1),ReferenceData_Metal!$A$2:$A$12,1),MATCH(MIN(D26,8),ReferenceData_Metal!$B$1:$I$1,1))) /
        (10000 - INDEX(ReferenceData_Metal!$A$2:$A$12,MATCH(10000,ReferenceData_Metal!$A$2:$A$12,1)-1))) * (A26 - 10000),
        INDEX(ReferenceData_Metal!$B$2:$I$12,MATCH(MIN(A26,10000),ReferenceData_Metal!$A$2:$A$12,1),MATCH(8,ReferenceData_Metal!$B$1:$I$1,1)) +
        ((INDEX(ReferenceData_Metal!$B$2:$I$12,MATCH(MIN(A26,10000),ReferenceData_Metal!$A$2:$A$12,1),MATCH(8,ReferenceData_Metal!$B$1:$I$1,1)) - INDEX(ReferenceData_Metal!$B$2:$I$12,MATCH(MIN(A26,10000),ReferenceData_Metal!$A$2:$A$12,1),MATCH(6,ReferenceData_Metal!$B$1:$I$1,1)))/(8 - 6)) * (D26 - 8)
      )
    ),
    (1 - (A26 - INDEX(ReferenceData_Metal!$A$2:$A$12,MATCH(A26,ReferenceData_Metal!$A$2:$A$12,1))) /
      (INDEX(ReferenceData_Metal!$A$2:$A$12,MIN(MATCH(A26,ReferenceData_Metal!$A$2:$A$12,1)+1,ROWS(ReferenceData_Metal!$A$2:$A$12))) - INDEX(ReferenceData_Metal!$A$2:$A$12,MATCH(A26,ReferenceData_Metal!$A$2:$A$12,1)))) *
    (1 - (D26 - INDEX(ReferenceData_Metal!$B$1:$I$1,MATCH(D26,ReferenceData_Metal!$B$1:$I$1,1))) /
      (INDEX(ReferenceData_Metal!$B$1:$I$1,MIN(MATCH(D26,ReferenceData_Metal!$B$1:$I$1,1)+1,COLUMNS(ReferenceData_Metal!$B$1:$I$1))) - INDEX(ReferenceData_Metal!$B$1:$I$1,MATCH(D26,ReferenceData_Metal!$B$1:$I$1,1)))) *
    INDEX(ReferenceData_Metal!$B$2:$I$12,MATCH(A26,ReferenceData_Metal!$A$2:$A$12,1),MATCH(D26,ReferenceData_Metal!$B$1:$I$1,1)) +
    ((A26 - INDEX(ReferenceData_Metal!$A$2:$A$12,MATCH(A26,ReferenceData_Metal!$A$2:$A$12,1))) /
      (INDEX(ReferenceData_Metal!$A$2:$A$12,MIN(MATCH(A26,ReferenceData_Metal!$A$2:$A$12,1)+1,ROWS(ReferenceData_Metal!$A$2:$A$12))) - INDEX(ReferenceData_Metal!$A$2:$A$12,MATCH(A26,ReferenceData_Metal!$A$2:$A$12,1)))) *
    (1 - (D26 - INDEX(ReferenceData_Metal!$B$1:$I$1,MATCH(D26,ReferenceData_Metal!$B$1:$I$1,1))) /
      (INDEX(ReferenceData_Metal!$B$1:$I$1,MIN(MATCH(D26,ReferenceData_Metal!$B$1:$I$1,1)+1,COLUMNS(ReferenceData_Metal!$B$1:$I$1))) - INDEX(ReferenceData_Metal!$B$1:$I$1,MATCH(D26,ReferenceData_Metal!$B$1:$I$1,1)))) *
    INDEX(ReferenceData_Metal!$B$2:$I$12,MIN(MATCH(A26,ReferenceData_Metal!$A$2:$A$12,1)+1,ROWS(ReferenceData_Metal!$A$2:$A$12)),MATCH(D26,ReferenceData_Metal!$B$1:$I$1,1)) +
    (1 - (A26 - INDEX(ReferenceData_Metal!$A$2:$A$12,MATCH(A26,ReferenceData_Metal!$A$2:$A$12,1))) /
      (INDEX(ReferenceData_Metal!$A$2:$A$12,MIN(MATCH(A26,ReferenceData_Metal!$A$2:$A$12,1)+1,ROWS(ReferenceData_Metal!$A$2:$A$12))) - INDEX(ReferenceData_Metal!$A$2:$A$12,MATCH(A26,ReferenceData_Metal!$A$2:$A$12,1)))) *
    ((D26 - INDEX(ReferenceData_Metal!$B$1:$I$1,MATCH(D26,ReferenceData_Metal!$B$1:$I$1,1))) /
      (INDEX(ReferenceData_Metal!$B$1:$I$1,MIN(MATCH(D26,ReferenceData_Metal!$B$1:$I$1,1)+1,COLUMNS(ReferenceData_Metal!$B$1:$I$1))) - INDEX(ReferenceData_Metal!$B$1:$I$1,MATCH(D26,ReferenceData_Metal!$B$1:$I$1,1)))) *
    INDEX(ReferenceData_Metal!$B$2:$I$12,MATCH(A26,ReferenceData_Metal!$A$2:$A$12,1),MIN(MATCH(D26,ReferenceData_Metal!$B$1:$I$1,1)+1,COLUMNS(ReferenceData_Metal!$B$1:$I$1))) +
    ((A26 - INDEX(ReferenceData_Metal!$A$2:$A$12,MATCH(A26,ReferenceData_Metal!$A$2:$A$12,1))) /
      (INDEX(ReferenceData_Metal!$A$2:$A$12,MIN(MATCH(A26,ReferenceData_Metal!$A$2:$A$12,1)+1,ROWS(ReferenceData_Metal!$A$2:$A$12))) - INDEX(ReferenceData_Metal!$A$2:$A$12,MATCH(A26,ReferenceData_Metal!$A$2:$A$12,1)))) *
    ((D26 - INDEX(ReferenceData_Metal!$B$1:$I$1,MATCH(D26,ReferenceData_Metal!$B$1:$I$1,1))) /
      (INDEX(ReferenceData_Metal!$B$1:$I$1,MIN(MATCH(D26,ReferenceData_Metal!$B$1:$I$1,1)+1,COLUMNS(ReferenceData_Metal!$B$1:$I$1))) - INDEX(ReferenceData_Metal!$B$1:$I$1,MATCH(D26,ReferenceData_Metal!$B$1:$I$1,1)))) *
    INDEX(ReferenceData_Metal!$B$2:$I$12,MIN(MATCH(A26,ReferenceData_Metal!$A$2:$A$12,1)+1,ROWS(ReferenceData_Metal!$A$2:$A$12)),MIN(MATCH(D26,ReferenceData_Metal!$B$1:$I$1,1)+1,COLUMNS(ReferenceData_Metal!$B$1:$I$1)))
  )
)</f>
        <v>0.46280000000000004</v>
      </c>
      <c r="D26">
        <f>'Shell_KDF_Calculator (Metric)'!$D$10</f>
        <v>0.3</v>
      </c>
      <c r="E26" s="13">
        <f>'Shell_KDF_Calculator (Metric)'!$D$15</f>
        <v>457.89081668013392</v>
      </c>
      <c r="F26">
        <v>4</v>
      </c>
      <c r="G26" cm="1">
        <f t="array" ref="G26">MAX(
  0.15,
  IF(
    OR(E26 &gt; 10000, F26 &gt; 8),
    IF(
      AND(E26 &gt; 10000, F26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(E26 -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(F26 - 6),
      IF(
        E26 &gt; 10000,
        INDEX(ReferenceData_Metal!$B$2:$I$12,MATCH(10000,ReferenceData_Metal!$A$2:$A$12,1),MATCH(MIN(F26,8),ReferenceData_Metal!$B$1:$I$1,1)) +
        ((INDEX(ReferenceData_Metal!$B$2:$I$12,MATCH(10000,ReferenceData_Metal!$A$2:$A$12,1),MATCH(MIN(F26,8),ReferenceData_Metal!$B$1:$I$1,1)) - INDEX(ReferenceData_Metal!$B$2:$I$12,MATCH(INDEX(ReferenceData_Metal!$A$2:$A$12,MATCH(10000,ReferenceData_Metal!$A$2:$A$12,1)-1),ReferenceData_Metal!$A$2:$A$12,1),MATCH(MIN(F26,8),ReferenceData_Metal!$B$1:$I$1,1))) /
        (10000 - INDEX(ReferenceData_Metal!$A$2:$A$12,MATCH(10000,ReferenceData_Metal!$A$2:$A$12,1)-1))) * (E26 - 10000),
        INDEX(ReferenceData_Metal!$B$2:$I$12,MATCH(MIN(E26,10000),ReferenceData_Metal!$A$2:$A$12,1),MATCH(8,ReferenceData_Metal!$B$1:$I$1,1)) +
        ((INDEX(ReferenceData_Metal!$B$2:$I$12,MATCH(MIN(E26,10000),ReferenceData_Metal!$A$2:$A$12,1),MATCH(8,ReferenceData_Metal!$B$1:$I$1,1)) - INDEX(ReferenceData_Metal!$B$2:$I$12,MATCH(MIN(E26,10000),ReferenceData_Metal!$A$2:$A$12,1),MATCH(6,ReferenceData_Metal!$B$1:$I$1,1)))/(8 - 6)) * (F26 - 8)
      )
    ),
    (1 - (E26 - INDEX(ReferenceData_Metal!$A$2:$A$12,MATCH(E26,ReferenceData_Metal!$A$2:$A$12,1))) /
      (INDEX(ReferenceData_Metal!$A$2:$A$12,MIN(MATCH(E26,ReferenceData_Metal!$A$2:$A$12,1)+1,ROWS(ReferenceData_Metal!$A$2:$A$12))) - INDEX(ReferenceData_Metal!$A$2:$A$12,MATCH(E26,ReferenceData_Metal!$A$2:$A$12,1)))) *
    (1 - (F26 - INDEX(ReferenceData_Metal!$B$1:$I$1,MATCH(F26,ReferenceData_Metal!$B$1:$I$1,1))) /
      (INDEX(ReferenceData_Metal!$B$1:$I$1,MIN(MATCH(F26,ReferenceData_Metal!$B$1:$I$1,1)+1,COLUMNS(ReferenceData_Metal!$B$1:$I$1))) - INDEX(ReferenceData_Metal!$B$1:$I$1,MATCH(F26,ReferenceData_Metal!$B$1:$I$1,1)))) *
    INDEX(ReferenceData_Metal!$B$2:$I$12,MATCH(E26,ReferenceData_Metal!$A$2:$A$12,1),MATCH(F26,ReferenceData_Metal!$B$1:$I$1,1)) +
    ((E26 - INDEX(ReferenceData_Metal!$A$2:$A$12,MATCH(E26,ReferenceData_Metal!$A$2:$A$12,1))) /
      (INDEX(ReferenceData_Metal!$A$2:$A$12,MIN(MATCH(E26,ReferenceData_Metal!$A$2:$A$12,1)+1,ROWS(ReferenceData_Metal!$A$2:$A$12))) - INDEX(ReferenceData_Metal!$A$2:$A$12,MATCH(E26,ReferenceData_Metal!$A$2:$A$12,1)))) *
    (1 - (F26 - INDEX(ReferenceData_Metal!$B$1:$I$1,MATCH(F26,ReferenceData_Metal!$B$1:$I$1,1))) /
      (INDEX(ReferenceData_Metal!$B$1:$I$1,MIN(MATCH(F26,ReferenceData_Metal!$B$1:$I$1,1)+1,COLUMNS(ReferenceData_Metal!$B$1:$I$1))) - INDEX(ReferenceData_Metal!$B$1:$I$1,MATCH(F26,ReferenceData_Metal!$B$1:$I$1,1)))) *
    INDEX(ReferenceData_Metal!$B$2:$I$12,MIN(MATCH(E26,ReferenceData_Metal!$A$2:$A$12,1)+1,ROWS(ReferenceData_Metal!$A$2:$A$12)),MATCH(F26,ReferenceData_Metal!$B$1:$I$1,1)) +
    (1 - (E26 - INDEX(ReferenceData_Metal!$A$2:$A$12,MATCH(E26,ReferenceData_Metal!$A$2:$A$12,1))) /
      (INDEX(ReferenceData_Metal!$A$2:$A$12,MIN(MATCH(E26,ReferenceData_Metal!$A$2:$A$12,1)+1,ROWS(ReferenceData_Metal!$A$2:$A$12))) - INDEX(ReferenceData_Metal!$A$2:$A$12,MATCH(E26,ReferenceData_Metal!$A$2:$A$12,1)))) *
    ((F26 - INDEX(ReferenceData_Metal!$B$1:$I$1,MATCH(F26,ReferenceData_Metal!$B$1:$I$1,1))) /
      (INDEX(ReferenceData_Metal!$B$1:$I$1,MIN(MATCH(F26,ReferenceData_Metal!$B$1:$I$1,1)+1,COLUMNS(ReferenceData_Metal!$B$1:$I$1))) - INDEX(ReferenceData_Metal!$B$1:$I$1,MATCH(F26,ReferenceData_Metal!$B$1:$I$1,1)))) *
    INDEX(ReferenceData_Metal!$B$2:$I$12,MATCH(E26,ReferenceData_Metal!$A$2:$A$12,1),MIN(MATCH(F26,ReferenceData_Metal!$B$1:$I$1,1)+1,COLUMNS(ReferenceData_Metal!$B$1:$I$1))) +
    ((E26 - INDEX(ReferenceData_Metal!$A$2:$A$12,MATCH(E26,ReferenceData_Metal!$A$2:$A$12,1))) /
      (INDEX(ReferenceData_Metal!$A$2:$A$12,MIN(MATCH(E26,ReferenceData_Metal!$A$2:$A$12,1)+1,ROWS(ReferenceData_Metal!$A$2:$A$12))) - INDEX(ReferenceData_Metal!$A$2:$A$12,MATCH(E26,ReferenceData_Metal!$A$2:$A$12,1)))) *
    ((F26 - INDEX(ReferenceData_Metal!$B$1:$I$1,MATCH(F26,ReferenceData_Metal!$B$1:$I$1,1))) /
      (INDEX(ReferenceData_Metal!$B$1:$I$1,MIN(MATCH(F26,ReferenceData_Metal!$B$1:$I$1,1)+1,COLUMNS(ReferenceData_Metal!$B$1:$I$1))) - INDEX(ReferenceData_Metal!$B$1:$I$1,MATCH(F26,ReferenceData_Metal!$B$1:$I$1,1)))) *
    INDEX(ReferenceData_Metal!$B$2:$I$12,MIN(MATCH(E26,ReferenceData_Metal!$A$2:$A$12,1)+1,ROWS(ReferenceData_Metal!$A$2:$A$12)),MIN(MATCH(F26,ReferenceData_Metal!$B$1:$I$1,1)+1,COLUMNS(ReferenceData_Metal!$B$1:$I$1)))
  )
)</f>
        <v>0.28242109183319863</v>
      </c>
    </row>
    <row r="27" spans="1:11">
      <c r="A27">
        <v>1500</v>
      </c>
      <c r="B27" t="e" cm="1">
        <f t="array" aca="1" ref="B27" ca="1">IF('Shell_KDF_Calculator (Metric)'!$D$10=0,B8,IF('Shell_KDF_Calculator (Metric)'!$D$10=0.5,C8,IF('Shell_KDF_Calculator (Metric)'!$D$10=1,D8,IF('Shell_KDF_Calculator (Metric)'!$D$10=2,E8,_xludf.NA()))))</f>
        <v>#NAME?</v>
      </c>
      <c r="C27" cm="1">
        <f t="array" ref="C27">MAX(
  0.15,
  IF(
    OR(A27 &gt; 10000, D27 &gt; 8),
    IF(
      AND(A27 &gt; 10000, D27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(A27 -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(D27 - 6),
      IF(
        A27 &gt; 10000,
        INDEX(ReferenceData_Metal!$B$2:$I$12,MATCH(10000,ReferenceData_Metal!$A$2:$A$12,1),MATCH(MIN(D27,8),ReferenceData_Metal!$B$1:$I$1,1)) +
        ((INDEX(ReferenceData_Metal!$B$2:$I$12,MATCH(10000,ReferenceData_Metal!$A$2:$A$12,1),MATCH(MIN(D27,8),ReferenceData_Metal!$B$1:$I$1,1)) - INDEX(ReferenceData_Metal!$B$2:$I$12,MATCH(INDEX(ReferenceData_Metal!$A$2:$A$12,MATCH(10000,ReferenceData_Metal!$A$2:$A$12,1)-1),ReferenceData_Metal!$A$2:$A$12,1),MATCH(MIN(D27,8),ReferenceData_Metal!$B$1:$I$1,1))) /
        (10000 - INDEX(ReferenceData_Metal!$A$2:$A$12,MATCH(10000,ReferenceData_Metal!$A$2:$A$12,1)-1))) * (A27 - 10000),
        INDEX(ReferenceData_Metal!$B$2:$I$12,MATCH(MIN(A27,10000),ReferenceData_Metal!$A$2:$A$12,1),MATCH(8,ReferenceData_Metal!$B$1:$I$1,1)) +
        ((INDEX(ReferenceData_Metal!$B$2:$I$12,MATCH(MIN(A27,10000),ReferenceData_Metal!$A$2:$A$12,1),MATCH(8,ReferenceData_Metal!$B$1:$I$1,1)) - INDEX(ReferenceData_Metal!$B$2:$I$12,MATCH(MIN(A27,10000),ReferenceData_Metal!$A$2:$A$12,1),MATCH(6,ReferenceData_Metal!$B$1:$I$1,1)))/(8 - 6)) * (D27 - 8)
      )
    ),
    (1 - (A27 - INDEX(ReferenceData_Metal!$A$2:$A$12,MATCH(A27,ReferenceData_Metal!$A$2:$A$12,1))) /
      (INDEX(ReferenceData_Metal!$A$2:$A$12,MIN(MATCH(A27,ReferenceData_Metal!$A$2:$A$12,1)+1,ROWS(ReferenceData_Metal!$A$2:$A$12))) - INDEX(ReferenceData_Metal!$A$2:$A$12,MATCH(A27,ReferenceData_Metal!$A$2:$A$12,1)))) *
    (1 - (D27 - INDEX(ReferenceData_Metal!$B$1:$I$1,MATCH(D27,ReferenceData_Metal!$B$1:$I$1,1))) /
      (INDEX(ReferenceData_Metal!$B$1:$I$1,MIN(MATCH(D27,ReferenceData_Metal!$B$1:$I$1,1)+1,COLUMNS(ReferenceData_Metal!$B$1:$I$1))) - INDEX(ReferenceData_Metal!$B$1:$I$1,MATCH(D27,ReferenceData_Metal!$B$1:$I$1,1)))) *
    INDEX(ReferenceData_Metal!$B$2:$I$12,MATCH(A27,ReferenceData_Metal!$A$2:$A$12,1),MATCH(D27,ReferenceData_Metal!$B$1:$I$1,1)) +
    ((A27 - INDEX(ReferenceData_Metal!$A$2:$A$12,MATCH(A27,ReferenceData_Metal!$A$2:$A$12,1))) /
      (INDEX(ReferenceData_Metal!$A$2:$A$12,MIN(MATCH(A27,ReferenceData_Metal!$A$2:$A$12,1)+1,ROWS(ReferenceData_Metal!$A$2:$A$12))) - INDEX(ReferenceData_Metal!$A$2:$A$12,MATCH(A27,ReferenceData_Metal!$A$2:$A$12,1)))) *
    (1 - (D27 - INDEX(ReferenceData_Metal!$B$1:$I$1,MATCH(D27,ReferenceData_Metal!$B$1:$I$1,1))) /
      (INDEX(ReferenceData_Metal!$B$1:$I$1,MIN(MATCH(D27,ReferenceData_Metal!$B$1:$I$1,1)+1,COLUMNS(ReferenceData_Metal!$B$1:$I$1))) - INDEX(ReferenceData_Metal!$B$1:$I$1,MATCH(D27,ReferenceData_Metal!$B$1:$I$1,1)))) *
    INDEX(ReferenceData_Metal!$B$2:$I$12,MIN(MATCH(A27,ReferenceData_Metal!$A$2:$A$12,1)+1,ROWS(ReferenceData_Metal!$A$2:$A$12)),MATCH(D27,ReferenceData_Metal!$B$1:$I$1,1)) +
    (1 - (A27 - INDEX(ReferenceData_Metal!$A$2:$A$12,MATCH(A27,ReferenceData_Metal!$A$2:$A$12,1))) /
      (INDEX(ReferenceData_Metal!$A$2:$A$12,MIN(MATCH(A27,ReferenceData_Metal!$A$2:$A$12,1)+1,ROWS(ReferenceData_Metal!$A$2:$A$12))) - INDEX(ReferenceData_Metal!$A$2:$A$12,MATCH(A27,ReferenceData_Metal!$A$2:$A$12,1)))) *
    ((D27 - INDEX(ReferenceData_Metal!$B$1:$I$1,MATCH(D27,ReferenceData_Metal!$B$1:$I$1,1))) /
      (INDEX(ReferenceData_Metal!$B$1:$I$1,MIN(MATCH(D27,ReferenceData_Metal!$B$1:$I$1,1)+1,COLUMNS(ReferenceData_Metal!$B$1:$I$1))) - INDEX(ReferenceData_Metal!$B$1:$I$1,MATCH(D27,ReferenceData_Metal!$B$1:$I$1,1)))) *
    INDEX(ReferenceData_Metal!$B$2:$I$12,MATCH(A27,ReferenceData_Metal!$A$2:$A$12,1),MIN(MATCH(D27,ReferenceData_Metal!$B$1:$I$1,1)+1,COLUMNS(ReferenceData_Metal!$B$1:$I$1))) +
    ((A27 - INDEX(ReferenceData_Metal!$A$2:$A$12,MATCH(A27,ReferenceData_Metal!$A$2:$A$12,1))) /
      (INDEX(ReferenceData_Metal!$A$2:$A$12,MIN(MATCH(A27,ReferenceData_Metal!$A$2:$A$12,1)+1,ROWS(ReferenceData_Metal!$A$2:$A$12))) - INDEX(ReferenceData_Metal!$A$2:$A$12,MATCH(A27,ReferenceData_Metal!$A$2:$A$12,1)))) *
    ((D27 - INDEX(ReferenceData_Metal!$B$1:$I$1,MATCH(D27,ReferenceData_Metal!$B$1:$I$1,1))) /
      (INDEX(ReferenceData_Metal!$B$1:$I$1,MIN(MATCH(D27,ReferenceData_Metal!$B$1:$I$1,1)+1,COLUMNS(ReferenceData_Metal!$B$1:$I$1))) - INDEX(ReferenceData_Metal!$B$1:$I$1,MATCH(D27,ReferenceData_Metal!$B$1:$I$1,1)))) *
    INDEX(ReferenceData_Metal!$B$2:$I$12,MIN(MATCH(A27,ReferenceData_Metal!$A$2:$A$12,1)+1,ROWS(ReferenceData_Metal!$A$2:$A$12)),MIN(MATCH(D27,ReferenceData_Metal!$B$1:$I$1,1)+1,COLUMNS(ReferenceData_Metal!$B$1:$I$1)))
  )
)</f>
        <v>0.42659999999999998</v>
      </c>
      <c r="D27">
        <f>'Shell_KDF_Calculator (Metric)'!$D$10</f>
        <v>0.3</v>
      </c>
      <c r="E27" s="13">
        <f>'Shell_KDF_Calculator (Metric)'!$D$15</f>
        <v>457.89081668013392</v>
      </c>
      <c r="F27">
        <v>6</v>
      </c>
      <c r="G27" cm="1">
        <f t="array" ref="G27">MAX(
  0.15,
  IF(
    OR(E27 &gt; 10000, F27 &gt; 8),
    IF(
      AND(E27 &gt; 10000, F27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(E27 -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(F27 - 6),
      IF(
        E27 &gt; 10000,
        INDEX(ReferenceData_Metal!$B$2:$I$12,MATCH(10000,ReferenceData_Metal!$A$2:$A$12,1),MATCH(MIN(F27,8),ReferenceData_Metal!$B$1:$I$1,1)) +
        ((INDEX(ReferenceData_Metal!$B$2:$I$12,MATCH(10000,ReferenceData_Metal!$A$2:$A$12,1),MATCH(MIN(F27,8),ReferenceData_Metal!$B$1:$I$1,1)) - INDEX(ReferenceData_Metal!$B$2:$I$12,MATCH(INDEX(ReferenceData_Metal!$A$2:$A$12,MATCH(10000,ReferenceData_Metal!$A$2:$A$12,1)-1),ReferenceData_Metal!$A$2:$A$12,1),MATCH(MIN(F27,8),ReferenceData_Metal!$B$1:$I$1,1))) /
        (10000 - INDEX(ReferenceData_Metal!$A$2:$A$12,MATCH(10000,ReferenceData_Metal!$A$2:$A$12,1)-1))) * (E27 - 10000),
        INDEX(ReferenceData_Metal!$B$2:$I$12,MATCH(MIN(E27,10000),ReferenceData_Metal!$A$2:$A$12,1),MATCH(8,ReferenceData_Metal!$B$1:$I$1,1)) +
        ((INDEX(ReferenceData_Metal!$B$2:$I$12,MATCH(MIN(E27,10000),ReferenceData_Metal!$A$2:$A$12,1),MATCH(8,ReferenceData_Metal!$B$1:$I$1,1)) - INDEX(ReferenceData_Metal!$B$2:$I$12,MATCH(MIN(E27,10000),ReferenceData_Metal!$A$2:$A$12,1),MATCH(6,ReferenceData_Metal!$B$1:$I$1,1)))/(8 - 6)) * (F27 - 8)
      )
    ),
    (1 - (E27 - INDEX(ReferenceData_Metal!$A$2:$A$12,MATCH(E27,ReferenceData_Metal!$A$2:$A$12,1))) /
      (INDEX(ReferenceData_Metal!$A$2:$A$12,MIN(MATCH(E27,ReferenceData_Metal!$A$2:$A$12,1)+1,ROWS(ReferenceData_Metal!$A$2:$A$12))) - INDEX(ReferenceData_Metal!$A$2:$A$12,MATCH(E27,ReferenceData_Metal!$A$2:$A$12,1)))) *
    (1 - (F27 - INDEX(ReferenceData_Metal!$B$1:$I$1,MATCH(F27,ReferenceData_Metal!$B$1:$I$1,1))) /
      (INDEX(ReferenceData_Metal!$B$1:$I$1,MIN(MATCH(F27,ReferenceData_Metal!$B$1:$I$1,1)+1,COLUMNS(ReferenceData_Metal!$B$1:$I$1))) - INDEX(ReferenceData_Metal!$B$1:$I$1,MATCH(F27,ReferenceData_Metal!$B$1:$I$1,1)))) *
    INDEX(ReferenceData_Metal!$B$2:$I$12,MATCH(E27,ReferenceData_Metal!$A$2:$A$12,1),MATCH(F27,ReferenceData_Metal!$B$1:$I$1,1)) +
    ((E27 - INDEX(ReferenceData_Metal!$A$2:$A$12,MATCH(E27,ReferenceData_Metal!$A$2:$A$12,1))) /
      (INDEX(ReferenceData_Metal!$A$2:$A$12,MIN(MATCH(E27,ReferenceData_Metal!$A$2:$A$12,1)+1,ROWS(ReferenceData_Metal!$A$2:$A$12))) - INDEX(ReferenceData_Metal!$A$2:$A$12,MATCH(E27,ReferenceData_Metal!$A$2:$A$12,1)))) *
    (1 - (F27 - INDEX(ReferenceData_Metal!$B$1:$I$1,MATCH(F27,ReferenceData_Metal!$B$1:$I$1,1))) /
      (INDEX(ReferenceData_Metal!$B$1:$I$1,MIN(MATCH(F27,ReferenceData_Metal!$B$1:$I$1,1)+1,COLUMNS(ReferenceData_Metal!$B$1:$I$1))) - INDEX(ReferenceData_Metal!$B$1:$I$1,MATCH(F27,ReferenceData_Metal!$B$1:$I$1,1)))) *
    INDEX(ReferenceData_Metal!$B$2:$I$12,MIN(MATCH(E27,ReferenceData_Metal!$A$2:$A$12,1)+1,ROWS(ReferenceData_Metal!$A$2:$A$12)),MATCH(F27,ReferenceData_Metal!$B$1:$I$1,1)) +
    (1 - (E27 - INDEX(ReferenceData_Metal!$A$2:$A$12,MATCH(E27,ReferenceData_Metal!$A$2:$A$12,1))) /
      (INDEX(ReferenceData_Metal!$A$2:$A$12,MIN(MATCH(E27,ReferenceData_Metal!$A$2:$A$12,1)+1,ROWS(ReferenceData_Metal!$A$2:$A$12))) - INDEX(ReferenceData_Metal!$A$2:$A$12,MATCH(E27,ReferenceData_Metal!$A$2:$A$12,1)))) *
    ((F27 - INDEX(ReferenceData_Metal!$B$1:$I$1,MATCH(F27,ReferenceData_Metal!$B$1:$I$1,1))) /
      (INDEX(ReferenceData_Metal!$B$1:$I$1,MIN(MATCH(F27,ReferenceData_Metal!$B$1:$I$1,1)+1,COLUMNS(ReferenceData_Metal!$B$1:$I$1))) - INDEX(ReferenceData_Metal!$B$1:$I$1,MATCH(F27,ReferenceData_Metal!$B$1:$I$1,1)))) *
    INDEX(ReferenceData_Metal!$B$2:$I$12,MATCH(E27,ReferenceData_Metal!$A$2:$A$12,1),MIN(MATCH(F27,ReferenceData_Metal!$B$1:$I$1,1)+1,COLUMNS(ReferenceData_Metal!$B$1:$I$1))) +
    ((E27 - INDEX(ReferenceData_Metal!$A$2:$A$12,MATCH(E27,ReferenceData_Metal!$A$2:$A$12,1))) /
      (INDEX(ReferenceData_Metal!$A$2:$A$12,MIN(MATCH(E27,ReferenceData_Metal!$A$2:$A$12,1)+1,ROWS(ReferenceData_Metal!$A$2:$A$12))) - INDEX(ReferenceData_Metal!$A$2:$A$12,MATCH(E27,ReferenceData_Metal!$A$2:$A$12,1)))) *
    ((F27 - INDEX(ReferenceData_Metal!$B$1:$I$1,MATCH(F27,ReferenceData_Metal!$B$1:$I$1,1))) /
      (INDEX(ReferenceData_Metal!$B$1:$I$1,MIN(MATCH(F27,ReferenceData_Metal!$B$1:$I$1,1)+1,COLUMNS(ReferenceData_Metal!$B$1:$I$1))) - INDEX(ReferenceData_Metal!$B$1:$I$1,MATCH(F27,ReferenceData_Metal!$B$1:$I$1,1)))) *
    INDEX(ReferenceData_Metal!$B$2:$I$12,MIN(MATCH(E27,ReferenceData_Metal!$A$2:$A$12,1)+1,ROWS(ReferenceData_Metal!$A$2:$A$12)),MIN(MATCH(F27,ReferenceData_Metal!$B$1:$I$1,1)+1,COLUMNS(ReferenceData_Metal!$B$1:$I$1)))
  )
)</f>
        <v>0.25107030611066217</v>
      </c>
    </row>
    <row r="28" spans="1:11">
      <c r="A28">
        <v>2000</v>
      </c>
      <c r="B28" t="e" cm="1">
        <f t="array" aca="1" ref="B28" ca="1">IF('Shell_KDF_Calculator (Metric)'!$D$10=0,B9,IF('Shell_KDF_Calculator (Metric)'!$D$10=0.5,C9,IF('Shell_KDF_Calculator (Metric)'!$D$10=1,D9,IF('Shell_KDF_Calculator (Metric)'!$D$10=2,E9,_xludf.NA()))))</f>
        <v>#NAME?</v>
      </c>
      <c r="C28" cm="1">
        <f t="array" ref="C28">MAX(
  0.15,
  IF(
    OR(A28 &gt; 10000, D28 &gt; 8),
    IF(
      AND(A28 &gt; 10000, D28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(A28 -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(D28 - 6),
      IF(
        A28 &gt; 10000,
        INDEX(ReferenceData_Metal!$B$2:$I$12,MATCH(10000,ReferenceData_Metal!$A$2:$A$12,1),MATCH(MIN(D28,8),ReferenceData_Metal!$B$1:$I$1,1)) +
        ((INDEX(ReferenceData_Metal!$B$2:$I$12,MATCH(10000,ReferenceData_Metal!$A$2:$A$12,1),MATCH(MIN(D28,8),ReferenceData_Metal!$B$1:$I$1,1)) - INDEX(ReferenceData_Metal!$B$2:$I$12,MATCH(INDEX(ReferenceData_Metal!$A$2:$A$12,MATCH(10000,ReferenceData_Metal!$A$2:$A$12,1)-1),ReferenceData_Metal!$A$2:$A$12,1),MATCH(MIN(D28,8),ReferenceData_Metal!$B$1:$I$1,1))) /
        (10000 - INDEX(ReferenceData_Metal!$A$2:$A$12,MATCH(10000,ReferenceData_Metal!$A$2:$A$12,1)-1))) * (A28 - 10000),
        INDEX(ReferenceData_Metal!$B$2:$I$12,MATCH(MIN(A28,10000),ReferenceData_Metal!$A$2:$A$12,1),MATCH(8,ReferenceData_Metal!$B$1:$I$1,1)) +
        ((INDEX(ReferenceData_Metal!$B$2:$I$12,MATCH(MIN(A28,10000),ReferenceData_Metal!$A$2:$A$12,1),MATCH(8,ReferenceData_Metal!$B$1:$I$1,1)) - INDEX(ReferenceData_Metal!$B$2:$I$12,MATCH(MIN(A28,10000),ReferenceData_Metal!$A$2:$A$12,1),MATCH(6,ReferenceData_Metal!$B$1:$I$1,1)))/(8 - 6)) * (D28 - 8)
      )
    ),
    (1 - (A28 - INDEX(ReferenceData_Metal!$A$2:$A$12,MATCH(A28,ReferenceData_Metal!$A$2:$A$12,1))) /
      (INDEX(ReferenceData_Metal!$A$2:$A$12,MIN(MATCH(A28,ReferenceData_Metal!$A$2:$A$12,1)+1,ROWS(ReferenceData_Metal!$A$2:$A$12))) - INDEX(ReferenceData_Metal!$A$2:$A$12,MATCH(A28,ReferenceData_Metal!$A$2:$A$12,1)))) *
    (1 - (D28 - INDEX(ReferenceData_Metal!$B$1:$I$1,MATCH(D28,ReferenceData_Metal!$B$1:$I$1,1))) /
      (INDEX(ReferenceData_Metal!$B$1:$I$1,MIN(MATCH(D28,ReferenceData_Metal!$B$1:$I$1,1)+1,COLUMNS(ReferenceData_Metal!$B$1:$I$1))) - INDEX(ReferenceData_Metal!$B$1:$I$1,MATCH(D28,ReferenceData_Metal!$B$1:$I$1,1)))) *
    INDEX(ReferenceData_Metal!$B$2:$I$12,MATCH(A28,ReferenceData_Metal!$A$2:$A$12,1),MATCH(D28,ReferenceData_Metal!$B$1:$I$1,1)) +
    ((A28 - INDEX(ReferenceData_Metal!$A$2:$A$12,MATCH(A28,ReferenceData_Metal!$A$2:$A$12,1))) /
      (INDEX(ReferenceData_Metal!$A$2:$A$12,MIN(MATCH(A28,ReferenceData_Metal!$A$2:$A$12,1)+1,ROWS(ReferenceData_Metal!$A$2:$A$12))) - INDEX(ReferenceData_Metal!$A$2:$A$12,MATCH(A28,ReferenceData_Metal!$A$2:$A$12,1)))) *
    (1 - (D28 - INDEX(ReferenceData_Metal!$B$1:$I$1,MATCH(D28,ReferenceData_Metal!$B$1:$I$1,1))) /
      (INDEX(ReferenceData_Metal!$B$1:$I$1,MIN(MATCH(D28,ReferenceData_Metal!$B$1:$I$1,1)+1,COLUMNS(ReferenceData_Metal!$B$1:$I$1))) - INDEX(ReferenceData_Metal!$B$1:$I$1,MATCH(D28,ReferenceData_Metal!$B$1:$I$1,1)))) *
    INDEX(ReferenceData_Metal!$B$2:$I$12,MIN(MATCH(A28,ReferenceData_Metal!$A$2:$A$12,1)+1,ROWS(ReferenceData_Metal!$A$2:$A$12)),MATCH(D28,ReferenceData_Metal!$B$1:$I$1,1)) +
    (1 - (A28 - INDEX(ReferenceData_Metal!$A$2:$A$12,MATCH(A28,ReferenceData_Metal!$A$2:$A$12,1))) /
      (INDEX(ReferenceData_Metal!$A$2:$A$12,MIN(MATCH(A28,ReferenceData_Metal!$A$2:$A$12,1)+1,ROWS(ReferenceData_Metal!$A$2:$A$12))) - INDEX(ReferenceData_Metal!$A$2:$A$12,MATCH(A28,ReferenceData_Metal!$A$2:$A$12,1)))) *
    ((D28 - INDEX(ReferenceData_Metal!$B$1:$I$1,MATCH(D28,ReferenceData_Metal!$B$1:$I$1,1))) /
      (INDEX(ReferenceData_Metal!$B$1:$I$1,MIN(MATCH(D28,ReferenceData_Metal!$B$1:$I$1,1)+1,COLUMNS(ReferenceData_Metal!$B$1:$I$1))) - INDEX(ReferenceData_Metal!$B$1:$I$1,MATCH(D28,ReferenceData_Metal!$B$1:$I$1,1)))) *
    INDEX(ReferenceData_Metal!$B$2:$I$12,MATCH(A28,ReferenceData_Metal!$A$2:$A$12,1),MIN(MATCH(D28,ReferenceData_Metal!$B$1:$I$1,1)+1,COLUMNS(ReferenceData_Metal!$B$1:$I$1))) +
    ((A28 - INDEX(ReferenceData_Metal!$A$2:$A$12,MATCH(A28,ReferenceData_Metal!$A$2:$A$12,1))) /
      (INDEX(ReferenceData_Metal!$A$2:$A$12,MIN(MATCH(A28,ReferenceData_Metal!$A$2:$A$12,1)+1,ROWS(ReferenceData_Metal!$A$2:$A$12))) - INDEX(ReferenceData_Metal!$A$2:$A$12,MATCH(A28,ReferenceData_Metal!$A$2:$A$12,1)))) *
    ((D28 - INDEX(ReferenceData_Metal!$B$1:$I$1,MATCH(D28,ReferenceData_Metal!$B$1:$I$1,1))) /
      (INDEX(ReferenceData_Metal!$B$1:$I$1,MIN(MATCH(D28,ReferenceData_Metal!$B$1:$I$1,1)+1,COLUMNS(ReferenceData_Metal!$B$1:$I$1))) - INDEX(ReferenceData_Metal!$B$1:$I$1,MATCH(D28,ReferenceData_Metal!$B$1:$I$1,1)))) *
    INDEX(ReferenceData_Metal!$B$2:$I$12,MIN(MATCH(A28,ReferenceData_Metal!$A$2:$A$12,1)+1,ROWS(ReferenceData_Metal!$A$2:$A$12)),MIN(MATCH(D28,ReferenceData_Metal!$B$1:$I$1,1)+1,COLUMNS(ReferenceData_Metal!$B$1:$I$1)))
  )
)</f>
        <v>0.4042</v>
      </c>
      <c r="D28">
        <f>'Shell_KDF_Calculator (Metric)'!$D$10</f>
        <v>0.3</v>
      </c>
      <c r="E28" s="13">
        <f>'Shell_KDF_Calculator (Metric)'!$D$15</f>
        <v>457.89081668013392</v>
      </c>
      <c r="F28">
        <v>7.99</v>
      </c>
      <c r="G28" cm="1">
        <f t="array" ref="G28">MAX(
  0.15,
  IF(
    OR(E28 &gt; 10000, F28 &gt; 8),
    IF(
      AND(E28 &gt; 10000, F28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(E28 -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(F28 - 6),
      IF(
        E28 &gt; 10000,
        INDEX(ReferenceData_Metal!$B$2:$I$12,MATCH(10000,ReferenceData_Metal!$A$2:$A$12,1),MATCH(MIN(F28,8),ReferenceData_Metal!$B$1:$I$1,1)) +
        ((INDEX(ReferenceData_Metal!$B$2:$I$12,MATCH(10000,ReferenceData_Metal!$A$2:$A$12,1),MATCH(MIN(F28,8),ReferenceData_Metal!$B$1:$I$1,1)) - INDEX(ReferenceData_Metal!$B$2:$I$12,MATCH(INDEX(ReferenceData_Metal!$A$2:$A$12,MATCH(10000,ReferenceData_Metal!$A$2:$A$12,1)-1),ReferenceData_Metal!$A$2:$A$12,1),MATCH(MIN(F28,8),ReferenceData_Metal!$B$1:$I$1,1))) /
        (10000 - INDEX(ReferenceData_Metal!$A$2:$A$12,MATCH(10000,ReferenceData_Metal!$A$2:$A$12,1)-1))) * (E28 - 10000),
        INDEX(ReferenceData_Metal!$B$2:$I$12,MATCH(MIN(E28,10000),ReferenceData_Metal!$A$2:$A$12,1),MATCH(8,ReferenceData_Metal!$B$1:$I$1,1)) +
        ((INDEX(ReferenceData_Metal!$B$2:$I$12,MATCH(MIN(E28,10000),ReferenceData_Metal!$A$2:$A$12,1),MATCH(8,ReferenceData_Metal!$B$1:$I$1,1)) - INDEX(ReferenceData_Metal!$B$2:$I$12,MATCH(MIN(E28,10000),ReferenceData_Metal!$A$2:$A$12,1),MATCH(6,ReferenceData_Metal!$B$1:$I$1,1)))/(8 - 6)) * (F28 - 8)
      )
    ),
    (1 - (E28 - INDEX(ReferenceData_Metal!$A$2:$A$12,MATCH(E28,ReferenceData_Metal!$A$2:$A$12,1))) /
      (INDEX(ReferenceData_Metal!$A$2:$A$12,MIN(MATCH(E28,ReferenceData_Metal!$A$2:$A$12,1)+1,ROWS(ReferenceData_Metal!$A$2:$A$12))) - INDEX(ReferenceData_Metal!$A$2:$A$12,MATCH(E28,ReferenceData_Metal!$A$2:$A$12,1)))) *
    (1 - (F28 - INDEX(ReferenceData_Metal!$B$1:$I$1,MATCH(F28,ReferenceData_Metal!$B$1:$I$1,1))) /
      (INDEX(ReferenceData_Metal!$B$1:$I$1,MIN(MATCH(F28,ReferenceData_Metal!$B$1:$I$1,1)+1,COLUMNS(ReferenceData_Metal!$B$1:$I$1))) - INDEX(ReferenceData_Metal!$B$1:$I$1,MATCH(F28,ReferenceData_Metal!$B$1:$I$1,1)))) *
    INDEX(ReferenceData_Metal!$B$2:$I$12,MATCH(E28,ReferenceData_Metal!$A$2:$A$12,1),MATCH(F28,ReferenceData_Metal!$B$1:$I$1,1)) +
    ((E28 - INDEX(ReferenceData_Metal!$A$2:$A$12,MATCH(E28,ReferenceData_Metal!$A$2:$A$12,1))) /
      (INDEX(ReferenceData_Metal!$A$2:$A$12,MIN(MATCH(E28,ReferenceData_Metal!$A$2:$A$12,1)+1,ROWS(ReferenceData_Metal!$A$2:$A$12))) - INDEX(ReferenceData_Metal!$A$2:$A$12,MATCH(E28,ReferenceData_Metal!$A$2:$A$12,1)))) *
    (1 - (F28 - INDEX(ReferenceData_Metal!$B$1:$I$1,MATCH(F28,ReferenceData_Metal!$B$1:$I$1,1))) /
      (INDEX(ReferenceData_Metal!$B$1:$I$1,MIN(MATCH(F28,ReferenceData_Metal!$B$1:$I$1,1)+1,COLUMNS(ReferenceData_Metal!$B$1:$I$1))) - INDEX(ReferenceData_Metal!$B$1:$I$1,MATCH(F28,ReferenceData_Metal!$B$1:$I$1,1)))) *
    INDEX(ReferenceData_Metal!$B$2:$I$12,MIN(MATCH(E28,ReferenceData_Metal!$A$2:$A$12,1)+1,ROWS(ReferenceData_Metal!$A$2:$A$12)),MATCH(F28,ReferenceData_Metal!$B$1:$I$1,1)) +
    (1 - (E28 - INDEX(ReferenceData_Metal!$A$2:$A$12,MATCH(E28,ReferenceData_Metal!$A$2:$A$12,1))) /
      (INDEX(ReferenceData_Metal!$A$2:$A$12,MIN(MATCH(E28,ReferenceData_Metal!$A$2:$A$12,1)+1,ROWS(ReferenceData_Metal!$A$2:$A$12))) - INDEX(ReferenceData_Metal!$A$2:$A$12,MATCH(E28,ReferenceData_Metal!$A$2:$A$12,1)))) *
    ((F28 - INDEX(ReferenceData_Metal!$B$1:$I$1,MATCH(F28,ReferenceData_Metal!$B$1:$I$1,1))) /
      (INDEX(ReferenceData_Metal!$B$1:$I$1,MIN(MATCH(F28,ReferenceData_Metal!$B$1:$I$1,1)+1,COLUMNS(ReferenceData_Metal!$B$1:$I$1))) - INDEX(ReferenceData_Metal!$B$1:$I$1,MATCH(F28,ReferenceData_Metal!$B$1:$I$1,1)))) *
    INDEX(ReferenceData_Metal!$B$2:$I$12,MATCH(E28,ReferenceData_Metal!$A$2:$A$12,1),MIN(MATCH(F28,ReferenceData_Metal!$B$1:$I$1,1)+1,COLUMNS(ReferenceData_Metal!$B$1:$I$1))) +
    ((E28 - INDEX(ReferenceData_Metal!$A$2:$A$12,MATCH(E28,ReferenceData_Metal!$A$2:$A$12,1))) /
      (INDEX(ReferenceData_Metal!$A$2:$A$12,MIN(MATCH(E28,ReferenceData_Metal!$A$2:$A$12,1)+1,ROWS(ReferenceData_Metal!$A$2:$A$12))) - INDEX(ReferenceData_Metal!$A$2:$A$12,MATCH(E28,ReferenceData_Metal!$A$2:$A$12,1)))) *
    ((F28 - INDEX(ReferenceData_Metal!$B$1:$I$1,MATCH(F28,ReferenceData_Metal!$B$1:$I$1,1))) /
      (INDEX(ReferenceData_Metal!$B$1:$I$1,MIN(MATCH(F28,ReferenceData_Metal!$B$1:$I$1,1)+1,COLUMNS(ReferenceData_Metal!$B$1:$I$1))) - INDEX(ReferenceData_Metal!$B$1:$I$1,MATCH(F28,ReferenceData_Metal!$B$1:$I$1,1)))) *
    INDEX(ReferenceData_Metal!$B$2:$I$12,MIN(MATCH(E28,ReferenceData_Metal!$A$2:$A$12,1)+1,ROWS(ReferenceData_Metal!$A$2:$A$12)),MIN(MATCH(F28,ReferenceData_Metal!$B$1:$I$1,1)+1,COLUMNS(ReferenceData_Metal!$B$1:$I$1)))
  )
)</f>
        <v>0.2314322652327602</v>
      </c>
    </row>
    <row r="29" spans="1:11">
      <c r="A29">
        <v>3000</v>
      </c>
      <c r="B29" t="e" cm="1">
        <f t="array" aca="1" ref="B29" ca="1">IF('Shell_KDF_Calculator (Metric)'!$D$10=0,B10,IF('Shell_KDF_Calculator (Metric)'!$D$10=0.5,C10,IF('Shell_KDF_Calculator (Metric)'!$D$10=1,D10,IF('Shell_KDF_Calculator (Metric)'!$D$10=2,E10,_xludf.NA()))))</f>
        <v>#NAME?</v>
      </c>
      <c r="C29" cm="1">
        <f t="array" ref="C29">MAX(
  0.15,
  IF(
    OR(A29 &gt; 10000, D29 &gt; 8),
    IF(
      AND(A29 &gt; 10000, D29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(A29 -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(D29 - 6),
      IF(
        A29 &gt; 10000,
        INDEX(ReferenceData_Metal!$B$2:$I$12,MATCH(10000,ReferenceData_Metal!$A$2:$A$12,1),MATCH(MIN(D29,8),ReferenceData_Metal!$B$1:$I$1,1)) +
        ((INDEX(ReferenceData_Metal!$B$2:$I$12,MATCH(10000,ReferenceData_Metal!$A$2:$A$12,1),MATCH(MIN(D29,8),ReferenceData_Metal!$B$1:$I$1,1)) - INDEX(ReferenceData_Metal!$B$2:$I$12,MATCH(INDEX(ReferenceData_Metal!$A$2:$A$12,MATCH(10000,ReferenceData_Metal!$A$2:$A$12,1)-1),ReferenceData_Metal!$A$2:$A$12,1),MATCH(MIN(D29,8),ReferenceData_Metal!$B$1:$I$1,1))) /
        (10000 - INDEX(ReferenceData_Metal!$A$2:$A$12,MATCH(10000,ReferenceData_Metal!$A$2:$A$12,1)-1))) * (A29 - 10000),
        INDEX(ReferenceData_Metal!$B$2:$I$12,MATCH(MIN(A29,10000),ReferenceData_Metal!$A$2:$A$12,1),MATCH(8,ReferenceData_Metal!$B$1:$I$1,1)) +
        ((INDEX(ReferenceData_Metal!$B$2:$I$12,MATCH(MIN(A29,10000),ReferenceData_Metal!$A$2:$A$12,1),MATCH(8,ReferenceData_Metal!$B$1:$I$1,1)) - INDEX(ReferenceData_Metal!$B$2:$I$12,MATCH(MIN(A29,10000),ReferenceData_Metal!$A$2:$A$12,1),MATCH(6,ReferenceData_Metal!$B$1:$I$1,1)))/(8 - 6)) * (D29 - 8)
      )
    ),
    (1 - (A29 - INDEX(ReferenceData_Metal!$A$2:$A$12,MATCH(A29,ReferenceData_Metal!$A$2:$A$12,1))) /
      (INDEX(ReferenceData_Metal!$A$2:$A$12,MIN(MATCH(A29,ReferenceData_Metal!$A$2:$A$12,1)+1,ROWS(ReferenceData_Metal!$A$2:$A$12))) - INDEX(ReferenceData_Metal!$A$2:$A$12,MATCH(A29,ReferenceData_Metal!$A$2:$A$12,1)))) *
    (1 - (D29 - INDEX(ReferenceData_Metal!$B$1:$I$1,MATCH(D29,ReferenceData_Metal!$B$1:$I$1,1))) /
      (INDEX(ReferenceData_Metal!$B$1:$I$1,MIN(MATCH(D29,ReferenceData_Metal!$B$1:$I$1,1)+1,COLUMNS(ReferenceData_Metal!$B$1:$I$1))) - INDEX(ReferenceData_Metal!$B$1:$I$1,MATCH(D29,ReferenceData_Metal!$B$1:$I$1,1)))) *
    INDEX(ReferenceData_Metal!$B$2:$I$12,MATCH(A29,ReferenceData_Metal!$A$2:$A$12,1),MATCH(D29,ReferenceData_Metal!$B$1:$I$1,1)) +
    ((A29 - INDEX(ReferenceData_Metal!$A$2:$A$12,MATCH(A29,ReferenceData_Metal!$A$2:$A$12,1))) /
      (INDEX(ReferenceData_Metal!$A$2:$A$12,MIN(MATCH(A29,ReferenceData_Metal!$A$2:$A$12,1)+1,ROWS(ReferenceData_Metal!$A$2:$A$12))) - INDEX(ReferenceData_Metal!$A$2:$A$12,MATCH(A29,ReferenceData_Metal!$A$2:$A$12,1)))) *
    (1 - (D29 - INDEX(ReferenceData_Metal!$B$1:$I$1,MATCH(D29,ReferenceData_Metal!$B$1:$I$1,1))) /
      (INDEX(ReferenceData_Metal!$B$1:$I$1,MIN(MATCH(D29,ReferenceData_Metal!$B$1:$I$1,1)+1,COLUMNS(ReferenceData_Metal!$B$1:$I$1))) - INDEX(ReferenceData_Metal!$B$1:$I$1,MATCH(D29,ReferenceData_Metal!$B$1:$I$1,1)))) *
    INDEX(ReferenceData_Metal!$B$2:$I$12,MIN(MATCH(A29,ReferenceData_Metal!$A$2:$A$12,1)+1,ROWS(ReferenceData_Metal!$A$2:$A$12)),MATCH(D29,ReferenceData_Metal!$B$1:$I$1,1)) +
    (1 - (A29 - INDEX(ReferenceData_Metal!$A$2:$A$12,MATCH(A29,ReferenceData_Metal!$A$2:$A$12,1))) /
      (INDEX(ReferenceData_Metal!$A$2:$A$12,MIN(MATCH(A29,ReferenceData_Metal!$A$2:$A$12,1)+1,ROWS(ReferenceData_Metal!$A$2:$A$12))) - INDEX(ReferenceData_Metal!$A$2:$A$12,MATCH(A29,ReferenceData_Metal!$A$2:$A$12,1)))) *
    ((D29 - INDEX(ReferenceData_Metal!$B$1:$I$1,MATCH(D29,ReferenceData_Metal!$B$1:$I$1,1))) /
      (INDEX(ReferenceData_Metal!$B$1:$I$1,MIN(MATCH(D29,ReferenceData_Metal!$B$1:$I$1,1)+1,COLUMNS(ReferenceData_Metal!$B$1:$I$1))) - INDEX(ReferenceData_Metal!$B$1:$I$1,MATCH(D29,ReferenceData_Metal!$B$1:$I$1,1)))) *
    INDEX(ReferenceData_Metal!$B$2:$I$12,MATCH(A29,ReferenceData_Metal!$A$2:$A$12,1),MIN(MATCH(D29,ReferenceData_Metal!$B$1:$I$1,1)+1,COLUMNS(ReferenceData_Metal!$B$1:$I$1))) +
    ((A29 - INDEX(ReferenceData_Metal!$A$2:$A$12,MATCH(A29,ReferenceData_Metal!$A$2:$A$12,1))) /
      (INDEX(ReferenceData_Metal!$A$2:$A$12,MIN(MATCH(A29,ReferenceData_Metal!$A$2:$A$12,1)+1,ROWS(ReferenceData_Metal!$A$2:$A$12))) - INDEX(ReferenceData_Metal!$A$2:$A$12,MATCH(A29,ReferenceData_Metal!$A$2:$A$12,1)))) *
    ((D29 - INDEX(ReferenceData_Metal!$B$1:$I$1,MATCH(D29,ReferenceData_Metal!$B$1:$I$1,1))) /
      (INDEX(ReferenceData_Metal!$B$1:$I$1,MIN(MATCH(D29,ReferenceData_Metal!$B$1:$I$1,1)+1,COLUMNS(ReferenceData_Metal!$B$1:$I$1))) - INDEX(ReferenceData_Metal!$B$1:$I$1,MATCH(D29,ReferenceData_Metal!$B$1:$I$1,1)))) *
    INDEX(ReferenceData_Metal!$B$2:$I$12,MIN(MATCH(A29,ReferenceData_Metal!$A$2:$A$12,1)+1,ROWS(ReferenceData_Metal!$A$2:$A$12)),MIN(MATCH(D29,ReferenceData_Metal!$B$1:$I$1,1)+1,COLUMNS(ReferenceData_Metal!$B$1:$I$1)))
  )
)</f>
        <v>0.37280000000000002</v>
      </c>
      <c r="D29">
        <f>'Shell_KDF_Calculator (Metric)'!$D$10</f>
        <v>0.3</v>
      </c>
    </row>
    <row r="30" spans="1:11">
      <c r="A30">
        <v>5000</v>
      </c>
      <c r="B30" t="e" cm="1">
        <f t="array" aca="1" ref="B30" ca="1">IF('Shell_KDF_Calculator (Metric)'!$D$10=0,B11,IF('Shell_KDF_Calculator (Metric)'!$D$10=0.5,C11,IF('Shell_KDF_Calculator (Metric)'!$D$10=1,D11,IF('Shell_KDF_Calculator (Metric)'!$D$10=2,E11,_xludf.NA()))))</f>
        <v>#NAME?</v>
      </c>
      <c r="C30" cm="1">
        <f t="array" ref="C30">MAX(
  0.15,
  IF(
    OR(A30 &gt; 10000, D30 &gt; 8),
    IF(
      AND(A30 &gt; 10000, D30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(A30 -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(D30 - 6),
      IF(
        A30 &gt; 10000,
        INDEX(ReferenceData_Metal!$B$2:$I$12,MATCH(10000,ReferenceData_Metal!$A$2:$A$12,1),MATCH(MIN(D30,8),ReferenceData_Metal!$B$1:$I$1,1)) +
        ((INDEX(ReferenceData_Metal!$B$2:$I$12,MATCH(10000,ReferenceData_Metal!$A$2:$A$12,1),MATCH(MIN(D30,8),ReferenceData_Metal!$B$1:$I$1,1)) - INDEX(ReferenceData_Metal!$B$2:$I$12,MATCH(INDEX(ReferenceData_Metal!$A$2:$A$12,MATCH(10000,ReferenceData_Metal!$A$2:$A$12,1)-1),ReferenceData_Metal!$A$2:$A$12,1),MATCH(MIN(D30,8),ReferenceData_Metal!$B$1:$I$1,1))) /
        (10000 - INDEX(ReferenceData_Metal!$A$2:$A$12,MATCH(10000,ReferenceData_Metal!$A$2:$A$12,1)-1))) * (A30 - 10000),
        INDEX(ReferenceData_Metal!$B$2:$I$12,MATCH(MIN(A30,10000),ReferenceData_Metal!$A$2:$A$12,1),MATCH(8,ReferenceData_Metal!$B$1:$I$1,1)) +
        ((INDEX(ReferenceData_Metal!$B$2:$I$12,MATCH(MIN(A30,10000),ReferenceData_Metal!$A$2:$A$12,1),MATCH(8,ReferenceData_Metal!$B$1:$I$1,1)) - INDEX(ReferenceData_Metal!$B$2:$I$12,MATCH(MIN(A30,10000),ReferenceData_Metal!$A$2:$A$12,1),MATCH(6,ReferenceData_Metal!$B$1:$I$1,1)))/(8 - 6)) * (D30 - 8)
      )
    ),
    (1 - (A30 - INDEX(ReferenceData_Metal!$A$2:$A$12,MATCH(A30,ReferenceData_Metal!$A$2:$A$12,1))) /
      (INDEX(ReferenceData_Metal!$A$2:$A$12,MIN(MATCH(A30,ReferenceData_Metal!$A$2:$A$12,1)+1,ROWS(ReferenceData_Metal!$A$2:$A$12))) - INDEX(ReferenceData_Metal!$A$2:$A$12,MATCH(A30,ReferenceData_Metal!$A$2:$A$12,1)))) *
    (1 - (D30 - INDEX(ReferenceData_Metal!$B$1:$I$1,MATCH(D30,ReferenceData_Metal!$B$1:$I$1,1))) /
      (INDEX(ReferenceData_Metal!$B$1:$I$1,MIN(MATCH(D30,ReferenceData_Metal!$B$1:$I$1,1)+1,COLUMNS(ReferenceData_Metal!$B$1:$I$1))) - INDEX(ReferenceData_Metal!$B$1:$I$1,MATCH(D30,ReferenceData_Metal!$B$1:$I$1,1)))) *
    INDEX(ReferenceData_Metal!$B$2:$I$12,MATCH(A30,ReferenceData_Metal!$A$2:$A$12,1),MATCH(D30,ReferenceData_Metal!$B$1:$I$1,1)) +
    ((A30 - INDEX(ReferenceData_Metal!$A$2:$A$12,MATCH(A30,ReferenceData_Metal!$A$2:$A$12,1))) /
      (INDEX(ReferenceData_Metal!$A$2:$A$12,MIN(MATCH(A30,ReferenceData_Metal!$A$2:$A$12,1)+1,ROWS(ReferenceData_Metal!$A$2:$A$12))) - INDEX(ReferenceData_Metal!$A$2:$A$12,MATCH(A30,ReferenceData_Metal!$A$2:$A$12,1)))) *
    (1 - (D30 - INDEX(ReferenceData_Metal!$B$1:$I$1,MATCH(D30,ReferenceData_Metal!$B$1:$I$1,1))) /
      (INDEX(ReferenceData_Metal!$B$1:$I$1,MIN(MATCH(D30,ReferenceData_Metal!$B$1:$I$1,1)+1,COLUMNS(ReferenceData_Metal!$B$1:$I$1))) - INDEX(ReferenceData_Metal!$B$1:$I$1,MATCH(D30,ReferenceData_Metal!$B$1:$I$1,1)))) *
    INDEX(ReferenceData_Metal!$B$2:$I$12,MIN(MATCH(A30,ReferenceData_Metal!$A$2:$A$12,1)+1,ROWS(ReferenceData_Metal!$A$2:$A$12)),MATCH(D30,ReferenceData_Metal!$B$1:$I$1,1)) +
    (1 - (A30 - INDEX(ReferenceData_Metal!$A$2:$A$12,MATCH(A30,ReferenceData_Metal!$A$2:$A$12,1))) /
      (INDEX(ReferenceData_Metal!$A$2:$A$12,MIN(MATCH(A30,ReferenceData_Metal!$A$2:$A$12,1)+1,ROWS(ReferenceData_Metal!$A$2:$A$12))) - INDEX(ReferenceData_Metal!$A$2:$A$12,MATCH(A30,ReferenceData_Metal!$A$2:$A$12,1)))) *
    ((D30 - INDEX(ReferenceData_Metal!$B$1:$I$1,MATCH(D30,ReferenceData_Metal!$B$1:$I$1,1))) /
      (INDEX(ReferenceData_Metal!$B$1:$I$1,MIN(MATCH(D30,ReferenceData_Metal!$B$1:$I$1,1)+1,COLUMNS(ReferenceData_Metal!$B$1:$I$1))) - INDEX(ReferenceData_Metal!$B$1:$I$1,MATCH(D30,ReferenceData_Metal!$B$1:$I$1,1)))) *
    INDEX(ReferenceData_Metal!$B$2:$I$12,MATCH(A30,ReferenceData_Metal!$A$2:$A$12,1),MIN(MATCH(D30,ReferenceData_Metal!$B$1:$I$1,1)+1,COLUMNS(ReferenceData_Metal!$B$1:$I$1))) +
    ((A30 - INDEX(ReferenceData_Metal!$A$2:$A$12,MATCH(A30,ReferenceData_Metal!$A$2:$A$12,1))) /
      (INDEX(ReferenceData_Metal!$A$2:$A$12,MIN(MATCH(A30,ReferenceData_Metal!$A$2:$A$12,1)+1,ROWS(ReferenceData_Metal!$A$2:$A$12))) - INDEX(ReferenceData_Metal!$A$2:$A$12,MATCH(A30,ReferenceData_Metal!$A$2:$A$12,1)))) *
    ((D30 - INDEX(ReferenceData_Metal!$B$1:$I$1,MATCH(D30,ReferenceData_Metal!$B$1:$I$1,1))) /
      (INDEX(ReferenceData_Metal!$B$1:$I$1,MIN(MATCH(D30,ReferenceData_Metal!$B$1:$I$1,1)+1,COLUMNS(ReferenceData_Metal!$B$1:$I$1))) - INDEX(ReferenceData_Metal!$B$1:$I$1,MATCH(D30,ReferenceData_Metal!$B$1:$I$1,1)))) *
    INDEX(ReferenceData_Metal!$B$2:$I$12,MIN(MATCH(A30,ReferenceData_Metal!$A$2:$A$12,1)+1,ROWS(ReferenceData_Metal!$A$2:$A$12)),MIN(MATCH(D30,ReferenceData_Metal!$B$1:$I$1,1)+1,COLUMNS(ReferenceData_Metal!$B$1:$I$1)))
  )
)</f>
        <v>0.34079999999999999</v>
      </c>
      <c r="D30">
        <f>'Shell_KDF_Calculator (Metric)'!$D$10</f>
        <v>0.3</v>
      </c>
    </row>
    <row r="31" spans="1:11">
      <c r="A31">
        <v>9999</v>
      </c>
      <c r="B31" t="e" cm="1">
        <f t="array" aca="1" ref="B31" ca="1">IF('Shell_KDF_Calculator (Metric)'!$D$10=0,B12,IF('Shell_KDF_Calculator (Metric)'!$D$10=0.5,C12,IF('Shell_KDF_Calculator (Metric)'!$D$10=1,D12,IF('Shell_KDF_Calculator (Metric)'!$D$10=2,E12,_xludf.NA()))))</f>
        <v>#NAME?</v>
      </c>
      <c r="C31" cm="1">
        <f t="array" ref="C31">MAX(
  0.15,
  IF(
    OR(A31 &gt; 10000, D31 &gt; 8),
    IF(
      AND(A31 &gt; 10000, D31 &gt; 8),
      INDEX(ReferenceData_Metal!$B$2:$I$12,MATCH(INDEX(ReferenceData_Metal!$A$2:$A$12,MATCH(10000,ReferenceData_Metal!$A$2:$A$12,1)-1),ReferenceData_Metal!$A$2:$A$12,1),MATCH(6,ReferenceData_Metal!$B$1:$I$1,1)) +
      ((INDEX(ReferenceData_Metal!$B$2:$I$12,MATCH(10000,ReferenceData_Metal!$A$2:$A$12,1),MATCH(6,ReferenceData_Metal!$B$1:$I$1,1)) - INDEX(ReferenceData_Metal!$B$2:$I$12,MATCH(INDEX(ReferenceData_Metal!$A$2:$A$12,MATCH(10000,ReferenceData_Metal!$A$2:$A$12,1)-1),ReferenceData_Metal!$A$2:$A$12,1),MATCH(6,ReferenceData_Metal!$B$1:$I$1,1)))/
      (10000 - INDEX(ReferenceData_Metal!$A$2:$A$12,MATCH(10000,ReferenceData_Metal!$A$2:$A$12,1)-1))) * (A31 - INDEX(ReferenceData_Metal!$A$2:$A$12,MATCH(10000,ReferenceData_Metal!$A$2:$A$12,1)-1)) +
      ((INDEX(ReferenceData_Metal!$B$2:$I$12,MATCH(INDEX(ReferenceData_Metal!$A$2:$A$12,MATCH(10000,ReferenceData_Metal!$A$2:$A$12,1)-1),ReferenceData_Metal!$A$2:$A$12,1),MATCH(8,ReferenceData_Metal!$B$1:$I$1,1)) - INDEX(ReferenceData_Metal!$B$2:$I$12,MATCH(INDEX(ReferenceData_Metal!$A$2:$A$12,MATCH(10000,ReferenceData_Metal!$A$2:$A$12,1)-1),ReferenceData_Metal!$A$2:$A$12,1),MATCH(6,ReferenceData_Metal!$B$1:$I$1,1)))/(8 - 6)) * (D31 - 6),
      IF(
        A31 &gt; 10000,
        INDEX(ReferenceData_Metal!$B$2:$I$12,MATCH(10000,ReferenceData_Metal!$A$2:$A$12,1),MATCH(MIN(D31,8),ReferenceData_Metal!$B$1:$I$1,1)) +
        ((INDEX(ReferenceData_Metal!$B$2:$I$12,MATCH(10000,ReferenceData_Metal!$A$2:$A$12,1),MATCH(MIN(D31,8),ReferenceData_Metal!$B$1:$I$1,1)) - INDEX(ReferenceData_Metal!$B$2:$I$12,MATCH(INDEX(ReferenceData_Metal!$A$2:$A$12,MATCH(10000,ReferenceData_Metal!$A$2:$A$12,1)-1),ReferenceData_Metal!$A$2:$A$12,1),MATCH(MIN(D31,8),ReferenceData_Metal!$B$1:$I$1,1))) /
        (10000 - INDEX(ReferenceData_Metal!$A$2:$A$12,MATCH(10000,ReferenceData_Metal!$A$2:$A$12,1)-1))) * (A31 - 10000),
        INDEX(ReferenceData_Metal!$B$2:$I$12,MATCH(MIN(A31,10000),ReferenceData_Metal!$A$2:$A$12,1),MATCH(8,ReferenceData_Metal!$B$1:$I$1,1)) +
        ((INDEX(ReferenceData_Metal!$B$2:$I$12,MATCH(MIN(A31,10000),ReferenceData_Metal!$A$2:$A$12,1),MATCH(8,ReferenceData_Metal!$B$1:$I$1,1)) - INDEX(ReferenceData_Metal!$B$2:$I$12,MATCH(MIN(A31,10000),ReferenceData_Metal!$A$2:$A$12,1),MATCH(6,ReferenceData_Metal!$B$1:$I$1,1)))/(8 - 6)) * (D31 - 8)
      )
    ),
    (1 - (A31 - INDEX(ReferenceData_Metal!$A$2:$A$12,MATCH(A31,ReferenceData_Metal!$A$2:$A$12,1))) /
      (INDEX(ReferenceData_Metal!$A$2:$A$12,MIN(MATCH(A31,ReferenceData_Metal!$A$2:$A$12,1)+1,ROWS(ReferenceData_Metal!$A$2:$A$12))) - INDEX(ReferenceData_Metal!$A$2:$A$12,MATCH(A31,ReferenceData_Metal!$A$2:$A$12,1)))) *
    (1 - (D31 - INDEX(ReferenceData_Metal!$B$1:$I$1,MATCH(D31,ReferenceData_Metal!$B$1:$I$1,1))) /
      (INDEX(ReferenceData_Metal!$B$1:$I$1,MIN(MATCH(D31,ReferenceData_Metal!$B$1:$I$1,1)+1,COLUMNS(ReferenceData_Metal!$B$1:$I$1))) - INDEX(ReferenceData_Metal!$B$1:$I$1,MATCH(D31,ReferenceData_Metal!$B$1:$I$1,1)))) *
    INDEX(ReferenceData_Metal!$B$2:$I$12,MATCH(A31,ReferenceData_Metal!$A$2:$A$12,1),MATCH(D31,ReferenceData_Metal!$B$1:$I$1,1)) +
    ((A31 - INDEX(ReferenceData_Metal!$A$2:$A$12,MATCH(A31,ReferenceData_Metal!$A$2:$A$12,1))) /
      (INDEX(ReferenceData_Metal!$A$2:$A$12,MIN(MATCH(A31,ReferenceData_Metal!$A$2:$A$12,1)+1,ROWS(ReferenceData_Metal!$A$2:$A$12))) - INDEX(ReferenceData_Metal!$A$2:$A$12,MATCH(A31,ReferenceData_Metal!$A$2:$A$12,1)))) *
    (1 - (D31 - INDEX(ReferenceData_Metal!$B$1:$I$1,MATCH(D31,ReferenceData_Metal!$B$1:$I$1,1))) /
      (INDEX(ReferenceData_Metal!$B$1:$I$1,MIN(MATCH(D31,ReferenceData_Metal!$B$1:$I$1,1)+1,COLUMNS(ReferenceData_Metal!$B$1:$I$1))) - INDEX(ReferenceData_Metal!$B$1:$I$1,MATCH(D31,ReferenceData_Metal!$B$1:$I$1,1)))) *
    INDEX(ReferenceData_Metal!$B$2:$I$12,MIN(MATCH(A31,ReferenceData_Metal!$A$2:$A$12,1)+1,ROWS(ReferenceData_Metal!$A$2:$A$12)),MATCH(D31,ReferenceData_Metal!$B$1:$I$1,1)) +
    (1 - (A31 - INDEX(ReferenceData_Metal!$A$2:$A$12,MATCH(A31,ReferenceData_Metal!$A$2:$A$12,1))) /
      (INDEX(ReferenceData_Metal!$A$2:$A$12,MIN(MATCH(A31,ReferenceData_Metal!$A$2:$A$12,1)+1,ROWS(ReferenceData_Metal!$A$2:$A$12))) - INDEX(ReferenceData_Metal!$A$2:$A$12,MATCH(A31,ReferenceData_Metal!$A$2:$A$12,1)))) *
    ((D31 - INDEX(ReferenceData_Metal!$B$1:$I$1,MATCH(D31,ReferenceData_Metal!$B$1:$I$1,1))) /
      (INDEX(ReferenceData_Metal!$B$1:$I$1,MIN(MATCH(D31,ReferenceData_Metal!$B$1:$I$1,1)+1,COLUMNS(ReferenceData_Metal!$B$1:$I$1))) - INDEX(ReferenceData_Metal!$B$1:$I$1,MATCH(D31,ReferenceData_Metal!$B$1:$I$1,1)))) *
    INDEX(ReferenceData_Metal!$B$2:$I$12,MATCH(A31,ReferenceData_Metal!$A$2:$A$12,1),MIN(MATCH(D31,ReferenceData_Metal!$B$1:$I$1,1)+1,COLUMNS(ReferenceData_Metal!$B$1:$I$1))) +
    ((A31 - INDEX(ReferenceData_Metal!$A$2:$A$12,MATCH(A31,ReferenceData_Metal!$A$2:$A$12,1))) /
      (INDEX(ReferenceData_Metal!$A$2:$A$12,MIN(MATCH(A31,ReferenceData_Metal!$A$2:$A$12,1)+1,ROWS(ReferenceData_Metal!$A$2:$A$12))) - INDEX(ReferenceData_Metal!$A$2:$A$12,MATCH(A31,ReferenceData_Metal!$A$2:$A$12,1)))) *
    ((D31 - INDEX(ReferenceData_Metal!$B$1:$I$1,MATCH(D31,ReferenceData_Metal!$B$1:$I$1,1))) /
      (INDEX(ReferenceData_Metal!$B$1:$I$1,MIN(MATCH(D31,ReferenceData_Metal!$B$1:$I$1,1)+1,COLUMNS(ReferenceData_Metal!$B$1:$I$1))) - INDEX(ReferenceData_Metal!$B$1:$I$1,MATCH(D31,ReferenceData_Metal!$B$1:$I$1,1)))) *
    INDEX(ReferenceData_Metal!$B$2:$I$12,MIN(MATCH(A31,ReferenceData_Metal!$A$2:$A$12,1)+1,ROWS(ReferenceData_Metal!$A$2:$A$12)),MIN(MATCH(D31,ReferenceData_Metal!$B$1:$I$1,1)+1,COLUMNS(ReferenceData_Metal!$B$1:$I$1)))
  )
)</f>
        <v>0.30180779999999996</v>
      </c>
      <c r="D31">
        <f>'Shell_KDF_Calculator (Metric)'!$D$10</f>
        <v>0.3</v>
      </c>
    </row>
  </sheetData>
  <pageMargins left="0.7" right="0.7" top="0.78740157499999996" bottom="0.78740157499999996"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93DD2-8A75-44C3-B721-07DE60A90033}">
  <dimension ref="A4:A56"/>
  <sheetViews>
    <sheetView topLeftCell="A36" workbookViewId="0">
      <selection activeCell="H55" sqref="H55"/>
    </sheetView>
  </sheetViews>
  <sheetFormatPr baseColWidth="10" defaultColWidth="11.5703125" defaultRowHeight="15"/>
  <sheetData>
    <row r="4" spans="1:1" ht="15.75">
      <c r="A4" s="66" t="s">
        <v>110</v>
      </c>
    </row>
    <row r="5" spans="1:1">
      <c r="A5" s="65"/>
    </row>
    <row r="6" spans="1:1">
      <c r="A6" s="65" t="s">
        <v>111</v>
      </c>
    </row>
    <row r="7" spans="1:1">
      <c r="A7" s="65"/>
    </row>
    <row r="8" spans="1:1">
      <c r="A8" s="65"/>
    </row>
    <row r="9" spans="1:1">
      <c r="A9" s="70"/>
    </row>
    <row r="10" spans="1:1">
      <c r="A10" s="73" t="s">
        <v>112</v>
      </c>
    </row>
    <row r="11" spans="1:1">
      <c r="A11" s="70"/>
    </row>
    <row r="12" spans="1:1">
      <c r="A12" s="73" t="s">
        <v>113</v>
      </c>
    </row>
    <row r="13" spans="1:1">
      <c r="A13" s="70"/>
    </row>
    <row r="14" spans="1:1">
      <c r="A14" s="73" t="s">
        <v>114</v>
      </c>
    </row>
    <row r="15" spans="1:1">
      <c r="A15" s="70"/>
    </row>
    <row r="16" spans="1:1">
      <c r="A16" s="73" t="s">
        <v>115</v>
      </c>
    </row>
    <row r="17" spans="1:1">
      <c r="A17" s="70"/>
    </row>
    <row r="18" spans="1:1">
      <c r="A18" s="73" t="s">
        <v>116</v>
      </c>
    </row>
    <row r="19" spans="1:1">
      <c r="A19" s="65"/>
    </row>
    <row r="20" spans="1:1">
      <c r="A20" s="65" t="s">
        <v>117</v>
      </c>
    </row>
    <row r="21" spans="1:1">
      <c r="A21" s="65"/>
    </row>
    <row r="22" spans="1:1">
      <c r="A22" s="65" t="s">
        <v>118</v>
      </c>
    </row>
    <row r="26" spans="1:1" ht="15.75">
      <c r="A26" s="66" t="s">
        <v>119</v>
      </c>
    </row>
    <row r="27" spans="1:1">
      <c r="A27" s="65"/>
    </row>
    <row r="28" spans="1:1">
      <c r="A28" s="65" t="s">
        <v>120</v>
      </c>
    </row>
    <row r="29" spans="1:1">
      <c r="A29" s="65"/>
    </row>
    <row r="30" spans="1:1">
      <c r="A30" s="65" t="s">
        <v>121</v>
      </c>
    </row>
    <row r="34" spans="1:1" ht="15.75">
      <c r="A34" s="66" t="s">
        <v>122</v>
      </c>
    </row>
    <row r="35" spans="1:1">
      <c r="A35" s="65"/>
    </row>
    <row r="36" spans="1:1">
      <c r="A36" s="65" t="s">
        <v>123</v>
      </c>
    </row>
    <row r="37" spans="1:1">
      <c r="A37" s="65"/>
    </row>
    <row r="38" spans="1:1">
      <c r="A38" s="65"/>
    </row>
    <row r="39" spans="1:1">
      <c r="A39" s="70"/>
    </row>
    <row r="40" spans="1:1">
      <c r="A40" s="71" t="s">
        <v>124</v>
      </c>
    </row>
    <row r="41" spans="1:1">
      <c r="A41" s="70"/>
    </row>
    <row r="42" spans="1:1">
      <c r="A42" s="71" t="s">
        <v>125</v>
      </c>
    </row>
    <row r="43" spans="1:1">
      <c r="A43" s="65"/>
    </row>
    <row r="44" spans="1:1">
      <c r="A44" s="65" t="s">
        <v>126</v>
      </c>
    </row>
    <row r="45" spans="1:1">
      <c r="A45" s="65"/>
    </row>
    <row r="46" spans="1:1">
      <c r="A46" s="65" t="s">
        <v>127</v>
      </c>
    </row>
    <row r="50" spans="1:1" ht="15.75">
      <c r="A50" s="66" t="s">
        <v>133</v>
      </c>
    </row>
    <row r="51" spans="1:1">
      <c r="A51" s="65"/>
    </row>
    <row r="52" spans="1:1">
      <c r="A52" s="65" t="s">
        <v>128</v>
      </c>
    </row>
    <row r="53" spans="1:1">
      <c r="A53" s="65"/>
    </row>
    <row r="54" spans="1:1">
      <c r="A54" s="65" t="s">
        <v>129</v>
      </c>
    </row>
    <row r="55" spans="1:1">
      <c r="A55" s="65"/>
    </row>
    <row r="56" spans="1:1">
      <c r="A56" s="65" t="s">
        <v>130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7</vt:i4>
      </vt:variant>
      <vt:variant>
        <vt:lpstr>Benannte Bereiche</vt:lpstr>
      </vt:variant>
      <vt:variant>
        <vt:i4>10</vt:i4>
      </vt:variant>
    </vt:vector>
  </HeadingPairs>
  <TitlesOfParts>
    <vt:vector size="17" baseType="lpstr">
      <vt:lpstr>Start</vt:lpstr>
      <vt:lpstr>Shell_KDF_Calculator (Metric)</vt:lpstr>
      <vt:lpstr>Disclaimer</vt:lpstr>
      <vt:lpstr>License</vt:lpstr>
      <vt:lpstr>ReferenceData_Metal_CI</vt:lpstr>
      <vt:lpstr>ReferenceData_Metal</vt:lpstr>
      <vt:lpstr>Changelog</vt:lpstr>
      <vt:lpstr>ReferenceData_Metal_CI!KDF_M</vt:lpstr>
      <vt:lpstr>KDF_M</vt:lpstr>
      <vt:lpstr>ReferenceData_Metal_CI!KDF_M1</vt:lpstr>
      <vt:lpstr>KDF_M1</vt:lpstr>
      <vt:lpstr>ReferenceData_Metal!KDFTable</vt:lpstr>
      <vt:lpstr>ReferenceData_Metal_CI!KDFTable</vt:lpstr>
      <vt:lpstr>ReferenceData_Metal_CI!KDFTable_M</vt:lpstr>
      <vt:lpstr>KDFTable_M</vt:lpstr>
      <vt:lpstr>ReferenceData_Metal_CI!ReferenceData_Metal</vt:lpstr>
      <vt:lpstr>ReferenceData_Metal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Wagner</dc:creator>
  <cp:lastModifiedBy>Ronald Wagner</cp:lastModifiedBy>
  <dcterms:created xsi:type="dcterms:W3CDTF">2025-07-10T08:09:49Z</dcterms:created>
  <dcterms:modified xsi:type="dcterms:W3CDTF">2025-07-11T14:01:22Z</dcterms:modified>
</cp:coreProperties>
</file>